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nnis.small\Desktop\TechSurvey20-21\"/>
    </mc:Choice>
  </mc:AlternateContent>
  <xr:revisionPtr revIDLastSave="0" documentId="13_ncr:1_{4A690C82-FEBE-4CA0-BA8D-A0A45A94A4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ools" sheetId="8" r:id="rId1"/>
    <sheet name="Instruction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37" i="8" l="1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E2121" i="8"/>
  <c r="C2121" i="8"/>
  <c r="A2121" i="8"/>
  <c r="E2120" i="8"/>
  <c r="C2120" i="8"/>
  <c r="A2120" i="8"/>
  <c r="E2119" i="8"/>
  <c r="C2119" i="8"/>
  <c r="A2119" i="8"/>
  <c r="E2118" i="8"/>
  <c r="C2118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E2100" i="8"/>
  <c r="C2100" i="8"/>
  <c r="A2100" i="8"/>
  <c r="E2099" i="8"/>
  <c r="C2099" i="8"/>
  <c r="A2099" i="8"/>
  <c r="E2098" i="8"/>
  <c r="C2098" i="8"/>
  <c r="A2098" i="8"/>
  <c r="E2097" i="8"/>
  <c r="C2097" i="8"/>
  <c r="A2097" i="8"/>
  <c r="E2096" i="8"/>
  <c r="C2096" i="8"/>
  <c r="A2096" i="8"/>
  <c r="E2095" i="8"/>
  <c r="C2095" i="8"/>
  <c r="A2095" i="8"/>
  <c r="E2094" i="8"/>
  <c r="C2094" i="8"/>
  <c r="A2094" i="8"/>
  <c r="E2093" i="8"/>
  <c r="C2093" i="8"/>
  <c r="A2093" i="8"/>
  <c r="E2092" i="8"/>
  <c r="C2092" i="8"/>
  <c r="A2092" i="8"/>
  <c r="E2091" i="8"/>
  <c r="C2091" i="8"/>
  <c r="A2091" i="8"/>
  <c r="A2090" i="8"/>
  <c r="A2089" i="8"/>
  <c r="A2088" i="8"/>
  <c r="A2087" i="8"/>
  <c r="A2086" i="8"/>
  <c r="A2085" i="8"/>
  <c r="A2084" i="8"/>
  <c r="A2083" i="8"/>
  <c r="A2082" i="8"/>
  <c r="E2081" i="8"/>
  <c r="C2081" i="8"/>
  <c r="A2081" i="8"/>
  <c r="E2080" i="8"/>
  <c r="C2080" i="8"/>
  <c r="A2080" i="8"/>
  <c r="E2079" i="8"/>
  <c r="C2079" i="8"/>
  <c r="A2079" i="8"/>
  <c r="E2078" i="8"/>
  <c r="C2078" i="8"/>
  <c r="A2078" i="8"/>
  <c r="E2077" i="8"/>
  <c r="C2077" i="8"/>
  <c r="A2077" i="8"/>
  <c r="E2076" i="8"/>
  <c r="C2076" i="8"/>
  <c r="A2076" i="8"/>
  <c r="E2075" i="8"/>
  <c r="C2075" i="8"/>
  <c r="A2075" i="8"/>
  <c r="E2074" i="8"/>
  <c r="C2074" i="8"/>
  <c r="A2074" i="8"/>
  <c r="E2073" i="8"/>
  <c r="C2073" i="8"/>
  <c r="A2073" i="8"/>
  <c r="A2072" i="8"/>
  <c r="A2071" i="8"/>
  <c r="A2070" i="8"/>
  <c r="A2069" i="8"/>
  <c r="A2068" i="8"/>
  <c r="E2067" i="8"/>
  <c r="C2067" i="8"/>
  <c r="A2067" i="8"/>
  <c r="E2066" i="8"/>
  <c r="C2066" i="8"/>
  <c r="A2066" i="8"/>
  <c r="E2065" i="8"/>
  <c r="C2065" i="8"/>
  <c r="A2065" i="8"/>
  <c r="E2064" i="8"/>
  <c r="C2064" i="8"/>
  <c r="A2064" i="8"/>
  <c r="E2063" i="8"/>
  <c r="C2063" i="8"/>
  <c r="A2063" i="8"/>
  <c r="E2062" i="8"/>
  <c r="C2062" i="8"/>
  <c r="A2062" i="8"/>
  <c r="E2061" i="8"/>
  <c r="C2061" i="8"/>
  <c r="A2061" i="8"/>
  <c r="E2060" i="8"/>
  <c r="C2060" i="8"/>
  <c r="A2060" i="8"/>
  <c r="E2059" i="8"/>
  <c r="C2059" i="8"/>
  <c r="A2059" i="8"/>
  <c r="E2058" i="8"/>
  <c r="C2058" i="8"/>
  <c r="A2058" i="8"/>
  <c r="E2057" i="8"/>
  <c r="C2057" i="8"/>
  <c r="A2057" i="8"/>
  <c r="E2056" i="8"/>
  <c r="C2056" i="8"/>
  <c r="A2056" i="8"/>
  <c r="E2055" i="8"/>
  <c r="C2055" i="8"/>
  <c r="A2055" i="8"/>
  <c r="E2054" i="8"/>
  <c r="C2054" i="8"/>
  <c r="A2054" i="8"/>
  <c r="E2053" i="8"/>
  <c r="C2053" i="8"/>
  <c r="A2053" i="8"/>
  <c r="E2052" i="8"/>
  <c r="C2052" i="8"/>
  <c r="A2052" i="8"/>
  <c r="E2051" i="8"/>
  <c r="C2051" i="8"/>
  <c r="A2051" i="8"/>
  <c r="E2050" i="8"/>
  <c r="C2050" i="8"/>
  <c r="A2050" i="8"/>
  <c r="E2049" i="8"/>
  <c r="C2049" i="8"/>
  <c r="A2049" i="8"/>
  <c r="E2048" i="8"/>
  <c r="C2048" i="8"/>
  <c r="A2048" i="8"/>
  <c r="E2047" i="8"/>
  <c r="C2047" i="8"/>
  <c r="A2047" i="8"/>
  <c r="E2046" i="8"/>
  <c r="C2046" i="8"/>
  <c r="A2046" i="8"/>
  <c r="E2045" i="8"/>
  <c r="C2045" i="8"/>
  <c r="A2045" i="8"/>
  <c r="E2044" i="8"/>
  <c r="C2044" i="8"/>
  <c r="A2044" i="8"/>
  <c r="E2043" i="8"/>
  <c r="C2043" i="8"/>
  <c r="A2043" i="8"/>
  <c r="E2042" i="8"/>
  <c r="C2042" i="8"/>
  <c r="A2042" i="8"/>
  <c r="E2041" i="8"/>
  <c r="C2041" i="8"/>
  <c r="A2041" i="8"/>
  <c r="E2040" i="8"/>
  <c r="C2040" i="8"/>
  <c r="A2040" i="8"/>
  <c r="E2039" i="8"/>
  <c r="C2039" i="8"/>
  <c r="A2039" i="8"/>
  <c r="E2038" i="8"/>
  <c r="C2038" i="8"/>
  <c r="A2038" i="8"/>
  <c r="C2037" i="8"/>
  <c r="A2037" i="8"/>
  <c r="E2036" i="8"/>
  <c r="C2036" i="8"/>
  <c r="A2036" i="8"/>
  <c r="E2035" i="8"/>
  <c r="C2035" i="8"/>
  <c r="A2035" i="8"/>
  <c r="E2034" i="8"/>
  <c r="C2034" i="8"/>
  <c r="A2034" i="8"/>
  <c r="E2033" i="8"/>
  <c r="C2033" i="8"/>
  <c r="A2033" i="8"/>
  <c r="E2032" i="8"/>
  <c r="C2032" i="8"/>
  <c r="A2032" i="8"/>
  <c r="E2031" i="8"/>
  <c r="C2031" i="8"/>
  <c r="A2031" i="8"/>
  <c r="E2030" i="8"/>
  <c r="C2030" i="8"/>
  <c r="A2030" i="8"/>
  <c r="E2029" i="8"/>
  <c r="C2029" i="8"/>
  <c r="A2029" i="8"/>
  <c r="E2028" i="8"/>
  <c r="C2028" i="8"/>
  <c r="A2028" i="8"/>
  <c r="E2027" i="8"/>
  <c r="C2027" i="8"/>
  <c r="A2027" i="8"/>
  <c r="E2026" i="8"/>
  <c r="C2026" i="8"/>
  <c r="A2026" i="8"/>
  <c r="E2025" i="8"/>
  <c r="C2025" i="8"/>
  <c r="A2025" i="8"/>
  <c r="E2024" i="8"/>
  <c r="C2024" i="8"/>
  <c r="A2024" i="8"/>
  <c r="E2023" i="8"/>
  <c r="C2023" i="8"/>
  <c r="A2023" i="8"/>
  <c r="E2022" i="8"/>
  <c r="C2022" i="8"/>
  <c r="A2022" i="8"/>
  <c r="E2021" i="8"/>
  <c r="C2021" i="8"/>
  <c r="A2021" i="8"/>
  <c r="E2020" i="8"/>
  <c r="C2020" i="8"/>
  <c r="A2020" i="8"/>
  <c r="A2019" i="8"/>
  <c r="A2018" i="8"/>
  <c r="A2017" i="8"/>
  <c r="A2016" i="8"/>
  <c r="E2015" i="8"/>
  <c r="C2015" i="8"/>
  <c r="A2015" i="8"/>
  <c r="E2014" i="8"/>
  <c r="C2014" i="8"/>
  <c r="A2014" i="8"/>
  <c r="E2013" i="8"/>
  <c r="C2013" i="8"/>
  <c r="A2013" i="8"/>
  <c r="E2012" i="8"/>
  <c r="C2012" i="8"/>
  <c r="A2012" i="8"/>
  <c r="E2011" i="8"/>
  <c r="C2011" i="8"/>
  <c r="A2011" i="8"/>
  <c r="E2010" i="8"/>
  <c r="C2010" i="8"/>
  <c r="A2010" i="8"/>
  <c r="E2009" i="8"/>
  <c r="C2009" i="8"/>
  <c r="A2009" i="8"/>
  <c r="E2008" i="8"/>
  <c r="C2008" i="8"/>
  <c r="A2008" i="8"/>
  <c r="E2007" i="8"/>
  <c r="C2007" i="8"/>
  <c r="A2007" i="8"/>
  <c r="E2006" i="8"/>
  <c r="C2006" i="8"/>
  <c r="A2006" i="8"/>
  <c r="E2005" i="8"/>
  <c r="C2005" i="8"/>
  <c r="A2005" i="8"/>
  <c r="C2004" i="8"/>
  <c r="A2004" i="8"/>
  <c r="E2003" i="8"/>
  <c r="C2003" i="8"/>
  <c r="A2003" i="8"/>
  <c r="E2002" i="8"/>
  <c r="C2002" i="8"/>
  <c r="A2002" i="8"/>
  <c r="E2001" i="8"/>
  <c r="C2001" i="8"/>
  <c r="A2001" i="8"/>
  <c r="E2000" i="8"/>
  <c r="C2000" i="8"/>
  <c r="A2000" i="8"/>
  <c r="E1999" i="8"/>
  <c r="C1999" i="8"/>
  <c r="A1999" i="8"/>
  <c r="E1998" i="8"/>
  <c r="C1998" i="8"/>
  <c r="A1998" i="8"/>
  <c r="E1997" i="8"/>
  <c r="C1997" i="8"/>
  <c r="A1997" i="8"/>
  <c r="A1996" i="8"/>
  <c r="A1995" i="8"/>
  <c r="A1994" i="8"/>
  <c r="A1993" i="8"/>
  <c r="A1992" i="8"/>
  <c r="A1991" i="8"/>
  <c r="E1990" i="8"/>
  <c r="C1990" i="8"/>
  <c r="A1990" i="8"/>
  <c r="A1989" i="8"/>
  <c r="A1988" i="8"/>
  <c r="A1987" i="8"/>
  <c r="A1986" i="8"/>
  <c r="A1985" i="8"/>
  <c r="A1984" i="8"/>
  <c r="A1983" i="8"/>
  <c r="A1982" i="8"/>
  <c r="E1981" i="8"/>
  <c r="C1981" i="8"/>
  <c r="A1981" i="8"/>
  <c r="C1980" i="8"/>
  <c r="A1980" i="8"/>
  <c r="E1979" i="8"/>
  <c r="C1979" i="8"/>
  <c r="A1979" i="8"/>
  <c r="E1978" i="8"/>
  <c r="C1978" i="8"/>
  <c r="A1978" i="8"/>
  <c r="E1977" i="8"/>
  <c r="C1977" i="8"/>
  <c r="A1977" i="8"/>
  <c r="E1976" i="8"/>
  <c r="C1976" i="8"/>
  <c r="A1976" i="8"/>
  <c r="E1975" i="8"/>
  <c r="C1975" i="8"/>
  <c r="A1975" i="8"/>
  <c r="E1974" i="8"/>
  <c r="C1974" i="8"/>
  <c r="A1974" i="8"/>
  <c r="E1973" i="8"/>
  <c r="C1973" i="8"/>
  <c r="A1973" i="8"/>
  <c r="E1972" i="8"/>
  <c r="C1972" i="8"/>
  <c r="A1972" i="8"/>
  <c r="E1971" i="8"/>
  <c r="C1971" i="8"/>
  <c r="A1971" i="8"/>
  <c r="E1970" i="8"/>
  <c r="C1970" i="8"/>
  <c r="A1970" i="8"/>
  <c r="A1969" i="8"/>
  <c r="A1968" i="8"/>
  <c r="A1967" i="8"/>
  <c r="A1966" i="8"/>
  <c r="A1965" i="8"/>
  <c r="A1964" i="8"/>
  <c r="A1963" i="8"/>
  <c r="A1962" i="8"/>
  <c r="A1961" i="8"/>
  <c r="A1960" i="8"/>
  <c r="E1959" i="8"/>
  <c r="C1959" i="8"/>
  <c r="A1959" i="8"/>
  <c r="E1958" i="8"/>
  <c r="C1958" i="8"/>
  <c r="A1958" i="8"/>
  <c r="E1957" i="8"/>
  <c r="C1957" i="8"/>
  <c r="A1957" i="8"/>
  <c r="E1956" i="8"/>
  <c r="C1956" i="8"/>
  <c r="A1956" i="8"/>
  <c r="E1955" i="8"/>
  <c r="C1955" i="8"/>
  <c r="A1955" i="8"/>
  <c r="E1954" i="8"/>
  <c r="C1954" i="8"/>
  <c r="A1954" i="8"/>
  <c r="E1953" i="8"/>
  <c r="C1953" i="8"/>
  <c r="A1953" i="8"/>
  <c r="E1952" i="8"/>
  <c r="C1952" i="8"/>
  <c r="A1952" i="8"/>
  <c r="E1951" i="8"/>
  <c r="C1951" i="8"/>
  <c r="A1951" i="8"/>
  <c r="E1950" i="8"/>
  <c r="C1950" i="8"/>
  <c r="A1950" i="8"/>
  <c r="E1949" i="8"/>
  <c r="C1949" i="8"/>
  <c r="A1949" i="8"/>
  <c r="E1948" i="8"/>
  <c r="C1948" i="8"/>
  <c r="A1948" i="8"/>
  <c r="C1947" i="8"/>
  <c r="A1947" i="8"/>
  <c r="E1946" i="8"/>
  <c r="C1946" i="8"/>
  <c r="A1946" i="8"/>
  <c r="E1945" i="8"/>
  <c r="C1945" i="8"/>
  <c r="A1945" i="8"/>
  <c r="E1944" i="8"/>
  <c r="C1944" i="8"/>
  <c r="A1944" i="8"/>
  <c r="E1943" i="8"/>
  <c r="C1943" i="8"/>
  <c r="A1943" i="8"/>
  <c r="E1942" i="8"/>
  <c r="C1942" i="8"/>
  <c r="A1942" i="8"/>
  <c r="E1941" i="8"/>
  <c r="C1941" i="8"/>
  <c r="A1941" i="8"/>
  <c r="E1940" i="8"/>
  <c r="C1940" i="8"/>
  <c r="A1940" i="8"/>
  <c r="E1939" i="8"/>
  <c r="C1939" i="8"/>
  <c r="A1939" i="8"/>
  <c r="E1938" i="8"/>
  <c r="C1938" i="8"/>
  <c r="A1938" i="8"/>
  <c r="E1937" i="8"/>
  <c r="C1937" i="8"/>
  <c r="A1937" i="8"/>
  <c r="E1936" i="8"/>
  <c r="C1936" i="8"/>
  <c r="A1936" i="8"/>
  <c r="E1935" i="8"/>
  <c r="C1935" i="8"/>
  <c r="A1935" i="8"/>
  <c r="E1934" i="8"/>
  <c r="C1934" i="8"/>
  <c r="A1934" i="8"/>
  <c r="E1933" i="8"/>
  <c r="C1933" i="8"/>
  <c r="A1933" i="8"/>
  <c r="E1932" i="8"/>
  <c r="C1932" i="8"/>
  <c r="A1932" i="8"/>
  <c r="E1931" i="8"/>
  <c r="C1931" i="8"/>
  <c r="A1931" i="8"/>
  <c r="E1930" i="8"/>
  <c r="C1930" i="8"/>
  <c r="A1930" i="8"/>
  <c r="E1929" i="8"/>
  <c r="C1929" i="8"/>
  <c r="A1929" i="8"/>
  <c r="E1928" i="8"/>
  <c r="C1928" i="8"/>
  <c r="A1928" i="8"/>
  <c r="E1927" i="8"/>
  <c r="C1927" i="8"/>
  <c r="A1927" i="8"/>
  <c r="E1926" i="8"/>
  <c r="C1926" i="8"/>
  <c r="A1926" i="8"/>
  <c r="E1925" i="8"/>
  <c r="C1925" i="8"/>
  <c r="A1925" i="8"/>
  <c r="E1924" i="8"/>
  <c r="C1924" i="8"/>
  <c r="A1924" i="8"/>
  <c r="E1923" i="8"/>
  <c r="C1923" i="8"/>
  <c r="A1923" i="8"/>
  <c r="E1922" i="8"/>
  <c r="C1922" i="8"/>
  <c r="A1922" i="8"/>
  <c r="E1921" i="8"/>
  <c r="C1921" i="8"/>
  <c r="A1921" i="8"/>
  <c r="E1920" i="8"/>
  <c r="C1920" i="8"/>
  <c r="A1920" i="8"/>
  <c r="E1919" i="8"/>
  <c r="C1919" i="8"/>
  <c r="A1919" i="8"/>
  <c r="E1918" i="8"/>
  <c r="C1918" i="8"/>
  <c r="A1918" i="8"/>
  <c r="E1917" i="8"/>
  <c r="C1917" i="8"/>
  <c r="A1917" i="8"/>
  <c r="E1916" i="8"/>
  <c r="C1916" i="8"/>
  <c r="A1916" i="8"/>
  <c r="E1915" i="8"/>
  <c r="C1915" i="8"/>
  <c r="A1915" i="8"/>
  <c r="E1914" i="8"/>
  <c r="C1914" i="8"/>
  <c r="A1914" i="8"/>
  <c r="E1913" i="8"/>
  <c r="C1913" i="8"/>
  <c r="A1913" i="8"/>
  <c r="E1912" i="8"/>
  <c r="C1912" i="8"/>
  <c r="A1912" i="8"/>
  <c r="E1911" i="8"/>
  <c r="C1911" i="8"/>
  <c r="A1911" i="8"/>
  <c r="E1910" i="8"/>
  <c r="C1910" i="8"/>
  <c r="A1910" i="8"/>
  <c r="E1909" i="8"/>
  <c r="C1909" i="8"/>
  <c r="A1909" i="8"/>
  <c r="E1908" i="8"/>
  <c r="C1908" i="8"/>
  <c r="A1908" i="8"/>
  <c r="E1907" i="8"/>
  <c r="C1907" i="8"/>
  <c r="A1907" i="8"/>
  <c r="E1906" i="8"/>
  <c r="C1906" i="8"/>
  <c r="A1906" i="8"/>
  <c r="E1905" i="8"/>
  <c r="C1905" i="8"/>
  <c r="A1905" i="8"/>
  <c r="E1904" i="8"/>
  <c r="C1904" i="8"/>
  <c r="A1904" i="8"/>
  <c r="E1903" i="8"/>
  <c r="C1903" i="8"/>
  <c r="A1903" i="8"/>
  <c r="E1902" i="8"/>
  <c r="C1902" i="8"/>
  <c r="A1902" i="8"/>
  <c r="E1901" i="8"/>
  <c r="C1901" i="8"/>
  <c r="A1901" i="8"/>
  <c r="E1900" i="8"/>
  <c r="C1900" i="8"/>
  <c r="A1900" i="8"/>
  <c r="E1899" i="8"/>
  <c r="C1899" i="8"/>
  <c r="A1899" i="8"/>
  <c r="E1898" i="8"/>
  <c r="C1898" i="8"/>
  <c r="A1898" i="8"/>
  <c r="E1897" i="8"/>
  <c r="C1897" i="8"/>
  <c r="A1897" i="8"/>
  <c r="E1896" i="8"/>
  <c r="C1896" i="8"/>
  <c r="A1896" i="8"/>
  <c r="E1895" i="8"/>
  <c r="C1895" i="8"/>
  <c r="A1895" i="8"/>
  <c r="E1894" i="8"/>
  <c r="C1894" i="8"/>
  <c r="A1894" i="8"/>
  <c r="E1893" i="8"/>
  <c r="C1893" i="8"/>
  <c r="A1893" i="8"/>
  <c r="E1892" i="8"/>
  <c r="C1892" i="8"/>
  <c r="A1892" i="8"/>
  <c r="E1891" i="8"/>
  <c r="C1891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E1875" i="8"/>
  <c r="C1875" i="8"/>
  <c r="A1875" i="8"/>
  <c r="E1874" i="8"/>
  <c r="C1874" i="8"/>
  <c r="A1874" i="8"/>
  <c r="E1873" i="8"/>
  <c r="C1873" i="8"/>
  <c r="A1873" i="8"/>
  <c r="E1872" i="8"/>
  <c r="C1872" i="8"/>
  <c r="A1872" i="8"/>
  <c r="E1871" i="8"/>
  <c r="C1871" i="8"/>
  <c r="A1871" i="8"/>
  <c r="E1870" i="8"/>
  <c r="C1870" i="8"/>
  <c r="A1870" i="8"/>
  <c r="E1869" i="8"/>
  <c r="C1869" i="8"/>
  <c r="A1869" i="8"/>
  <c r="E1868" i="8"/>
  <c r="C1868" i="8"/>
  <c r="A1868" i="8"/>
  <c r="E1867" i="8"/>
  <c r="C1867" i="8"/>
  <c r="A1867" i="8"/>
  <c r="E1866" i="8"/>
  <c r="C1866" i="8"/>
  <c r="A1866" i="8"/>
  <c r="E1865" i="8"/>
  <c r="C1865" i="8"/>
  <c r="A1865" i="8"/>
  <c r="E1864" i="8"/>
  <c r="C1864" i="8"/>
  <c r="A1864" i="8"/>
  <c r="E1863" i="8"/>
  <c r="C1863" i="8"/>
  <c r="A1863" i="8"/>
  <c r="E1862" i="8"/>
  <c r="C1862" i="8"/>
  <c r="A1862" i="8"/>
  <c r="E1861" i="8"/>
  <c r="C1861" i="8"/>
  <c r="A1861" i="8"/>
  <c r="E1860" i="8"/>
  <c r="C1860" i="8"/>
  <c r="A1860" i="8"/>
  <c r="E1859" i="8"/>
  <c r="C1859" i="8"/>
  <c r="A1859" i="8"/>
  <c r="E1858" i="8"/>
  <c r="C1858" i="8"/>
  <c r="A1858" i="8"/>
  <c r="E1857" i="8"/>
  <c r="C1857" i="8"/>
  <c r="A1857" i="8"/>
  <c r="E1856" i="8"/>
  <c r="C1856" i="8"/>
  <c r="A1856" i="8"/>
  <c r="E1855" i="8"/>
  <c r="C1855" i="8"/>
  <c r="A1855" i="8"/>
  <c r="E1854" i="8"/>
  <c r="C1854" i="8"/>
  <c r="A1854" i="8"/>
  <c r="E1853" i="8"/>
  <c r="C1853" i="8"/>
  <c r="A1853" i="8"/>
  <c r="E1852" i="8"/>
  <c r="C1852" i="8"/>
  <c r="A1852" i="8"/>
  <c r="E1851" i="8"/>
  <c r="C1851" i="8"/>
  <c r="A1851" i="8"/>
  <c r="E1850" i="8"/>
  <c r="C1850" i="8"/>
  <c r="A1850" i="8"/>
  <c r="E1849" i="8"/>
  <c r="C1849" i="8"/>
  <c r="A1849" i="8"/>
  <c r="E1848" i="8"/>
  <c r="C1848" i="8"/>
  <c r="A1848" i="8"/>
  <c r="E1847" i="8"/>
  <c r="C1847" i="8"/>
  <c r="A1847" i="8"/>
  <c r="E1846" i="8"/>
  <c r="C1846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E1828" i="8"/>
  <c r="C1828" i="8"/>
  <c r="A1828" i="8"/>
  <c r="E1827" i="8"/>
  <c r="C1827" i="8"/>
  <c r="A1827" i="8"/>
  <c r="E1826" i="8"/>
  <c r="C1826" i="8"/>
  <c r="A1826" i="8"/>
  <c r="E1825" i="8"/>
  <c r="C1825" i="8"/>
  <c r="A1825" i="8"/>
  <c r="E1824" i="8"/>
  <c r="C1824" i="8"/>
  <c r="A1824" i="8"/>
  <c r="E1823" i="8"/>
  <c r="C1823" i="8"/>
  <c r="A1823" i="8"/>
  <c r="E1822" i="8"/>
  <c r="C1822" i="8"/>
  <c r="A1822" i="8"/>
  <c r="E1821" i="8"/>
  <c r="C1821" i="8"/>
  <c r="A1821" i="8"/>
  <c r="E1820" i="8"/>
  <c r="C1820" i="8"/>
  <c r="A1820" i="8"/>
  <c r="E1819" i="8"/>
  <c r="C1819" i="8"/>
  <c r="A1819" i="8"/>
  <c r="E1818" i="8"/>
  <c r="C1818" i="8"/>
  <c r="A1818" i="8"/>
  <c r="E1817" i="8"/>
  <c r="C1817" i="8"/>
  <c r="A1817" i="8"/>
  <c r="E1816" i="8"/>
  <c r="C1816" i="8"/>
  <c r="A1816" i="8"/>
  <c r="E1815" i="8"/>
  <c r="C1815" i="8"/>
  <c r="A1815" i="8"/>
  <c r="E1814" i="8"/>
  <c r="C1814" i="8"/>
  <c r="A1814" i="8"/>
  <c r="A1813" i="8"/>
  <c r="A1812" i="8"/>
  <c r="A1811" i="8"/>
  <c r="A1810" i="8"/>
  <c r="A1809" i="8"/>
  <c r="A1808" i="8"/>
  <c r="A1807" i="8"/>
  <c r="A1806" i="8"/>
  <c r="A1805" i="8"/>
  <c r="A1804" i="8"/>
  <c r="E1803" i="8"/>
  <c r="C1803" i="8"/>
  <c r="A1803" i="8"/>
  <c r="E1802" i="8"/>
  <c r="C1802" i="8"/>
  <c r="A1802" i="8"/>
  <c r="E1801" i="8"/>
  <c r="C1801" i="8"/>
  <c r="A1801" i="8"/>
  <c r="E1800" i="8"/>
  <c r="C1800" i="8"/>
  <c r="A1800" i="8"/>
  <c r="E1799" i="8"/>
  <c r="C1799" i="8"/>
  <c r="A1799" i="8"/>
  <c r="E1798" i="8"/>
  <c r="C1798" i="8"/>
  <c r="A1798" i="8"/>
  <c r="E1797" i="8"/>
  <c r="C1797" i="8"/>
  <c r="A1797" i="8"/>
  <c r="C1796" i="8"/>
  <c r="A1796" i="8"/>
  <c r="A1795" i="8"/>
  <c r="A1794" i="8"/>
  <c r="A1793" i="8"/>
  <c r="A1792" i="8"/>
  <c r="A1791" i="8"/>
  <c r="E1790" i="8"/>
  <c r="C1790" i="8"/>
  <c r="A1790" i="8"/>
  <c r="E1789" i="8"/>
  <c r="C1789" i="8"/>
  <c r="A1789" i="8"/>
  <c r="E1788" i="8"/>
  <c r="C1788" i="8"/>
  <c r="A1788" i="8"/>
  <c r="E1787" i="8"/>
  <c r="C1787" i="8"/>
  <c r="A1787" i="8"/>
  <c r="E1786" i="8"/>
  <c r="C1786" i="8"/>
  <c r="A1786" i="8"/>
  <c r="E1785" i="8"/>
  <c r="C1785" i="8"/>
  <c r="A1785" i="8"/>
  <c r="E1784" i="8"/>
  <c r="C1784" i="8"/>
  <c r="A1784" i="8"/>
  <c r="E1783" i="8"/>
  <c r="C1783" i="8"/>
  <c r="A1783" i="8"/>
  <c r="E1782" i="8"/>
  <c r="C1782" i="8"/>
  <c r="A1782" i="8"/>
  <c r="E1781" i="8"/>
  <c r="C1781" i="8"/>
  <c r="A1781" i="8"/>
  <c r="E1780" i="8"/>
  <c r="C1780" i="8"/>
  <c r="A1780" i="8"/>
  <c r="A1779" i="8"/>
  <c r="E1778" i="8"/>
  <c r="C1778" i="8"/>
  <c r="A1778" i="8"/>
  <c r="E1777" i="8"/>
  <c r="C1777" i="8"/>
  <c r="A1777" i="8"/>
  <c r="E1776" i="8"/>
  <c r="C1776" i="8"/>
  <c r="A1776" i="8"/>
  <c r="E1775" i="8"/>
  <c r="C1775" i="8"/>
  <c r="A1775" i="8"/>
  <c r="E1774" i="8"/>
  <c r="C1774" i="8"/>
  <c r="A1774" i="8"/>
  <c r="E1773" i="8"/>
  <c r="C1773" i="8"/>
  <c r="A1773" i="8"/>
  <c r="E1772" i="8"/>
  <c r="C1772" i="8"/>
  <c r="A1772" i="8"/>
  <c r="E1771" i="8"/>
  <c r="C1771" i="8"/>
  <c r="A1771" i="8"/>
  <c r="E1770" i="8"/>
  <c r="C1770" i="8"/>
  <c r="A1770" i="8"/>
  <c r="E1769" i="8"/>
  <c r="C1769" i="8"/>
  <c r="A1769" i="8"/>
  <c r="E1768" i="8"/>
  <c r="C1768" i="8"/>
  <c r="A1768" i="8"/>
  <c r="E1767" i="8"/>
  <c r="C1767" i="8"/>
  <c r="A1767" i="8"/>
  <c r="E1766" i="8"/>
  <c r="C1766" i="8"/>
  <c r="A1766" i="8"/>
  <c r="E1765" i="8"/>
  <c r="C1765" i="8"/>
  <c r="A1765" i="8"/>
  <c r="E1764" i="8"/>
  <c r="C1764" i="8"/>
  <c r="A1764" i="8"/>
  <c r="A1763" i="8"/>
  <c r="A1762" i="8"/>
  <c r="A1761" i="8"/>
  <c r="A1760" i="8"/>
  <c r="A1759" i="8"/>
  <c r="A1758" i="8"/>
  <c r="A1757" i="8"/>
  <c r="E1756" i="8"/>
  <c r="C1756" i="8"/>
  <c r="A1756" i="8"/>
  <c r="E1755" i="8"/>
  <c r="C1755" i="8"/>
  <c r="A1755" i="8"/>
  <c r="E1754" i="8"/>
  <c r="C1754" i="8"/>
  <c r="A1754" i="8"/>
  <c r="E1753" i="8"/>
  <c r="C1753" i="8"/>
  <c r="A1753" i="8"/>
  <c r="E1752" i="8"/>
  <c r="C1752" i="8"/>
  <c r="A1752" i="8"/>
  <c r="A1751" i="8"/>
  <c r="A1750" i="8"/>
  <c r="A1749" i="8"/>
  <c r="E1748" i="8"/>
  <c r="C1748" i="8"/>
  <c r="A1748" i="8"/>
  <c r="E1747" i="8"/>
  <c r="C1747" i="8"/>
  <c r="A1747" i="8"/>
  <c r="E1746" i="8"/>
  <c r="C1746" i="8"/>
  <c r="A1746" i="8"/>
  <c r="E1745" i="8"/>
  <c r="C1745" i="8"/>
  <c r="A1745" i="8"/>
  <c r="E1744" i="8"/>
  <c r="C1744" i="8"/>
  <c r="A1744" i="8"/>
  <c r="E1743" i="8"/>
  <c r="C1743" i="8"/>
  <c r="A1743" i="8"/>
  <c r="A1742" i="8"/>
  <c r="E1741" i="8"/>
  <c r="C1741" i="8"/>
  <c r="A1741" i="8"/>
  <c r="E1740" i="8"/>
  <c r="C1740" i="8"/>
  <c r="A1740" i="8"/>
  <c r="E1739" i="8"/>
  <c r="C1739" i="8"/>
  <c r="A1739" i="8"/>
  <c r="E1738" i="8"/>
  <c r="C1738" i="8"/>
  <c r="A1738" i="8"/>
  <c r="E1737" i="8"/>
  <c r="C1737" i="8"/>
  <c r="A1737" i="8"/>
  <c r="E1736" i="8"/>
  <c r="C1736" i="8"/>
  <c r="A1736" i="8"/>
  <c r="E1735" i="8"/>
  <c r="C1735" i="8"/>
  <c r="A1735" i="8"/>
  <c r="E1734" i="8"/>
  <c r="C1734" i="8"/>
  <c r="A1734" i="8"/>
  <c r="E1733" i="8"/>
  <c r="C1733" i="8"/>
  <c r="A1733" i="8"/>
  <c r="E1732" i="8"/>
  <c r="C1732" i="8"/>
  <c r="A1732" i="8"/>
  <c r="E1731" i="8"/>
  <c r="C1731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E1719" i="8"/>
  <c r="C1719" i="8"/>
  <c r="A1719" i="8"/>
  <c r="E1718" i="8"/>
  <c r="C1718" i="8"/>
  <c r="A1718" i="8"/>
  <c r="E1717" i="8"/>
  <c r="C1717" i="8"/>
  <c r="A1717" i="8"/>
  <c r="E1716" i="8"/>
  <c r="C1716" i="8"/>
  <c r="A1716" i="8"/>
  <c r="A1715" i="8"/>
  <c r="A1714" i="8"/>
  <c r="A1713" i="8"/>
  <c r="A1712" i="8"/>
  <c r="E1711" i="8"/>
  <c r="C1711" i="8"/>
  <c r="A1711" i="8"/>
  <c r="E1710" i="8"/>
  <c r="C1710" i="8"/>
  <c r="A1710" i="8"/>
  <c r="E1709" i="8"/>
  <c r="C1709" i="8"/>
  <c r="A1709" i="8"/>
  <c r="E1708" i="8"/>
  <c r="C1708" i="8"/>
  <c r="A1708" i="8"/>
  <c r="E1707" i="8"/>
  <c r="C1707" i="8"/>
  <c r="A1707" i="8"/>
  <c r="E1706" i="8"/>
  <c r="C1706" i="8"/>
  <c r="A1706" i="8"/>
  <c r="E1705" i="8"/>
  <c r="C1705" i="8"/>
  <c r="A1705" i="8"/>
  <c r="E1704" i="8"/>
  <c r="C1704" i="8"/>
  <c r="A1704" i="8"/>
  <c r="E1703" i="8"/>
  <c r="C1703" i="8"/>
  <c r="A1703" i="8"/>
  <c r="E1702" i="8"/>
  <c r="C1702" i="8"/>
  <c r="A1702" i="8"/>
  <c r="E1701" i="8"/>
  <c r="C1701" i="8"/>
  <c r="A1701" i="8"/>
  <c r="E1700" i="8"/>
  <c r="C1700" i="8"/>
  <c r="A1700" i="8"/>
  <c r="E1699" i="8"/>
  <c r="C1699" i="8"/>
  <c r="A1699" i="8"/>
  <c r="E1698" i="8"/>
  <c r="C1698" i="8"/>
  <c r="A1698" i="8"/>
  <c r="A1697" i="8"/>
  <c r="A1696" i="8"/>
  <c r="A1695" i="8"/>
  <c r="E1694" i="8"/>
  <c r="C1694" i="8"/>
  <c r="A1694" i="8"/>
  <c r="E1693" i="8"/>
  <c r="C1693" i="8"/>
  <c r="A1693" i="8"/>
  <c r="E1692" i="8"/>
  <c r="C1692" i="8"/>
  <c r="A1692" i="8"/>
  <c r="E1691" i="8"/>
  <c r="C1691" i="8"/>
  <c r="A1691" i="8"/>
  <c r="E1690" i="8"/>
  <c r="C1690" i="8"/>
  <c r="A1690" i="8"/>
  <c r="E1689" i="8"/>
  <c r="C1689" i="8"/>
  <c r="A1689" i="8"/>
  <c r="E1688" i="8"/>
  <c r="C1688" i="8"/>
  <c r="A1688" i="8"/>
  <c r="E1687" i="8"/>
  <c r="C1687" i="8"/>
  <c r="A1687" i="8"/>
  <c r="E1686" i="8"/>
  <c r="C1686" i="8"/>
  <c r="A1686" i="8"/>
  <c r="E1685" i="8"/>
  <c r="C1685" i="8"/>
  <c r="A1685" i="8"/>
  <c r="E1684" i="8"/>
  <c r="C1684" i="8"/>
  <c r="A1684" i="8"/>
  <c r="E1683" i="8"/>
  <c r="C1683" i="8"/>
  <c r="A1683" i="8"/>
  <c r="E1682" i="8"/>
  <c r="C1682" i="8"/>
  <c r="A1682" i="8"/>
  <c r="E1681" i="8"/>
  <c r="C1681" i="8"/>
  <c r="A1681" i="8"/>
  <c r="E1680" i="8"/>
  <c r="C1680" i="8"/>
  <c r="A1680" i="8"/>
  <c r="E1679" i="8"/>
  <c r="C1679" i="8"/>
  <c r="A1679" i="8"/>
  <c r="E1678" i="8"/>
  <c r="C1678" i="8"/>
  <c r="A1678" i="8"/>
  <c r="E1677" i="8"/>
  <c r="C1677" i="8"/>
  <c r="A1677" i="8"/>
  <c r="E1676" i="8"/>
  <c r="C1676" i="8"/>
  <c r="A1676" i="8"/>
  <c r="E1675" i="8"/>
  <c r="C1675" i="8"/>
  <c r="A1675" i="8"/>
  <c r="E1674" i="8"/>
  <c r="C1674" i="8"/>
  <c r="A1674" i="8"/>
  <c r="E1673" i="8"/>
  <c r="C1673" i="8"/>
  <c r="A1673" i="8"/>
  <c r="E1672" i="8"/>
  <c r="C1672" i="8"/>
  <c r="A1672" i="8"/>
  <c r="E1671" i="8"/>
  <c r="C1671" i="8"/>
  <c r="A1671" i="8"/>
  <c r="E1670" i="8"/>
  <c r="C1670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E1658" i="8"/>
  <c r="C1658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E1645" i="8"/>
  <c r="C1645" i="8"/>
  <c r="A1645" i="8"/>
  <c r="A1644" i="8"/>
  <c r="A1643" i="8"/>
  <c r="A1642" i="8"/>
  <c r="E1641" i="8"/>
  <c r="C1641" i="8"/>
  <c r="A1641" i="8"/>
  <c r="E1640" i="8"/>
  <c r="C1640" i="8"/>
  <c r="A1640" i="8"/>
  <c r="E1639" i="8"/>
  <c r="C1639" i="8"/>
  <c r="A1639" i="8"/>
  <c r="E1638" i="8"/>
  <c r="C1638" i="8"/>
  <c r="A1638" i="8"/>
  <c r="E1637" i="8"/>
  <c r="C1637" i="8"/>
  <c r="A1637" i="8"/>
  <c r="E1636" i="8"/>
  <c r="C1636" i="8"/>
  <c r="A1636" i="8"/>
  <c r="E1635" i="8"/>
  <c r="C1635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C1591" i="8"/>
  <c r="A1591" i="8"/>
  <c r="C1590" i="8"/>
  <c r="A1590" i="8"/>
  <c r="C1589" i="8"/>
  <c r="A1589" i="8"/>
  <c r="A1588" i="8"/>
  <c r="A1587" i="8"/>
  <c r="A1586" i="8"/>
  <c r="A1585" i="8"/>
  <c r="A1584" i="8"/>
  <c r="A1583" i="8"/>
  <c r="A1582" i="8"/>
  <c r="A1581" i="8"/>
  <c r="A1580" i="8"/>
  <c r="A1579" i="8"/>
  <c r="E1578" i="8"/>
  <c r="C1578" i="8"/>
  <c r="A1578" i="8"/>
  <c r="E1577" i="8"/>
  <c r="C1577" i="8"/>
  <c r="A1577" i="8"/>
  <c r="E1576" i="8"/>
  <c r="C1576" i="8"/>
  <c r="A1576" i="8"/>
  <c r="E1575" i="8"/>
  <c r="C1575" i="8"/>
  <c r="A1575" i="8"/>
  <c r="E1574" i="8"/>
  <c r="C1574" i="8"/>
  <c r="A1574" i="8"/>
  <c r="E1573" i="8"/>
  <c r="C1573" i="8"/>
  <c r="A1573" i="8"/>
  <c r="E1572" i="8"/>
  <c r="C1572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E1558" i="8"/>
  <c r="C1558" i="8"/>
  <c r="A1558" i="8"/>
  <c r="E1557" i="8"/>
  <c r="C1557" i="8"/>
  <c r="A1557" i="8"/>
  <c r="E1556" i="8"/>
  <c r="C1556" i="8"/>
  <c r="A1556" i="8"/>
  <c r="E1555" i="8"/>
  <c r="C1555" i="8"/>
  <c r="A1555" i="8"/>
  <c r="E1554" i="8"/>
  <c r="C1554" i="8"/>
  <c r="A1554" i="8"/>
  <c r="E1553" i="8"/>
  <c r="C1553" i="8"/>
  <c r="A1553" i="8"/>
  <c r="E1552" i="8"/>
  <c r="C1552" i="8"/>
  <c r="A1552" i="8"/>
  <c r="E1551" i="8"/>
  <c r="C1551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E1536" i="8"/>
  <c r="C1536" i="8"/>
  <c r="A1536" i="8"/>
  <c r="E1535" i="8"/>
  <c r="C1535" i="8"/>
  <c r="A1535" i="8"/>
  <c r="E1534" i="8"/>
  <c r="C1534" i="8"/>
  <c r="A1534" i="8"/>
  <c r="E1533" i="8"/>
  <c r="C1533" i="8"/>
  <c r="A1533" i="8"/>
  <c r="E1532" i="8"/>
  <c r="C1532" i="8"/>
  <c r="A1532" i="8"/>
  <c r="E1531" i="8"/>
  <c r="C1531" i="8"/>
  <c r="A1531" i="8"/>
  <c r="E1530" i="8"/>
  <c r="C1530" i="8"/>
  <c r="A1530" i="8"/>
  <c r="E1529" i="8"/>
  <c r="C1529" i="8"/>
  <c r="A1529" i="8"/>
  <c r="E1528" i="8"/>
  <c r="C1528" i="8"/>
  <c r="A1528" i="8"/>
  <c r="E1527" i="8"/>
  <c r="C1527" i="8"/>
  <c r="A1527" i="8"/>
  <c r="E1526" i="8"/>
  <c r="C1526" i="8"/>
  <c r="A1526" i="8"/>
  <c r="E1525" i="8"/>
  <c r="C1525" i="8"/>
  <c r="A1525" i="8"/>
  <c r="E1524" i="8"/>
  <c r="C1524" i="8"/>
  <c r="A1524" i="8"/>
  <c r="E1523" i="8"/>
  <c r="C1523" i="8"/>
  <c r="A1523" i="8"/>
  <c r="E1522" i="8"/>
  <c r="C1522" i="8"/>
  <c r="A1522" i="8"/>
  <c r="E1521" i="8"/>
  <c r="C1521" i="8"/>
  <c r="A1521" i="8"/>
  <c r="E1520" i="8"/>
  <c r="C1520" i="8"/>
  <c r="A1520" i="8"/>
  <c r="E1519" i="8"/>
  <c r="C1519" i="8"/>
  <c r="A1519" i="8"/>
  <c r="E1518" i="8"/>
  <c r="C1518" i="8"/>
  <c r="A1518" i="8"/>
  <c r="E1517" i="8"/>
  <c r="C1517" i="8"/>
  <c r="A1517" i="8"/>
  <c r="E1516" i="8"/>
  <c r="C1516" i="8"/>
  <c r="A1516" i="8"/>
  <c r="E1515" i="8"/>
  <c r="C1515" i="8"/>
  <c r="A1515" i="8"/>
  <c r="E1514" i="8"/>
  <c r="C1514" i="8"/>
  <c r="A1514" i="8"/>
  <c r="E1513" i="8"/>
  <c r="C1513" i="8"/>
  <c r="A1513" i="8"/>
  <c r="E1512" i="8"/>
  <c r="C1512" i="8"/>
  <c r="A1512" i="8"/>
  <c r="E1511" i="8"/>
  <c r="C1511" i="8"/>
  <c r="A1511" i="8"/>
  <c r="E1510" i="8"/>
  <c r="C1510" i="8"/>
  <c r="A1510" i="8"/>
  <c r="E1509" i="8"/>
  <c r="C1509" i="8"/>
  <c r="A1509" i="8"/>
  <c r="E1508" i="8"/>
  <c r="C1508" i="8"/>
  <c r="A1508" i="8"/>
  <c r="E1507" i="8"/>
  <c r="C1507" i="8"/>
  <c r="A1507" i="8"/>
  <c r="E1506" i="8"/>
  <c r="C1506" i="8"/>
  <c r="A1506" i="8"/>
  <c r="E1505" i="8"/>
  <c r="C1505" i="8"/>
  <c r="A1505" i="8"/>
  <c r="E1504" i="8"/>
  <c r="C1504" i="8"/>
  <c r="A1504" i="8"/>
  <c r="E1503" i="8"/>
  <c r="C1503" i="8"/>
  <c r="A1503" i="8"/>
  <c r="C1502" i="8"/>
  <c r="A1502" i="8"/>
  <c r="E1501" i="8"/>
  <c r="C1501" i="8"/>
  <c r="A1501" i="8"/>
  <c r="E1500" i="8"/>
  <c r="C1500" i="8"/>
  <c r="A1500" i="8"/>
  <c r="E1499" i="8"/>
  <c r="C1499" i="8"/>
  <c r="A1499" i="8"/>
  <c r="E1498" i="8"/>
  <c r="C1498" i="8"/>
  <c r="A1498" i="8"/>
  <c r="E1497" i="8"/>
  <c r="C1497" i="8"/>
  <c r="A1497" i="8"/>
  <c r="E1496" i="8"/>
  <c r="C1496" i="8"/>
  <c r="A1496" i="8"/>
  <c r="E1495" i="8"/>
  <c r="C1495" i="8"/>
  <c r="A1495" i="8"/>
  <c r="E1494" i="8"/>
  <c r="C1494" i="8"/>
  <c r="A1494" i="8"/>
  <c r="E1493" i="8"/>
  <c r="C1493" i="8"/>
  <c r="A1493" i="8"/>
  <c r="E1492" i="8"/>
  <c r="C1492" i="8"/>
  <c r="A1492" i="8"/>
  <c r="E1491" i="8"/>
  <c r="C1491" i="8"/>
  <c r="A1491" i="8"/>
  <c r="E1490" i="8"/>
  <c r="C1490" i="8"/>
  <c r="A1490" i="8"/>
  <c r="E1489" i="8"/>
  <c r="C1489" i="8"/>
  <c r="A1489" i="8"/>
  <c r="E1488" i="8"/>
  <c r="C1488" i="8"/>
  <c r="A1488" i="8"/>
  <c r="E1487" i="8"/>
  <c r="C1487" i="8"/>
  <c r="A1487" i="8"/>
  <c r="E1486" i="8"/>
  <c r="C1486" i="8"/>
  <c r="A1486" i="8"/>
  <c r="E1485" i="8"/>
  <c r="C1485" i="8"/>
  <c r="A1485" i="8"/>
  <c r="E1484" i="8"/>
  <c r="C1484" i="8"/>
  <c r="A1484" i="8"/>
  <c r="E1483" i="8"/>
  <c r="C1483" i="8"/>
  <c r="A1483" i="8"/>
  <c r="E1482" i="8"/>
  <c r="C1482" i="8"/>
  <c r="A1482" i="8"/>
  <c r="E1481" i="8"/>
  <c r="C1481" i="8"/>
  <c r="A1481" i="8"/>
  <c r="C1480" i="8"/>
  <c r="A1480" i="8"/>
  <c r="A1479" i="8"/>
  <c r="E1478" i="8"/>
  <c r="C1478" i="8"/>
  <c r="A1478" i="8"/>
  <c r="E1477" i="8"/>
  <c r="C1477" i="8"/>
  <c r="A1477" i="8"/>
  <c r="E1476" i="8"/>
  <c r="C1476" i="8"/>
  <c r="A1476" i="8"/>
  <c r="E1475" i="8"/>
  <c r="C1475" i="8"/>
  <c r="A1475" i="8"/>
  <c r="E1474" i="8"/>
  <c r="C1474" i="8"/>
  <c r="A1474" i="8"/>
  <c r="E1473" i="8"/>
  <c r="C1473" i="8"/>
  <c r="A1473" i="8"/>
  <c r="E1472" i="8"/>
  <c r="C1472" i="8"/>
  <c r="A1472" i="8"/>
  <c r="E1471" i="8"/>
  <c r="C1471" i="8"/>
  <c r="A1471" i="8"/>
  <c r="E1470" i="8"/>
  <c r="C1470" i="8"/>
  <c r="A1470" i="8"/>
  <c r="E1469" i="8"/>
  <c r="C1469" i="8"/>
  <c r="A1469" i="8"/>
  <c r="E1468" i="8"/>
  <c r="C1468" i="8"/>
  <c r="A1468" i="8"/>
  <c r="E1467" i="8"/>
  <c r="C1467" i="8"/>
  <c r="A1467" i="8"/>
  <c r="E1466" i="8"/>
  <c r="C1466" i="8"/>
  <c r="A1466" i="8"/>
  <c r="E1465" i="8"/>
  <c r="C1465" i="8"/>
  <c r="A1465" i="8"/>
  <c r="E1464" i="8"/>
  <c r="C1464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E1452" i="8"/>
  <c r="A1452" i="8"/>
  <c r="A1451" i="8"/>
  <c r="A1450" i="8"/>
  <c r="A1449" i="8"/>
  <c r="A1448" i="8"/>
  <c r="A1447" i="8"/>
  <c r="A1446" i="8"/>
  <c r="A1445" i="8"/>
  <c r="A1444" i="8"/>
  <c r="E1443" i="8"/>
  <c r="C1443" i="8"/>
  <c r="A1443" i="8"/>
  <c r="E1442" i="8"/>
  <c r="C1442" i="8"/>
  <c r="A1442" i="8"/>
  <c r="E1441" i="8"/>
  <c r="C1441" i="8"/>
  <c r="A1441" i="8"/>
  <c r="E1440" i="8"/>
  <c r="C1440" i="8"/>
  <c r="A1440" i="8"/>
  <c r="E1439" i="8"/>
  <c r="C1439" i="8"/>
  <c r="A1439" i="8"/>
  <c r="E1438" i="8"/>
  <c r="C1438" i="8"/>
  <c r="A1438" i="8"/>
  <c r="E1437" i="8"/>
  <c r="C1437" i="8"/>
  <c r="A1437" i="8"/>
  <c r="E1436" i="8"/>
  <c r="C1436" i="8"/>
  <c r="A1436" i="8"/>
  <c r="E1435" i="8"/>
  <c r="C1435" i="8"/>
  <c r="A1435" i="8"/>
  <c r="E1434" i="8"/>
  <c r="C1434" i="8"/>
  <c r="A1434" i="8"/>
  <c r="E1433" i="8"/>
  <c r="C1433" i="8"/>
  <c r="A1433" i="8"/>
  <c r="E1432" i="8"/>
  <c r="C1432" i="8"/>
  <c r="A1432" i="8"/>
  <c r="E1431" i="8"/>
  <c r="C1431" i="8"/>
  <c r="A1431" i="8"/>
  <c r="E1430" i="8"/>
  <c r="C1430" i="8"/>
  <c r="A1430" i="8"/>
  <c r="E1429" i="8"/>
  <c r="C1429" i="8"/>
  <c r="A1429" i="8"/>
  <c r="E1428" i="8"/>
  <c r="C1428" i="8"/>
  <c r="A1428" i="8"/>
  <c r="E1427" i="8"/>
  <c r="C1427" i="8"/>
  <c r="A1427" i="8"/>
  <c r="E1426" i="8"/>
  <c r="C1426" i="8"/>
  <c r="A1426" i="8"/>
  <c r="E1425" i="8"/>
  <c r="C1425" i="8"/>
  <c r="A1425" i="8"/>
  <c r="E1424" i="8"/>
  <c r="C1424" i="8"/>
  <c r="A1424" i="8"/>
  <c r="E1423" i="8"/>
  <c r="C1423" i="8"/>
  <c r="A1423" i="8"/>
  <c r="E1422" i="8"/>
  <c r="C1422" i="8"/>
  <c r="A1422" i="8"/>
  <c r="E1421" i="8"/>
  <c r="C1421" i="8"/>
  <c r="A1421" i="8"/>
  <c r="E1420" i="8"/>
  <c r="C1420" i="8"/>
  <c r="A1420" i="8"/>
  <c r="E1419" i="8"/>
  <c r="C1419" i="8"/>
  <c r="A1419" i="8"/>
  <c r="E1418" i="8"/>
  <c r="C1418" i="8"/>
  <c r="A1418" i="8"/>
  <c r="E1417" i="8"/>
  <c r="C1417" i="8"/>
  <c r="A1417" i="8"/>
  <c r="E1416" i="8"/>
  <c r="C1416" i="8"/>
  <c r="A1416" i="8"/>
  <c r="E1415" i="8"/>
  <c r="C1415" i="8"/>
  <c r="A1415" i="8"/>
  <c r="E1414" i="8"/>
  <c r="C1414" i="8"/>
  <c r="A1414" i="8"/>
  <c r="E1413" i="8"/>
  <c r="C1413" i="8"/>
  <c r="A1413" i="8"/>
  <c r="E1412" i="8"/>
  <c r="C1412" i="8"/>
  <c r="A1412" i="8"/>
  <c r="E1411" i="8"/>
  <c r="C1411" i="8"/>
  <c r="A1411" i="8"/>
  <c r="E1410" i="8"/>
  <c r="C1410" i="8"/>
  <c r="A1410" i="8"/>
  <c r="E1409" i="8"/>
  <c r="C1409" i="8"/>
  <c r="A1409" i="8"/>
  <c r="E1408" i="8"/>
  <c r="C1408" i="8"/>
  <c r="A1408" i="8"/>
  <c r="E1407" i="8"/>
  <c r="C1407" i="8"/>
  <c r="A1407" i="8"/>
  <c r="E1406" i="8"/>
  <c r="C1406" i="8"/>
  <c r="A1406" i="8"/>
  <c r="E1405" i="8"/>
  <c r="C1405" i="8"/>
  <c r="A1405" i="8"/>
  <c r="E1404" i="8"/>
  <c r="C1404" i="8"/>
  <c r="A1404" i="8"/>
  <c r="E1403" i="8"/>
  <c r="C1403" i="8"/>
  <c r="A1403" i="8"/>
  <c r="E1402" i="8"/>
  <c r="C1402" i="8"/>
  <c r="A1402" i="8"/>
  <c r="E1401" i="8"/>
  <c r="C1401" i="8"/>
  <c r="A1401" i="8"/>
  <c r="E1400" i="8"/>
  <c r="C1400" i="8"/>
  <c r="A1400" i="8"/>
  <c r="E1399" i="8"/>
  <c r="C1399" i="8"/>
  <c r="A1399" i="8"/>
  <c r="E1398" i="8"/>
  <c r="C1398" i="8"/>
  <c r="A1398" i="8"/>
  <c r="E1397" i="8"/>
  <c r="C1397" i="8"/>
  <c r="A1397" i="8"/>
  <c r="E1396" i="8"/>
  <c r="C1396" i="8"/>
  <c r="A1396" i="8"/>
  <c r="E1395" i="8"/>
  <c r="C1395" i="8"/>
  <c r="A1395" i="8"/>
  <c r="E1394" i="8"/>
  <c r="C1394" i="8"/>
  <c r="A1394" i="8"/>
  <c r="E1393" i="8"/>
  <c r="C1393" i="8"/>
  <c r="A1393" i="8"/>
  <c r="E1392" i="8"/>
  <c r="C1392" i="8"/>
  <c r="A1392" i="8"/>
  <c r="E1391" i="8"/>
  <c r="C1391" i="8"/>
  <c r="A1391" i="8"/>
  <c r="E1390" i="8"/>
  <c r="C1390" i="8"/>
  <c r="A1390" i="8"/>
  <c r="E1389" i="8"/>
  <c r="C1389" i="8"/>
  <c r="A1389" i="8"/>
  <c r="E1388" i="8"/>
  <c r="C1388" i="8"/>
  <c r="A1388" i="8"/>
  <c r="E1387" i="8"/>
  <c r="C1387" i="8"/>
  <c r="A1387" i="8"/>
  <c r="E1386" i="8"/>
  <c r="C1386" i="8"/>
  <c r="A1386" i="8"/>
  <c r="E1385" i="8"/>
  <c r="C1385" i="8"/>
  <c r="A1385" i="8"/>
  <c r="E1384" i="8"/>
  <c r="C1384" i="8"/>
  <c r="A1384" i="8"/>
  <c r="E1383" i="8"/>
  <c r="C1383" i="8"/>
  <c r="A1383" i="8"/>
  <c r="E1382" i="8"/>
  <c r="C1382" i="8"/>
  <c r="A1382" i="8"/>
  <c r="E1381" i="8"/>
  <c r="C1381" i="8"/>
  <c r="A1381" i="8"/>
  <c r="E1380" i="8"/>
  <c r="C1380" i="8"/>
  <c r="A1380" i="8"/>
  <c r="E1379" i="8"/>
  <c r="C1379" i="8"/>
  <c r="A1379" i="8"/>
  <c r="E1378" i="8"/>
  <c r="C1378" i="8"/>
  <c r="A1378" i="8"/>
  <c r="E1377" i="8"/>
  <c r="C1377" i="8"/>
  <c r="A1377" i="8"/>
  <c r="E1376" i="8"/>
  <c r="C1376" i="8"/>
  <c r="A1376" i="8"/>
  <c r="E1375" i="8"/>
  <c r="C1375" i="8"/>
  <c r="A1375" i="8"/>
  <c r="E1374" i="8"/>
  <c r="C1374" i="8"/>
  <c r="A1374" i="8"/>
  <c r="E1373" i="8"/>
  <c r="C1373" i="8"/>
  <c r="A1373" i="8"/>
  <c r="E1372" i="8"/>
  <c r="C1372" i="8"/>
  <c r="A1372" i="8"/>
  <c r="E1371" i="8"/>
  <c r="C1371" i="8"/>
  <c r="A1371" i="8"/>
  <c r="E1370" i="8"/>
  <c r="C1370" i="8"/>
  <c r="A1370" i="8"/>
  <c r="E1369" i="8"/>
  <c r="C1369" i="8"/>
  <c r="A1369" i="8"/>
  <c r="E1368" i="8"/>
  <c r="C1368" i="8"/>
  <c r="A1368" i="8"/>
  <c r="E1367" i="8"/>
  <c r="C1367" i="8"/>
  <c r="A1367" i="8"/>
  <c r="E1366" i="8"/>
  <c r="C1366" i="8"/>
  <c r="A1366" i="8"/>
  <c r="E1365" i="8"/>
  <c r="C1365" i="8"/>
  <c r="A1365" i="8"/>
  <c r="E1364" i="8"/>
  <c r="C1364" i="8"/>
  <c r="A1364" i="8"/>
  <c r="E1363" i="8"/>
  <c r="C1363" i="8"/>
  <c r="A1363" i="8"/>
  <c r="E1362" i="8"/>
  <c r="C1362" i="8"/>
  <c r="A1362" i="8"/>
  <c r="E1361" i="8"/>
  <c r="C1361" i="8"/>
  <c r="A1361" i="8"/>
  <c r="E1360" i="8"/>
  <c r="C1360" i="8"/>
  <c r="A1360" i="8"/>
  <c r="E1359" i="8"/>
  <c r="C1359" i="8"/>
  <c r="A1359" i="8"/>
  <c r="E1358" i="8"/>
  <c r="C1358" i="8"/>
  <c r="A1358" i="8"/>
  <c r="E1357" i="8"/>
  <c r="C1357" i="8"/>
  <c r="A1357" i="8"/>
  <c r="E1356" i="8"/>
  <c r="C1356" i="8"/>
  <c r="A1356" i="8"/>
  <c r="E1355" i="8"/>
  <c r="C1355" i="8"/>
  <c r="A1355" i="8"/>
  <c r="E1354" i="8"/>
  <c r="C1354" i="8"/>
  <c r="A1354" i="8"/>
  <c r="E1353" i="8"/>
  <c r="C1353" i="8"/>
  <c r="A1353" i="8"/>
  <c r="E1352" i="8"/>
  <c r="C1352" i="8"/>
  <c r="A1352" i="8"/>
  <c r="E1351" i="8"/>
  <c r="C1351" i="8"/>
  <c r="A1351" i="8"/>
  <c r="E1350" i="8"/>
  <c r="C1350" i="8"/>
  <c r="A1350" i="8"/>
  <c r="E1349" i="8"/>
  <c r="C1349" i="8"/>
  <c r="A1349" i="8"/>
  <c r="E1348" i="8"/>
  <c r="C1348" i="8"/>
  <c r="A1348" i="8"/>
  <c r="E1347" i="8"/>
  <c r="C1347" i="8"/>
  <c r="A1347" i="8"/>
  <c r="E1346" i="8"/>
  <c r="C1346" i="8"/>
  <c r="A1346" i="8"/>
  <c r="E1345" i="8"/>
  <c r="C1345" i="8"/>
  <c r="A1345" i="8"/>
  <c r="E1344" i="8"/>
  <c r="C1344" i="8"/>
  <c r="A1344" i="8"/>
  <c r="E1343" i="8"/>
  <c r="C1343" i="8"/>
  <c r="A1343" i="8"/>
  <c r="E1342" i="8"/>
  <c r="C1342" i="8"/>
  <c r="A1342" i="8"/>
  <c r="E1341" i="8"/>
  <c r="C1341" i="8"/>
  <c r="A1341" i="8"/>
  <c r="E1340" i="8"/>
  <c r="C1340" i="8"/>
  <c r="A1340" i="8"/>
  <c r="E1339" i="8"/>
  <c r="C1339" i="8"/>
  <c r="A1339" i="8"/>
  <c r="E1338" i="8"/>
  <c r="C1338" i="8"/>
  <c r="A1338" i="8"/>
  <c r="E1337" i="8"/>
  <c r="C1337" i="8"/>
  <c r="A1337" i="8"/>
  <c r="E1336" i="8"/>
  <c r="C1336" i="8"/>
  <c r="A1336" i="8"/>
  <c r="E1335" i="8"/>
  <c r="C1335" i="8"/>
  <c r="A1335" i="8"/>
  <c r="E1334" i="8"/>
  <c r="C1334" i="8"/>
  <c r="A1334" i="8"/>
  <c r="E1333" i="8"/>
  <c r="C1333" i="8"/>
  <c r="A1333" i="8"/>
  <c r="E1332" i="8"/>
  <c r="C1332" i="8"/>
  <c r="A1332" i="8"/>
  <c r="E1331" i="8"/>
  <c r="C1331" i="8"/>
  <c r="A1331" i="8"/>
  <c r="E1330" i="8"/>
  <c r="C1330" i="8"/>
  <c r="A1330" i="8"/>
  <c r="E1329" i="8"/>
  <c r="C1329" i="8"/>
  <c r="A1329" i="8"/>
  <c r="E1328" i="8"/>
  <c r="C1328" i="8"/>
  <c r="A1328" i="8"/>
  <c r="E1327" i="8"/>
  <c r="C1327" i="8"/>
  <c r="A1327" i="8"/>
  <c r="E1326" i="8"/>
  <c r="C1326" i="8"/>
  <c r="A1326" i="8"/>
  <c r="E1325" i="8"/>
  <c r="C1325" i="8"/>
  <c r="A1325" i="8"/>
  <c r="E1324" i="8"/>
  <c r="C1324" i="8"/>
  <c r="A1324" i="8"/>
  <c r="E1323" i="8"/>
  <c r="C1323" i="8"/>
  <c r="A1323" i="8"/>
  <c r="E1322" i="8"/>
  <c r="C1322" i="8"/>
  <c r="A1322" i="8"/>
  <c r="A1321" i="8"/>
  <c r="A1320" i="8"/>
  <c r="A1319" i="8"/>
  <c r="A1318" i="8"/>
  <c r="A1317" i="8"/>
  <c r="A1316" i="8"/>
  <c r="A1315" i="8"/>
  <c r="A1314" i="8"/>
  <c r="A1313" i="8"/>
  <c r="E1312" i="8"/>
  <c r="C1312" i="8"/>
  <c r="A1312" i="8"/>
  <c r="E1311" i="8"/>
  <c r="C1311" i="8"/>
  <c r="A1311" i="8"/>
  <c r="E1310" i="8"/>
  <c r="C1310" i="8"/>
  <c r="A1310" i="8"/>
  <c r="E1309" i="8"/>
  <c r="C1309" i="8"/>
  <c r="A1309" i="8"/>
  <c r="E1308" i="8"/>
  <c r="C1308" i="8"/>
  <c r="A1308" i="8"/>
  <c r="E1307" i="8"/>
  <c r="C1307" i="8"/>
  <c r="A1307" i="8"/>
  <c r="E1306" i="8"/>
  <c r="C1306" i="8"/>
  <c r="A1306" i="8"/>
  <c r="E1305" i="8"/>
  <c r="C1305" i="8"/>
  <c r="A1305" i="8"/>
  <c r="E1304" i="8"/>
  <c r="C1304" i="8"/>
  <c r="A1304" i="8"/>
  <c r="E1303" i="8"/>
  <c r="C1303" i="8"/>
  <c r="A1303" i="8"/>
  <c r="E1302" i="8"/>
  <c r="C1302" i="8"/>
  <c r="A1302" i="8"/>
  <c r="E1301" i="8"/>
  <c r="C1301" i="8"/>
  <c r="A1301" i="8"/>
  <c r="E1300" i="8"/>
  <c r="C1300" i="8"/>
  <c r="A1300" i="8"/>
  <c r="E1299" i="8"/>
  <c r="C1299" i="8"/>
  <c r="A1299" i="8"/>
  <c r="E1298" i="8"/>
  <c r="C1298" i="8"/>
  <c r="A1298" i="8"/>
  <c r="E1297" i="8"/>
  <c r="C1297" i="8"/>
  <c r="A1297" i="8"/>
  <c r="E1296" i="8"/>
  <c r="C1296" i="8"/>
  <c r="A1296" i="8"/>
  <c r="E1295" i="8"/>
  <c r="C1295" i="8"/>
  <c r="A1295" i="8"/>
  <c r="E1294" i="8"/>
  <c r="C1294" i="8"/>
  <c r="A1294" i="8"/>
  <c r="E1293" i="8"/>
  <c r="C1293" i="8"/>
  <c r="A1293" i="8"/>
  <c r="E1292" i="8"/>
  <c r="C1292" i="8"/>
  <c r="A1292" i="8"/>
  <c r="E1291" i="8"/>
  <c r="C1291" i="8"/>
  <c r="A1291" i="8"/>
  <c r="E1290" i="8"/>
  <c r="C1290" i="8"/>
  <c r="A1290" i="8"/>
  <c r="E1289" i="8"/>
  <c r="C1289" i="8"/>
  <c r="A1289" i="8"/>
  <c r="E1288" i="8"/>
  <c r="C1288" i="8"/>
  <c r="A1288" i="8"/>
  <c r="E1287" i="8"/>
  <c r="C1287" i="8"/>
  <c r="A1287" i="8"/>
  <c r="A1286" i="8"/>
  <c r="A1285" i="8"/>
  <c r="E1284" i="8"/>
  <c r="C1284" i="8"/>
  <c r="A1284" i="8"/>
  <c r="E1283" i="8"/>
  <c r="C1283" i="8"/>
  <c r="A1283" i="8"/>
  <c r="E1282" i="8"/>
  <c r="C1282" i="8"/>
  <c r="A1282" i="8"/>
  <c r="E1281" i="8"/>
  <c r="C1281" i="8"/>
  <c r="A1281" i="8"/>
  <c r="E1280" i="8"/>
  <c r="C1280" i="8"/>
  <c r="A1280" i="8"/>
  <c r="E1279" i="8"/>
  <c r="C1279" i="8"/>
  <c r="A1279" i="8"/>
  <c r="E1278" i="8"/>
  <c r="C1278" i="8"/>
  <c r="A1278" i="8"/>
  <c r="E1277" i="8"/>
  <c r="C1277" i="8"/>
  <c r="A1277" i="8"/>
  <c r="E1276" i="8"/>
  <c r="C1276" i="8"/>
  <c r="A1276" i="8"/>
  <c r="E1275" i="8"/>
  <c r="C1275" i="8"/>
  <c r="A1275" i="8"/>
  <c r="C1274" i="8"/>
  <c r="A1274" i="8"/>
  <c r="E1273" i="8"/>
  <c r="C1273" i="8"/>
  <c r="A1273" i="8"/>
  <c r="E1272" i="8"/>
  <c r="C1272" i="8"/>
  <c r="A1272" i="8"/>
  <c r="E1271" i="8"/>
  <c r="C1271" i="8"/>
  <c r="A1271" i="8"/>
  <c r="E1270" i="8"/>
  <c r="C1270" i="8"/>
  <c r="A1270" i="8"/>
  <c r="E1269" i="8"/>
  <c r="C1269" i="8"/>
  <c r="A1269" i="8"/>
  <c r="E1268" i="8"/>
  <c r="C1268" i="8"/>
  <c r="A1268" i="8"/>
  <c r="E1267" i="8"/>
  <c r="C1267" i="8"/>
  <c r="A1267" i="8"/>
  <c r="E1266" i="8"/>
  <c r="C1266" i="8"/>
  <c r="A1266" i="8"/>
  <c r="E1265" i="8"/>
  <c r="C1265" i="8"/>
  <c r="A1265" i="8"/>
  <c r="E1264" i="8"/>
  <c r="C1264" i="8"/>
  <c r="A1264" i="8"/>
  <c r="E1263" i="8"/>
  <c r="C1263" i="8"/>
  <c r="A1263" i="8"/>
  <c r="E1262" i="8"/>
  <c r="C1262" i="8"/>
  <c r="A1262" i="8"/>
  <c r="E1261" i="8"/>
  <c r="C1261" i="8"/>
  <c r="A1261" i="8"/>
  <c r="E1260" i="8"/>
  <c r="C1260" i="8"/>
  <c r="A1260" i="8"/>
  <c r="E1259" i="8"/>
  <c r="C1259" i="8"/>
  <c r="A1259" i="8"/>
  <c r="E1258" i="8"/>
  <c r="C1258" i="8"/>
  <c r="A1258" i="8"/>
  <c r="E1257" i="8"/>
  <c r="C1257" i="8"/>
  <c r="A1257" i="8"/>
  <c r="E1256" i="8"/>
  <c r="C1256" i="8"/>
  <c r="A1256" i="8"/>
  <c r="E1255" i="8"/>
  <c r="C1255" i="8"/>
  <c r="A1255" i="8"/>
  <c r="E1254" i="8"/>
  <c r="C1254" i="8"/>
  <c r="A1254" i="8"/>
  <c r="E1253" i="8"/>
  <c r="C1253" i="8"/>
  <c r="A1253" i="8"/>
  <c r="E1252" i="8"/>
  <c r="C1252" i="8"/>
  <c r="A1252" i="8"/>
  <c r="E1251" i="8"/>
  <c r="C1251" i="8"/>
  <c r="A1251" i="8"/>
  <c r="E1250" i="8"/>
  <c r="C1250" i="8"/>
  <c r="A1250" i="8"/>
  <c r="E1249" i="8"/>
  <c r="C1249" i="8"/>
  <c r="A1249" i="8"/>
  <c r="E1248" i="8"/>
  <c r="C1248" i="8"/>
  <c r="A1248" i="8"/>
  <c r="E1247" i="8"/>
  <c r="C1247" i="8"/>
  <c r="A1247" i="8"/>
  <c r="E1246" i="8"/>
  <c r="C1246" i="8"/>
  <c r="A1246" i="8"/>
  <c r="E1245" i="8"/>
  <c r="C1245" i="8"/>
  <c r="A1245" i="8"/>
  <c r="E1244" i="8"/>
  <c r="C1244" i="8"/>
  <c r="A1244" i="8"/>
  <c r="E1243" i="8"/>
  <c r="C1243" i="8"/>
  <c r="A1243" i="8"/>
  <c r="E1242" i="8"/>
  <c r="C1242" i="8"/>
  <c r="A1242" i="8"/>
  <c r="E1241" i="8"/>
  <c r="C1241" i="8"/>
  <c r="A1241" i="8"/>
  <c r="E1240" i="8"/>
  <c r="C1240" i="8"/>
  <c r="A1240" i="8"/>
  <c r="E1239" i="8"/>
  <c r="C1239" i="8"/>
  <c r="A1239" i="8"/>
  <c r="E1238" i="8"/>
  <c r="C1238" i="8"/>
  <c r="A1238" i="8"/>
  <c r="E1237" i="8"/>
  <c r="C1237" i="8"/>
  <c r="A1237" i="8"/>
  <c r="E1236" i="8"/>
  <c r="C1236" i="8"/>
  <c r="A1236" i="8"/>
  <c r="E1235" i="8"/>
  <c r="C1235" i="8"/>
  <c r="A1235" i="8"/>
  <c r="E1234" i="8"/>
  <c r="C1234" i="8"/>
  <c r="A1234" i="8"/>
  <c r="E1233" i="8"/>
  <c r="C1233" i="8"/>
  <c r="A1233" i="8"/>
  <c r="E1232" i="8"/>
  <c r="C1232" i="8"/>
  <c r="A1232" i="8"/>
  <c r="E1231" i="8"/>
  <c r="C1231" i="8"/>
  <c r="A1231" i="8"/>
  <c r="E1230" i="8"/>
  <c r="C1230" i="8"/>
  <c r="A1230" i="8"/>
  <c r="A1229" i="8"/>
  <c r="A1228" i="8"/>
  <c r="A1227" i="8"/>
  <c r="A1226" i="8"/>
  <c r="A1225" i="8"/>
  <c r="A1224" i="8"/>
  <c r="A1223" i="8"/>
  <c r="A1222" i="8"/>
  <c r="A1221" i="8"/>
  <c r="A1220" i="8"/>
  <c r="E1219" i="8"/>
  <c r="C1219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E1195" i="8"/>
  <c r="C1195" i="8"/>
  <c r="A1195" i="8"/>
  <c r="A1194" i="8"/>
  <c r="A1193" i="8"/>
  <c r="A1192" i="8"/>
  <c r="A1191" i="8"/>
  <c r="A1190" i="8"/>
  <c r="A1189" i="8"/>
  <c r="E1188" i="8"/>
  <c r="C1188" i="8"/>
  <c r="A1188" i="8"/>
  <c r="E1187" i="8"/>
  <c r="C1187" i="8"/>
  <c r="A1187" i="8"/>
  <c r="E1186" i="8"/>
  <c r="C1186" i="8"/>
  <c r="A1186" i="8"/>
  <c r="E1185" i="8"/>
  <c r="C1185" i="8"/>
  <c r="A1185" i="8"/>
  <c r="E1184" i="8"/>
  <c r="C1184" i="8"/>
  <c r="A1184" i="8"/>
  <c r="E1183" i="8"/>
  <c r="C1183" i="8"/>
  <c r="A1183" i="8"/>
  <c r="E1182" i="8"/>
  <c r="C1182" i="8"/>
  <c r="A1182" i="8"/>
  <c r="E1181" i="8"/>
  <c r="C1181" i="8"/>
  <c r="A1181" i="8"/>
  <c r="E1180" i="8"/>
  <c r="C1180" i="8"/>
  <c r="A1180" i="8"/>
  <c r="E1179" i="8"/>
  <c r="C1179" i="8"/>
  <c r="A1179" i="8"/>
  <c r="E1178" i="8"/>
  <c r="C1178" i="8"/>
  <c r="A1178" i="8"/>
  <c r="E1177" i="8"/>
  <c r="C1177" i="8"/>
  <c r="A1177" i="8"/>
  <c r="E1176" i="8"/>
  <c r="C1176" i="8"/>
  <c r="A1176" i="8"/>
  <c r="E1175" i="8"/>
  <c r="C1175" i="8"/>
  <c r="A1175" i="8"/>
  <c r="E1174" i="8"/>
  <c r="C1174" i="8"/>
  <c r="A1174" i="8"/>
  <c r="E1173" i="8"/>
  <c r="C1173" i="8"/>
  <c r="A1173" i="8"/>
  <c r="E1172" i="8"/>
  <c r="C1172" i="8"/>
  <c r="A1172" i="8"/>
  <c r="E1171" i="8"/>
  <c r="C1171" i="8"/>
  <c r="A1171" i="8"/>
  <c r="E1170" i="8"/>
  <c r="C1170" i="8"/>
  <c r="A1170" i="8"/>
  <c r="E1169" i="8"/>
  <c r="C1169" i="8"/>
  <c r="A1169" i="8"/>
  <c r="E1168" i="8"/>
  <c r="C1168" i="8"/>
  <c r="A1168" i="8"/>
  <c r="E1167" i="8"/>
  <c r="C1167" i="8"/>
  <c r="A1167" i="8"/>
  <c r="E1166" i="8"/>
  <c r="C1166" i="8"/>
  <c r="A1166" i="8"/>
  <c r="E1165" i="8"/>
  <c r="C1165" i="8"/>
  <c r="A1165" i="8"/>
  <c r="E1164" i="8"/>
  <c r="C1164" i="8"/>
  <c r="A1164" i="8"/>
  <c r="E1163" i="8"/>
  <c r="C1163" i="8"/>
  <c r="A1163" i="8"/>
  <c r="E1162" i="8"/>
  <c r="C1162" i="8"/>
  <c r="A1162" i="8"/>
  <c r="E1161" i="8"/>
  <c r="C1161" i="8"/>
  <c r="A1161" i="8"/>
  <c r="E1160" i="8"/>
  <c r="C1160" i="8"/>
  <c r="A1160" i="8"/>
  <c r="E1159" i="8"/>
  <c r="C1159" i="8"/>
  <c r="A1159" i="8"/>
  <c r="E1158" i="8"/>
  <c r="C1158" i="8"/>
  <c r="A1158" i="8"/>
  <c r="E1157" i="8"/>
  <c r="C1157" i="8"/>
  <c r="A1157" i="8"/>
  <c r="E1156" i="8"/>
  <c r="C1156" i="8"/>
  <c r="A1156" i="8"/>
  <c r="E1155" i="8"/>
  <c r="C1155" i="8"/>
  <c r="A1155" i="8"/>
  <c r="E1154" i="8"/>
  <c r="C1154" i="8"/>
  <c r="A1154" i="8"/>
  <c r="E1153" i="8"/>
  <c r="C1153" i="8"/>
  <c r="A1153" i="8"/>
  <c r="E1152" i="8"/>
  <c r="C1152" i="8"/>
  <c r="A1152" i="8"/>
  <c r="E1151" i="8"/>
  <c r="C1151" i="8"/>
  <c r="A1151" i="8"/>
  <c r="E1150" i="8"/>
  <c r="C1150" i="8"/>
  <c r="A1150" i="8"/>
  <c r="E1149" i="8"/>
  <c r="C1149" i="8"/>
  <c r="A1149" i="8"/>
  <c r="E1148" i="8"/>
  <c r="C1148" i="8"/>
  <c r="A1148" i="8"/>
  <c r="E1147" i="8"/>
  <c r="C1147" i="8"/>
  <c r="A1147" i="8"/>
  <c r="C1146" i="8"/>
  <c r="A1146" i="8"/>
  <c r="E1145" i="8"/>
  <c r="C1145" i="8"/>
  <c r="A1145" i="8"/>
  <c r="E1144" i="8"/>
  <c r="C1144" i="8"/>
  <c r="A1144" i="8"/>
  <c r="E1143" i="8"/>
  <c r="C1143" i="8"/>
  <c r="A1143" i="8"/>
  <c r="E1142" i="8"/>
  <c r="C1142" i="8"/>
  <c r="A1142" i="8"/>
  <c r="C1141" i="8"/>
  <c r="A1141" i="8"/>
  <c r="E1140" i="8"/>
  <c r="C1140" i="8"/>
  <c r="A1140" i="8"/>
  <c r="E1139" i="8"/>
  <c r="C1139" i="8"/>
  <c r="A1139" i="8"/>
  <c r="E1138" i="8"/>
  <c r="C1138" i="8"/>
  <c r="A1138" i="8"/>
  <c r="E1137" i="8"/>
  <c r="C1137" i="8"/>
  <c r="A1137" i="8"/>
  <c r="E1136" i="8"/>
  <c r="C1136" i="8"/>
  <c r="A1136" i="8"/>
  <c r="E1135" i="8"/>
  <c r="C1135" i="8"/>
  <c r="A1135" i="8"/>
  <c r="E1134" i="8"/>
  <c r="C1134" i="8"/>
  <c r="A1134" i="8"/>
  <c r="E1133" i="8"/>
  <c r="C1133" i="8"/>
  <c r="A1133" i="8"/>
  <c r="E1132" i="8"/>
  <c r="C1132" i="8"/>
  <c r="A1132" i="8"/>
  <c r="E1131" i="8"/>
  <c r="C1131" i="8"/>
  <c r="A1131" i="8"/>
  <c r="E1130" i="8"/>
  <c r="C1130" i="8"/>
  <c r="A1130" i="8"/>
  <c r="E1129" i="8"/>
  <c r="C1129" i="8"/>
  <c r="A1129" i="8"/>
  <c r="E1128" i="8"/>
  <c r="C1128" i="8"/>
  <c r="A1128" i="8"/>
  <c r="E1127" i="8"/>
  <c r="C1127" i="8"/>
  <c r="A1127" i="8"/>
  <c r="E1126" i="8"/>
  <c r="C1126" i="8"/>
  <c r="A1126" i="8"/>
  <c r="E1125" i="8"/>
  <c r="C1125" i="8"/>
  <c r="A1125" i="8"/>
  <c r="E1124" i="8"/>
  <c r="C1124" i="8"/>
  <c r="A1124" i="8"/>
  <c r="E1123" i="8"/>
  <c r="C1123" i="8"/>
  <c r="A1123" i="8"/>
  <c r="E1122" i="8"/>
  <c r="C1122" i="8"/>
  <c r="A1122" i="8"/>
  <c r="E1121" i="8"/>
  <c r="C1121" i="8"/>
  <c r="A1121" i="8"/>
  <c r="E1120" i="8"/>
  <c r="C1120" i="8"/>
  <c r="A1120" i="8"/>
  <c r="E1119" i="8"/>
  <c r="C1119" i="8"/>
  <c r="A1119" i="8"/>
  <c r="E1118" i="8"/>
  <c r="C1118" i="8"/>
  <c r="A1118" i="8"/>
  <c r="E1117" i="8"/>
  <c r="C1117" i="8"/>
  <c r="A1117" i="8"/>
  <c r="E1116" i="8"/>
  <c r="C1116" i="8"/>
  <c r="A1116" i="8"/>
  <c r="E1115" i="8"/>
  <c r="C1115" i="8"/>
  <c r="A1115" i="8"/>
  <c r="E1114" i="8"/>
  <c r="C1114" i="8"/>
  <c r="A1114" i="8"/>
  <c r="E1113" i="8"/>
  <c r="C1113" i="8"/>
  <c r="A1113" i="8"/>
  <c r="E1112" i="8"/>
  <c r="C1112" i="8"/>
  <c r="A1112" i="8"/>
  <c r="E1111" i="8"/>
  <c r="C1111" i="8"/>
  <c r="A1111" i="8"/>
  <c r="E1110" i="8"/>
  <c r="C1110" i="8"/>
  <c r="A1110" i="8"/>
  <c r="E1109" i="8"/>
  <c r="C1109" i="8"/>
  <c r="A1109" i="8"/>
  <c r="E1108" i="8"/>
  <c r="C1108" i="8"/>
  <c r="A1108" i="8"/>
  <c r="E1107" i="8"/>
  <c r="C1107" i="8"/>
  <c r="A1107" i="8"/>
  <c r="E1106" i="8"/>
  <c r="C1106" i="8"/>
  <c r="A1106" i="8"/>
  <c r="E1105" i="8"/>
  <c r="C1105" i="8"/>
  <c r="A1105" i="8"/>
  <c r="E1104" i="8"/>
  <c r="C1104" i="8"/>
  <c r="A1104" i="8"/>
  <c r="E1103" i="8"/>
  <c r="C1103" i="8"/>
  <c r="A1103" i="8"/>
  <c r="E1102" i="8"/>
  <c r="C1102" i="8"/>
  <c r="A1102" i="8"/>
  <c r="E1101" i="8"/>
  <c r="C1101" i="8"/>
  <c r="A1101" i="8"/>
  <c r="E1100" i="8"/>
  <c r="C1100" i="8"/>
  <c r="A1100" i="8"/>
  <c r="E1099" i="8"/>
  <c r="C1099" i="8"/>
  <c r="A1099" i="8"/>
  <c r="E1098" i="8"/>
  <c r="C1098" i="8"/>
  <c r="A1098" i="8"/>
  <c r="E1097" i="8"/>
  <c r="C1097" i="8"/>
  <c r="A1097" i="8"/>
  <c r="E1096" i="8"/>
  <c r="C1096" i="8"/>
  <c r="A1096" i="8"/>
  <c r="E1095" i="8"/>
  <c r="C1095" i="8"/>
  <c r="A1095" i="8"/>
  <c r="E1094" i="8"/>
  <c r="C1094" i="8"/>
  <c r="A1094" i="8"/>
  <c r="E1093" i="8"/>
  <c r="C1093" i="8"/>
  <c r="A1093" i="8"/>
  <c r="E1092" i="8"/>
  <c r="C1092" i="8"/>
  <c r="A1092" i="8"/>
  <c r="E1091" i="8"/>
  <c r="C1091" i="8"/>
  <c r="A1091" i="8"/>
  <c r="E1090" i="8"/>
  <c r="C1090" i="8"/>
  <c r="A1090" i="8"/>
  <c r="E1089" i="8"/>
  <c r="C1089" i="8"/>
  <c r="A1089" i="8"/>
  <c r="E1088" i="8"/>
  <c r="C1088" i="8"/>
  <c r="A1088" i="8"/>
  <c r="E1087" i="8"/>
  <c r="C1087" i="8"/>
  <c r="A1087" i="8"/>
  <c r="E1086" i="8"/>
  <c r="C1086" i="8"/>
  <c r="A1086" i="8"/>
  <c r="E1085" i="8"/>
  <c r="C1085" i="8"/>
  <c r="A1085" i="8"/>
  <c r="E1084" i="8"/>
  <c r="C1084" i="8"/>
  <c r="A1084" i="8"/>
  <c r="E1083" i="8"/>
  <c r="C1083" i="8"/>
  <c r="A1083" i="8"/>
  <c r="E1082" i="8"/>
  <c r="C1082" i="8"/>
  <c r="A1082" i="8"/>
  <c r="E1081" i="8"/>
  <c r="C1081" i="8"/>
  <c r="A1081" i="8"/>
  <c r="E1080" i="8"/>
  <c r="C1080" i="8"/>
  <c r="A1080" i="8"/>
  <c r="E1079" i="8"/>
  <c r="C1079" i="8"/>
  <c r="A1079" i="8"/>
  <c r="E1078" i="8"/>
  <c r="C1078" i="8"/>
  <c r="A1078" i="8"/>
  <c r="E1077" i="8"/>
  <c r="C1077" i="8"/>
  <c r="A1077" i="8"/>
  <c r="E1076" i="8"/>
  <c r="C1076" i="8"/>
  <c r="A1076" i="8"/>
  <c r="E1075" i="8"/>
  <c r="C1075" i="8"/>
  <c r="A1075" i="8"/>
  <c r="E1074" i="8"/>
  <c r="C1074" i="8"/>
  <c r="A1074" i="8"/>
  <c r="E1073" i="8"/>
  <c r="C1073" i="8"/>
  <c r="A1073" i="8"/>
  <c r="E1072" i="8"/>
  <c r="C1072" i="8"/>
  <c r="A1072" i="8"/>
  <c r="E1071" i="8"/>
  <c r="C1071" i="8"/>
  <c r="A1071" i="8"/>
  <c r="E1070" i="8"/>
  <c r="C1070" i="8"/>
  <c r="A1070" i="8"/>
  <c r="E1069" i="8"/>
  <c r="C1069" i="8"/>
  <c r="A1069" i="8"/>
  <c r="E1068" i="8"/>
  <c r="C1068" i="8"/>
  <c r="A1068" i="8"/>
  <c r="E1067" i="8"/>
  <c r="C1067" i="8"/>
  <c r="A1067" i="8"/>
  <c r="E1066" i="8"/>
  <c r="C1066" i="8"/>
  <c r="A1066" i="8"/>
  <c r="E1065" i="8"/>
  <c r="C1065" i="8"/>
  <c r="A1065" i="8"/>
  <c r="E1064" i="8"/>
  <c r="A1064" i="8"/>
  <c r="E1063" i="8"/>
  <c r="C1063" i="8"/>
  <c r="A1063" i="8"/>
  <c r="E1062" i="8"/>
  <c r="C1062" i="8"/>
  <c r="A1062" i="8"/>
  <c r="E1061" i="8"/>
  <c r="C1061" i="8"/>
  <c r="A1061" i="8"/>
  <c r="E1060" i="8"/>
  <c r="C1060" i="8"/>
  <c r="A1060" i="8"/>
  <c r="E1059" i="8"/>
  <c r="C1059" i="8"/>
  <c r="A1059" i="8"/>
  <c r="E1058" i="8"/>
  <c r="C1058" i="8"/>
  <c r="A1058" i="8"/>
  <c r="E1057" i="8"/>
  <c r="C1057" i="8"/>
  <c r="A1057" i="8"/>
  <c r="E1056" i="8"/>
  <c r="C1056" i="8"/>
  <c r="A1056" i="8"/>
  <c r="E1055" i="8"/>
  <c r="C1055" i="8"/>
  <c r="A1055" i="8"/>
  <c r="E1054" i="8"/>
  <c r="C1054" i="8"/>
  <c r="A1054" i="8"/>
  <c r="E1053" i="8"/>
  <c r="C1053" i="8"/>
  <c r="A1053" i="8"/>
  <c r="E1052" i="8"/>
  <c r="C1052" i="8"/>
  <c r="A1052" i="8"/>
  <c r="E1051" i="8"/>
  <c r="C1051" i="8"/>
  <c r="A1051" i="8"/>
  <c r="E1050" i="8"/>
  <c r="C1050" i="8"/>
  <c r="A1050" i="8"/>
  <c r="E1049" i="8"/>
  <c r="C1049" i="8"/>
  <c r="A1049" i="8"/>
  <c r="E1048" i="8"/>
  <c r="C1048" i="8"/>
  <c r="A1048" i="8"/>
  <c r="E1047" i="8"/>
  <c r="C1047" i="8"/>
  <c r="A1047" i="8"/>
  <c r="E1046" i="8"/>
  <c r="C1046" i="8"/>
  <c r="A1046" i="8"/>
  <c r="E1045" i="8"/>
  <c r="C1045" i="8"/>
  <c r="A1045" i="8"/>
  <c r="E1044" i="8"/>
  <c r="C1044" i="8"/>
  <c r="A1044" i="8"/>
  <c r="E1043" i="8"/>
  <c r="C1043" i="8"/>
  <c r="A1043" i="8"/>
  <c r="E1042" i="8"/>
  <c r="C1042" i="8"/>
  <c r="A1042" i="8"/>
  <c r="E1041" i="8"/>
  <c r="C1041" i="8"/>
  <c r="A1041" i="8"/>
  <c r="E1040" i="8"/>
  <c r="C1040" i="8"/>
  <c r="A1040" i="8"/>
  <c r="A1039" i="8"/>
  <c r="E1038" i="8"/>
  <c r="C1038" i="8"/>
  <c r="A1038" i="8"/>
  <c r="E1037" i="8"/>
  <c r="C1037" i="8"/>
  <c r="A1037" i="8"/>
  <c r="E1036" i="8"/>
  <c r="C1036" i="8"/>
  <c r="A1036" i="8"/>
  <c r="E1035" i="8"/>
  <c r="C1035" i="8"/>
  <c r="A1035" i="8"/>
  <c r="E1034" i="8"/>
  <c r="C1034" i="8"/>
  <c r="A1034" i="8"/>
  <c r="E1033" i="8"/>
  <c r="C1033" i="8"/>
  <c r="A1033" i="8"/>
  <c r="E1032" i="8"/>
  <c r="C1032" i="8"/>
  <c r="A1032" i="8"/>
  <c r="E1031" i="8"/>
  <c r="C1031" i="8"/>
  <c r="A1031" i="8"/>
  <c r="E1030" i="8"/>
  <c r="C1030" i="8"/>
  <c r="A1030" i="8"/>
  <c r="E1029" i="8"/>
  <c r="C1029" i="8"/>
  <c r="A1029" i="8"/>
  <c r="E1028" i="8"/>
  <c r="C1028" i="8"/>
  <c r="A1028" i="8"/>
  <c r="E1027" i="8"/>
  <c r="C1027" i="8"/>
  <c r="A1027" i="8"/>
  <c r="E1026" i="8"/>
  <c r="C1026" i="8"/>
  <c r="A1026" i="8"/>
  <c r="E1025" i="8"/>
  <c r="C1025" i="8"/>
  <c r="A1025" i="8"/>
  <c r="E1024" i="8"/>
  <c r="C1024" i="8"/>
  <c r="A1024" i="8"/>
  <c r="E1023" i="8"/>
  <c r="C1023" i="8"/>
  <c r="A1023" i="8"/>
  <c r="E1022" i="8"/>
  <c r="C1022" i="8"/>
  <c r="A1022" i="8"/>
  <c r="E1021" i="8"/>
  <c r="C1021" i="8"/>
  <c r="A1021" i="8"/>
  <c r="E1020" i="8"/>
  <c r="C1020" i="8"/>
  <c r="A1020" i="8"/>
  <c r="E1019" i="8"/>
  <c r="C1019" i="8"/>
  <c r="A1019" i="8"/>
  <c r="E1018" i="8"/>
  <c r="C1018" i="8"/>
  <c r="A1018" i="8"/>
  <c r="E1017" i="8"/>
  <c r="C1017" i="8"/>
  <c r="A1017" i="8"/>
  <c r="E1016" i="8"/>
  <c r="C1016" i="8"/>
  <c r="A1016" i="8"/>
  <c r="E1015" i="8"/>
  <c r="C1015" i="8"/>
  <c r="A1015" i="8"/>
  <c r="E1014" i="8"/>
  <c r="C1014" i="8"/>
  <c r="A1014" i="8"/>
  <c r="E1013" i="8"/>
  <c r="C1013" i="8"/>
  <c r="A1013" i="8"/>
  <c r="E1012" i="8"/>
  <c r="C1012" i="8"/>
  <c r="A1012" i="8"/>
  <c r="E1011" i="8"/>
  <c r="C1011" i="8"/>
  <c r="A1011" i="8"/>
  <c r="E1010" i="8"/>
  <c r="C1010" i="8"/>
  <c r="A1010" i="8"/>
  <c r="E1009" i="8"/>
  <c r="C1009" i="8"/>
  <c r="A1009" i="8"/>
  <c r="E1008" i="8"/>
  <c r="C1008" i="8"/>
  <c r="A1008" i="8"/>
  <c r="E1007" i="8"/>
  <c r="C1007" i="8"/>
  <c r="A1007" i="8"/>
  <c r="E1006" i="8"/>
  <c r="C1006" i="8"/>
  <c r="A1006" i="8"/>
  <c r="E1005" i="8"/>
  <c r="C1005" i="8"/>
  <c r="A1005" i="8"/>
  <c r="E1004" i="8"/>
  <c r="C1004" i="8"/>
  <c r="A1004" i="8"/>
  <c r="E1003" i="8"/>
  <c r="C1003" i="8"/>
  <c r="A1003" i="8"/>
  <c r="E1002" i="8"/>
  <c r="C1002" i="8"/>
  <c r="A1002" i="8"/>
  <c r="E1001" i="8"/>
  <c r="C1001" i="8"/>
  <c r="A1001" i="8"/>
  <c r="E1000" i="8"/>
  <c r="C1000" i="8"/>
  <c r="A1000" i="8"/>
  <c r="E999" i="8"/>
  <c r="C999" i="8"/>
  <c r="A999" i="8"/>
  <c r="E998" i="8"/>
  <c r="C998" i="8"/>
  <c r="A998" i="8"/>
  <c r="E997" i="8"/>
  <c r="C997" i="8"/>
  <c r="A997" i="8"/>
  <c r="E996" i="8"/>
  <c r="C996" i="8"/>
  <c r="A996" i="8"/>
  <c r="E995" i="8"/>
  <c r="C995" i="8"/>
  <c r="A995" i="8"/>
  <c r="E994" i="8"/>
  <c r="C994" i="8"/>
  <c r="A994" i="8"/>
  <c r="E993" i="8"/>
  <c r="C993" i="8"/>
  <c r="A993" i="8"/>
  <c r="E992" i="8"/>
  <c r="C992" i="8"/>
  <c r="A992" i="8"/>
  <c r="E991" i="8"/>
  <c r="C991" i="8"/>
  <c r="A991" i="8"/>
  <c r="E990" i="8"/>
  <c r="C990" i="8"/>
  <c r="A990" i="8"/>
  <c r="E989" i="8"/>
  <c r="C989" i="8"/>
  <c r="A989" i="8"/>
  <c r="E988" i="8"/>
  <c r="C988" i="8"/>
  <c r="A988" i="8"/>
  <c r="E987" i="8"/>
  <c r="C987" i="8"/>
  <c r="A987" i="8"/>
  <c r="E986" i="8"/>
  <c r="C986" i="8"/>
  <c r="A986" i="8"/>
  <c r="E985" i="8"/>
  <c r="C985" i="8"/>
  <c r="A985" i="8"/>
  <c r="E984" i="8"/>
  <c r="C984" i="8"/>
  <c r="A984" i="8"/>
  <c r="E983" i="8"/>
  <c r="C983" i="8"/>
  <c r="A983" i="8"/>
  <c r="E982" i="8"/>
  <c r="C982" i="8"/>
  <c r="A982" i="8"/>
  <c r="E981" i="8"/>
  <c r="C981" i="8"/>
  <c r="A981" i="8"/>
  <c r="E980" i="8"/>
  <c r="C980" i="8"/>
  <c r="A980" i="8"/>
  <c r="E979" i="8"/>
  <c r="C979" i="8"/>
  <c r="A979" i="8"/>
  <c r="E978" i="8"/>
  <c r="C978" i="8"/>
  <c r="A978" i="8"/>
  <c r="E977" i="8"/>
  <c r="C977" i="8"/>
  <c r="A977" i="8"/>
  <c r="E976" i="8"/>
  <c r="C976" i="8"/>
  <c r="A976" i="8"/>
  <c r="E975" i="8"/>
  <c r="C975" i="8"/>
  <c r="A975" i="8"/>
  <c r="E974" i="8"/>
  <c r="C974" i="8"/>
  <c r="A974" i="8"/>
  <c r="E973" i="8"/>
  <c r="C973" i="8"/>
  <c r="A973" i="8"/>
  <c r="E972" i="8"/>
  <c r="C972" i="8"/>
  <c r="A972" i="8"/>
  <c r="E971" i="8"/>
  <c r="C971" i="8"/>
  <c r="A971" i="8"/>
  <c r="E970" i="8"/>
  <c r="C970" i="8"/>
  <c r="A970" i="8"/>
  <c r="C969" i="8"/>
  <c r="A969" i="8"/>
  <c r="E968" i="8"/>
  <c r="C968" i="8"/>
  <c r="A968" i="8"/>
  <c r="E967" i="8"/>
  <c r="C967" i="8"/>
  <c r="A967" i="8"/>
  <c r="E966" i="8"/>
  <c r="C966" i="8"/>
  <c r="A966" i="8"/>
  <c r="E965" i="8"/>
  <c r="C965" i="8"/>
  <c r="A965" i="8"/>
  <c r="E964" i="8"/>
  <c r="C964" i="8"/>
  <c r="A964" i="8"/>
  <c r="E963" i="8"/>
  <c r="C963" i="8"/>
  <c r="A963" i="8"/>
  <c r="E962" i="8"/>
  <c r="C962" i="8"/>
  <c r="A962" i="8"/>
  <c r="E961" i="8"/>
  <c r="C961" i="8"/>
  <c r="A961" i="8"/>
  <c r="E960" i="8"/>
  <c r="C960" i="8"/>
  <c r="A960" i="8"/>
  <c r="E959" i="8"/>
  <c r="C959" i="8"/>
  <c r="A959" i="8"/>
  <c r="A958" i="8"/>
  <c r="A957" i="8"/>
  <c r="A956" i="8"/>
  <c r="E955" i="8"/>
  <c r="C955" i="8"/>
  <c r="A955" i="8"/>
  <c r="E954" i="8"/>
  <c r="C954" i="8"/>
  <c r="A954" i="8"/>
  <c r="E953" i="8"/>
  <c r="C953" i="8"/>
  <c r="A953" i="8"/>
  <c r="E952" i="8"/>
  <c r="C952" i="8"/>
  <c r="A952" i="8"/>
  <c r="E951" i="8"/>
  <c r="C951" i="8"/>
  <c r="A951" i="8"/>
  <c r="E950" i="8"/>
  <c r="C950" i="8"/>
  <c r="A950" i="8"/>
  <c r="E949" i="8"/>
  <c r="C949" i="8"/>
  <c r="A949" i="8"/>
  <c r="E948" i="8"/>
  <c r="C948" i="8"/>
  <c r="A948" i="8"/>
  <c r="E947" i="8"/>
  <c r="C947" i="8"/>
  <c r="A947" i="8"/>
  <c r="E946" i="8"/>
  <c r="C946" i="8"/>
  <c r="A946" i="8"/>
  <c r="E945" i="8"/>
  <c r="C945" i="8"/>
  <c r="A945" i="8"/>
  <c r="E944" i="8"/>
  <c r="C944" i="8"/>
  <c r="A944" i="8"/>
  <c r="E943" i="8"/>
  <c r="C943" i="8"/>
  <c r="A943" i="8"/>
  <c r="E942" i="8"/>
  <c r="C942" i="8"/>
  <c r="A942" i="8"/>
  <c r="E941" i="8"/>
  <c r="C941" i="8"/>
  <c r="A941" i="8"/>
  <c r="E940" i="8"/>
  <c r="C940" i="8"/>
  <c r="A940" i="8"/>
  <c r="E939" i="8"/>
  <c r="C939" i="8"/>
  <c r="A939" i="8"/>
  <c r="E938" i="8"/>
  <c r="C938" i="8"/>
  <c r="A938" i="8"/>
  <c r="E937" i="8"/>
  <c r="C937" i="8"/>
  <c r="A937" i="8"/>
  <c r="E936" i="8"/>
  <c r="C936" i="8"/>
  <c r="A936" i="8"/>
  <c r="E935" i="8"/>
  <c r="C935" i="8"/>
  <c r="A935" i="8"/>
  <c r="E934" i="8"/>
  <c r="C934" i="8"/>
  <c r="A934" i="8"/>
  <c r="E933" i="8"/>
  <c r="C933" i="8"/>
  <c r="A933" i="8"/>
  <c r="E932" i="8"/>
  <c r="C932" i="8"/>
  <c r="A932" i="8"/>
  <c r="E931" i="8"/>
  <c r="C931" i="8"/>
  <c r="A931" i="8"/>
  <c r="E930" i="8"/>
  <c r="C930" i="8"/>
  <c r="A930" i="8"/>
  <c r="E929" i="8"/>
  <c r="C929" i="8"/>
  <c r="A929" i="8"/>
  <c r="A928" i="8"/>
  <c r="A927" i="8"/>
  <c r="E926" i="8"/>
  <c r="C926" i="8"/>
  <c r="A926" i="8"/>
  <c r="E925" i="8"/>
  <c r="C925" i="8"/>
  <c r="A925" i="8"/>
  <c r="E924" i="8"/>
  <c r="C924" i="8"/>
  <c r="A924" i="8"/>
  <c r="E923" i="8"/>
  <c r="C923" i="8"/>
  <c r="A923" i="8"/>
  <c r="E922" i="8"/>
  <c r="C922" i="8"/>
  <c r="A922" i="8"/>
  <c r="E921" i="8"/>
  <c r="C921" i="8"/>
  <c r="A921" i="8"/>
  <c r="E920" i="8"/>
  <c r="C920" i="8"/>
  <c r="A920" i="8"/>
  <c r="E919" i="8"/>
  <c r="C919" i="8"/>
  <c r="A919" i="8"/>
  <c r="E918" i="8"/>
  <c r="C918" i="8"/>
  <c r="A918" i="8"/>
  <c r="E917" i="8"/>
  <c r="C917" i="8"/>
  <c r="A917" i="8"/>
  <c r="E916" i="8"/>
  <c r="C916" i="8"/>
  <c r="A916" i="8"/>
  <c r="E915" i="8"/>
  <c r="C915" i="8"/>
  <c r="A915" i="8"/>
  <c r="E914" i="8"/>
  <c r="C914" i="8"/>
  <c r="A914" i="8"/>
  <c r="E913" i="8"/>
  <c r="C913" i="8"/>
  <c r="A913" i="8"/>
  <c r="E912" i="8"/>
  <c r="C912" i="8"/>
  <c r="A912" i="8"/>
  <c r="E911" i="8"/>
  <c r="C911" i="8"/>
  <c r="A911" i="8"/>
  <c r="E910" i="8"/>
  <c r="C910" i="8"/>
  <c r="A910" i="8"/>
  <c r="E909" i="8"/>
  <c r="C909" i="8"/>
  <c r="A909" i="8"/>
  <c r="E908" i="8"/>
  <c r="C908" i="8"/>
  <c r="A908" i="8"/>
  <c r="E907" i="8"/>
  <c r="C907" i="8"/>
  <c r="A907" i="8"/>
  <c r="E906" i="8"/>
  <c r="C906" i="8"/>
  <c r="A906" i="8"/>
  <c r="E905" i="8"/>
  <c r="C905" i="8"/>
  <c r="A905" i="8"/>
  <c r="E904" i="8"/>
  <c r="C904" i="8"/>
  <c r="A904" i="8"/>
  <c r="E903" i="8"/>
  <c r="C903" i="8"/>
  <c r="A903" i="8"/>
  <c r="E902" i="8"/>
  <c r="C902" i="8"/>
  <c r="A902" i="8"/>
  <c r="E901" i="8"/>
  <c r="C901" i="8"/>
  <c r="A901" i="8"/>
  <c r="E900" i="8"/>
  <c r="C900" i="8"/>
  <c r="A900" i="8"/>
  <c r="E899" i="8"/>
  <c r="C899" i="8"/>
  <c r="A899" i="8"/>
  <c r="E898" i="8"/>
  <c r="C898" i="8"/>
  <c r="A898" i="8"/>
  <c r="E897" i="8"/>
  <c r="C897" i="8"/>
  <c r="A897" i="8"/>
  <c r="C896" i="8"/>
  <c r="A896" i="8"/>
  <c r="E895" i="8"/>
  <c r="C895" i="8"/>
  <c r="A895" i="8"/>
  <c r="E894" i="8"/>
  <c r="C894" i="8"/>
  <c r="A894" i="8"/>
  <c r="E893" i="8"/>
  <c r="C893" i="8"/>
  <c r="A893" i="8"/>
  <c r="E892" i="8"/>
  <c r="C892" i="8"/>
  <c r="A892" i="8"/>
  <c r="E891" i="8"/>
  <c r="C891" i="8"/>
  <c r="A891" i="8"/>
  <c r="E890" i="8"/>
  <c r="C890" i="8"/>
  <c r="A890" i="8"/>
  <c r="E889" i="8"/>
  <c r="C889" i="8"/>
  <c r="A889" i="8"/>
  <c r="E888" i="8"/>
  <c r="C888" i="8"/>
  <c r="A888" i="8"/>
  <c r="E887" i="8"/>
  <c r="C887" i="8"/>
  <c r="A887" i="8"/>
  <c r="E886" i="8"/>
  <c r="C886" i="8"/>
  <c r="A886" i="8"/>
  <c r="E885" i="8"/>
  <c r="C885" i="8"/>
  <c r="A885" i="8"/>
  <c r="C884" i="8"/>
  <c r="A884" i="8"/>
  <c r="E883" i="8"/>
  <c r="C883" i="8"/>
  <c r="A883" i="8"/>
  <c r="E882" i="8"/>
  <c r="C882" i="8"/>
  <c r="A882" i="8"/>
  <c r="E881" i="8"/>
  <c r="C881" i="8"/>
  <c r="A881" i="8"/>
  <c r="E880" i="8"/>
  <c r="C880" i="8"/>
  <c r="A880" i="8"/>
  <c r="E879" i="8"/>
  <c r="C879" i="8"/>
  <c r="A879" i="8"/>
  <c r="E878" i="8"/>
  <c r="C878" i="8"/>
  <c r="A878" i="8"/>
  <c r="E877" i="8"/>
  <c r="C877" i="8"/>
  <c r="A877" i="8"/>
  <c r="E876" i="8"/>
  <c r="C876" i="8"/>
  <c r="A876" i="8"/>
  <c r="E875" i="8"/>
  <c r="C875" i="8"/>
  <c r="A875" i="8"/>
  <c r="E874" i="8"/>
  <c r="C874" i="8"/>
  <c r="A874" i="8"/>
  <c r="E873" i="8"/>
  <c r="C873" i="8"/>
  <c r="A873" i="8"/>
  <c r="E872" i="8"/>
  <c r="C872" i="8"/>
  <c r="A872" i="8"/>
  <c r="E871" i="8"/>
  <c r="C871" i="8"/>
  <c r="A871" i="8"/>
  <c r="E870" i="8"/>
  <c r="C870" i="8"/>
  <c r="A870" i="8"/>
  <c r="E869" i="8"/>
  <c r="C869" i="8"/>
  <c r="A869" i="8"/>
  <c r="E868" i="8"/>
  <c r="C868" i="8"/>
  <c r="A868" i="8"/>
  <c r="E867" i="8"/>
  <c r="C867" i="8"/>
  <c r="A867" i="8"/>
  <c r="E866" i="8"/>
  <c r="C866" i="8"/>
  <c r="A866" i="8"/>
  <c r="E865" i="8"/>
  <c r="C865" i="8"/>
  <c r="A865" i="8"/>
  <c r="E864" i="8"/>
  <c r="C864" i="8"/>
  <c r="A864" i="8"/>
  <c r="E863" i="8"/>
  <c r="C863" i="8"/>
  <c r="A863" i="8"/>
  <c r="E862" i="8"/>
  <c r="C862" i="8"/>
  <c r="A862" i="8"/>
  <c r="E861" i="8"/>
  <c r="C861" i="8"/>
  <c r="A861" i="8"/>
  <c r="E860" i="8"/>
  <c r="C860" i="8"/>
  <c r="A860" i="8"/>
  <c r="E859" i="8"/>
  <c r="C859" i="8"/>
  <c r="A859" i="8"/>
  <c r="E858" i="8"/>
  <c r="C858" i="8"/>
  <c r="A858" i="8"/>
  <c r="E857" i="8"/>
  <c r="C857" i="8"/>
  <c r="A857" i="8"/>
  <c r="E856" i="8"/>
  <c r="C856" i="8"/>
  <c r="A856" i="8"/>
  <c r="E855" i="8"/>
  <c r="C855" i="8"/>
  <c r="A855" i="8"/>
  <c r="E854" i="8"/>
  <c r="C854" i="8"/>
  <c r="A854" i="8"/>
  <c r="E853" i="8"/>
  <c r="C853" i="8"/>
  <c r="A853" i="8"/>
  <c r="E852" i="8"/>
  <c r="C852" i="8"/>
  <c r="A852" i="8"/>
  <c r="E851" i="8"/>
  <c r="C851" i="8"/>
  <c r="A851" i="8"/>
  <c r="E850" i="8"/>
  <c r="C850" i="8"/>
  <c r="A850" i="8"/>
  <c r="E849" i="8"/>
  <c r="C849" i="8"/>
  <c r="A849" i="8"/>
  <c r="E848" i="8"/>
  <c r="C848" i="8"/>
  <c r="A848" i="8"/>
  <c r="E847" i="8"/>
  <c r="C847" i="8"/>
  <c r="A847" i="8"/>
  <c r="E846" i="8"/>
  <c r="C846" i="8"/>
  <c r="A846" i="8"/>
  <c r="E845" i="8"/>
  <c r="C845" i="8"/>
  <c r="A845" i="8"/>
  <c r="E844" i="8"/>
  <c r="C844" i="8"/>
  <c r="A844" i="8"/>
  <c r="E843" i="8"/>
  <c r="C843" i="8"/>
  <c r="A843" i="8"/>
  <c r="E842" i="8"/>
  <c r="C842" i="8"/>
  <c r="A842" i="8"/>
  <c r="E841" i="8"/>
  <c r="C841" i="8"/>
  <c r="A841" i="8"/>
  <c r="E840" i="8"/>
  <c r="C840" i="8"/>
  <c r="A840" i="8"/>
  <c r="E839" i="8"/>
  <c r="C839" i="8"/>
  <c r="A839" i="8"/>
  <c r="E838" i="8"/>
  <c r="C838" i="8"/>
  <c r="A838" i="8"/>
  <c r="E837" i="8"/>
  <c r="C837" i="8"/>
  <c r="A837" i="8"/>
  <c r="A836" i="8"/>
  <c r="E835" i="8"/>
  <c r="C835" i="8"/>
  <c r="A835" i="8"/>
  <c r="E834" i="8"/>
  <c r="C834" i="8"/>
  <c r="A834" i="8"/>
  <c r="E833" i="8"/>
  <c r="C833" i="8"/>
  <c r="A833" i="8"/>
  <c r="E832" i="8"/>
  <c r="C832" i="8"/>
  <c r="A832" i="8"/>
  <c r="E831" i="8"/>
  <c r="C831" i="8"/>
  <c r="A831" i="8"/>
  <c r="E830" i="8"/>
  <c r="C830" i="8"/>
  <c r="A830" i="8"/>
  <c r="E829" i="8"/>
  <c r="C829" i="8"/>
  <c r="A829" i="8"/>
  <c r="E828" i="8"/>
  <c r="C828" i="8"/>
  <c r="A828" i="8"/>
  <c r="E827" i="8"/>
  <c r="C827" i="8"/>
  <c r="A827" i="8"/>
  <c r="E826" i="8"/>
  <c r="C826" i="8"/>
  <c r="A826" i="8"/>
  <c r="E825" i="8"/>
  <c r="C825" i="8"/>
  <c r="A825" i="8"/>
  <c r="E824" i="8"/>
  <c r="C824" i="8"/>
  <c r="A824" i="8"/>
  <c r="E823" i="8"/>
  <c r="C823" i="8"/>
  <c r="A823" i="8"/>
  <c r="E822" i="8"/>
  <c r="C822" i="8"/>
  <c r="A822" i="8"/>
  <c r="E821" i="8"/>
  <c r="C821" i="8"/>
  <c r="A821" i="8"/>
  <c r="E820" i="8"/>
  <c r="C820" i="8"/>
  <c r="A820" i="8"/>
  <c r="E819" i="8"/>
  <c r="C819" i="8"/>
  <c r="A819" i="8"/>
  <c r="E818" i="8"/>
  <c r="C818" i="8"/>
  <c r="A818" i="8"/>
  <c r="A817" i="8"/>
  <c r="A816" i="8"/>
  <c r="A815" i="8"/>
  <c r="A814" i="8"/>
  <c r="A813" i="8"/>
  <c r="E812" i="8"/>
  <c r="C812" i="8"/>
  <c r="A812" i="8"/>
  <c r="E811" i="8"/>
  <c r="C811" i="8"/>
  <c r="A811" i="8"/>
  <c r="E810" i="8"/>
  <c r="C810" i="8"/>
  <c r="A810" i="8"/>
  <c r="E809" i="8"/>
  <c r="C809" i="8"/>
  <c r="A809" i="8"/>
  <c r="E808" i="8"/>
  <c r="C808" i="8"/>
  <c r="A808" i="8"/>
  <c r="E807" i="8"/>
  <c r="C807" i="8"/>
  <c r="A807" i="8"/>
  <c r="E806" i="8"/>
  <c r="C806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E792" i="8"/>
  <c r="C792" i="8"/>
  <c r="A792" i="8"/>
  <c r="E791" i="8"/>
  <c r="C791" i="8"/>
  <c r="A791" i="8"/>
  <c r="C790" i="8"/>
  <c r="A790" i="8"/>
  <c r="E789" i="8"/>
  <c r="C789" i="8"/>
  <c r="A789" i="8"/>
  <c r="E788" i="8"/>
  <c r="C788" i="8"/>
  <c r="A788" i="8"/>
  <c r="E787" i="8"/>
  <c r="C787" i="8"/>
  <c r="A787" i="8"/>
  <c r="E786" i="8"/>
  <c r="C786" i="8"/>
  <c r="A786" i="8"/>
  <c r="E785" i="8"/>
  <c r="C785" i="8"/>
  <c r="A785" i="8"/>
  <c r="E784" i="8"/>
  <c r="C784" i="8"/>
  <c r="A784" i="8"/>
  <c r="E783" i="8"/>
  <c r="C783" i="8"/>
  <c r="A783" i="8"/>
  <c r="E782" i="8"/>
  <c r="C782" i="8"/>
  <c r="A782" i="8"/>
  <c r="E781" i="8"/>
  <c r="C781" i="8"/>
  <c r="A781" i="8"/>
  <c r="E780" i="8"/>
  <c r="C780" i="8"/>
  <c r="A780" i="8"/>
  <c r="E779" i="8"/>
  <c r="C779" i="8"/>
  <c r="A779" i="8"/>
  <c r="E778" i="8"/>
  <c r="C778" i="8"/>
  <c r="A778" i="8"/>
  <c r="E777" i="8"/>
  <c r="C777" i="8"/>
  <c r="A777" i="8"/>
  <c r="C776" i="8"/>
  <c r="A776" i="8"/>
  <c r="A775" i="8"/>
  <c r="A774" i="8"/>
  <c r="A773" i="8"/>
  <c r="A772" i="8"/>
  <c r="E771" i="8"/>
  <c r="C771" i="8"/>
  <c r="A771" i="8"/>
  <c r="E770" i="8"/>
  <c r="C770" i="8"/>
  <c r="A770" i="8"/>
  <c r="E769" i="8"/>
  <c r="C769" i="8"/>
  <c r="A769" i="8"/>
  <c r="E768" i="8"/>
  <c r="C768" i="8"/>
  <c r="A768" i="8"/>
  <c r="E767" i="8"/>
  <c r="C767" i="8"/>
  <c r="A767" i="8"/>
  <c r="E766" i="8"/>
  <c r="C766" i="8"/>
  <c r="A766" i="8"/>
  <c r="E765" i="8"/>
  <c r="C765" i="8"/>
  <c r="A765" i="8"/>
  <c r="E764" i="8"/>
  <c r="C764" i="8"/>
  <c r="A764" i="8"/>
  <c r="E763" i="8"/>
  <c r="C763" i="8"/>
  <c r="A763" i="8"/>
  <c r="E762" i="8"/>
  <c r="C762" i="8"/>
  <c r="A762" i="8"/>
  <c r="E761" i="8"/>
  <c r="C761" i="8"/>
  <c r="A761" i="8"/>
  <c r="E760" i="8"/>
  <c r="C760" i="8"/>
  <c r="A760" i="8"/>
  <c r="E759" i="8"/>
  <c r="C759" i="8"/>
  <c r="A759" i="8"/>
  <c r="E758" i="8"/>
  <c r="C758" i="8"/>
  <c r="A758" i="8"/>
  <c r="E757" i="8"/>
  <c r="C757" i="8"/>
  <c r="A757" i="8"/>
  <c r="E756" i="8"/>
  <c r="C756" i="8"/>
  <c r="A756" i="8"/>
  <c r="E755" i="8"/>
  <c r="C755" i="8"/>
  <c r="A755" i="8"/>
  <c r="E754" i="8"/>
  <c r="C754" i="8"/>
  <c r="A754" i="8"/>
  <c r="E753" i="8"/>
  <c r="C753" i="8"/>
  <c r="A753" i="8"/>
  <c r="A752" i="8"/>
  <c r="A751" i="8"/>
  <c r="A750" i="8"/>
  <c r="A749" i="8"/>
  <c r="A748" i="8"/>
  <c r="E747" i="8"/>
  <c r="C747" i="8"/>
  <c r="A747" i="8"/>
  <c r="E746" i="8"/>
  <c r="C746" i="8"/>
  <c r="A746" i="8"/>
  <c r="E745" i="8"/>
  <c r="C745" i="8"/>
  <c r="A745" i="8"/>
  <c r="E744" i="8"/>
  <c r="C744" i="8"/>
  <c r="A744" i="8"/>
  <c r="E743" i="8"/>
  <c r="C743" i="8"/>
  <c r="A743" i="8"/>
  <c r="E742" i="8"/>
  <c r="C742" i="8"/>
  <c r="A742" i="8"/>
  <c r="E741" i="8"/>
  <c r="C741" i="8"/>
  <c r="A741" i="8"/>
  <c r="E740" i="8"/>
  <c r="C740" i="8"/>
  <c r="A740" i="8"/>
  <c r="E739" i="8"/>
  <c r="C739" i="8"/>
  <c r="A739" i="8"/>
  <c r="E738" i="8"/>
  <c r="C738" i="8"/>
  <c r="A738" i="8"/>
  <c r="E737" i="8"/>
  <c r="C737" i="8"/>
  <c r="A737" i="8"/>
  <c r="E736" i="8"/>
  <c r="C736" i="8"/>
  <c r="A736" i="8"/>
  <c r="E735" i="8"/>
  <c r="C735" i="8"/>
  <c r="A735" i="8"/>
  <c r="E734" i="8"/>
  <c r="C734" i="8"/>
  <c r="A734" i="8"/>
  <c r="E733" i="8"/>
  <c r="C733" i="8"/>
  <c r="A733" i="8"/>
  <c r="E732" i="8"/>
  <c r="C732" i="8"/>
  <c r="A732" i="8"/>
  <c r="E731" i="8"/>
  <c r="C731" i="8"/>
  <c r="A731" i="8"/>
  <c r="E730" i="8"/>
  <c r="C730" i="8"/>
  <c r="A730" i="8"/>
  <c r="E729" i="8"/>
  <c r="C729" i="8"/>
  <c r="A729" i="8"/>
  <c r="E728" i="8"/>
  <c r="C728" i="8"/>
  <c r="A728" i="8"/>
  <c r="E727" i="8"/>
  <c r="C727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E707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E692" i="8"/>
  <c r="C692" i="8"/>
  <c r="A692" i="8"/>
  <c r="E691" i="8"/>
  <c r="C691" i="8"/>
  <c r="A691" i="8"/>
  <c r="E690" i="8"/>
  <c r="C690" i="8"/>
  <c r="A690" i="8"/>
  <c r="E689" i="8"/>
  <c r="C689" i="8"/>
  <c r="A689" i="8"/>
  <c r="E688" i="8"/>
  <c r="C688" i="8"/>
  <c r="A688" i="8"/>
  <c r="E687" i="8"/>
  <c r="C687" i="8"/>
  <c r="A687" i="8"/>
  <c r="E686" i="8"/>
  <c r="C686" i="8"/>
  <c r="A686" i="8"/>
  <c r="E685" i="8"/>
  <c r="C685" i="8"/>
  <c r="A685" i="8"/>
  <c r="A684" i="8"/>
  <c r="A683" i="8"/>
  <c r="A682" i="8"/>
  <c r="A681" i="8"/>
  <c r="A680" i="8"/>
  <c r="A679" i="8"/>
  <c r="A678" i="8"/>
  <c r="A677" i="8"/>
  <c r="E676" i="8"/>
  <c r="C676" i="8"/>
  <c r="A676" i="8"/>
  <c r="E675" i="8"/>
  <c r="C675" i="8"/>
  <c r="A675" i="8"/>
  <c r="E674" i="8"/>
  <c r="C674" i="8"/>
  <c r="A674" i="8"/>
  <c r="A673" i="8"/>
  <c r="A672" i="8"/>
  <c r="A671" i="8"/>
  <c r="E670" i="8"/>
  <c r="C670" i="8"/>
  <c r="A670" i="8"/>
  <c r="E669" i="8"/>
  <c r="C669" i="8"/>
  <c r="A669" i="8"/>
  <c r="E668" i="8"/>
  <c r="C668" i="8"/>
  <c r="A668" i="8"/>
  <c r="E667" i="8"/>
  <c r="C667" i="8"/>
  <c r="A667" i="8"/>
  <c r="E666" i="8"/>
  <c r="C666" i="8"/>
  <c r="A666" i="8"/>
  <c r="E665" i="8"/>
  <c r="C665" i="8"/>
  <c r="A665" i="8"/>
  <c r="E664" i="8"/>
  <c r="C664" i="8"/>
  <c r="A664" i="8"/>
  <c r="E663" i="8"/>
  <c r="C663" i="8"/>
  <c r="A663" i="8"/>
  <c r="E662" i="8"/>
  <c r="C662" i="8"/>
  <c r="A662" i="8"/>
  <c r="E661" i="8"/>
  <c r="C661" i="8"/>
  <c r="A661" i="8"/>
  <c r="E660" i="8"/>
  <c r="C660" i="8"/>
  <c r="A660" i="8"/>
  <c r="E659" i="8"/>
  <c r="C659" i="8"/>
  <c r="A659" i="8"/>
  <c r="E658" i="8"/>
  <c r="C658" i="8"/>
  <c r="A658" i="8"/>
  <c r="E657" i="8"/>
  <c r="C657" i="8"/>
  <c r="A657" i="8"/>
  <c r="E656" i="8"/>
  <c r="C656" i="8"/>
  <c r="A656" i="8"/>
  <c r="E655" i="8"/>
  <c r="C655" i="8"/>
  <c r="A655" i="8"/>
  <c r="E654" i="8"/>
  <c r="C654" i="8"/>
  <c r="A654" i="8"/>
  <c r="E653" i="8"/>
  <c r="C653" i="8"/>
  <c r="A653" i="8"/>
  <c r="E652" i="8"/>
  <c r="C652" i="8"/>
  <c r="A652" i="8"/>
  <c r="E651" i="8"/>
  <c r="C651" i="8"/>
  <c r="A651" i="8"/>
  <c r="E650" i="8"/>
  <c r="C650" i="8"/>
  <c r="A650" i="8"/>
  <c r="E649" i="8"/>
  <c r="C649" i="8"/>
  <c r="A649" i="8"/>
  <c r="A648" i="8"/>
  <c r="A647" i="8"/>
  <c r="A646" i="8"/>
  <c r="E645" i="8"/>
  <c r="C645" i="8"/>
  <c r="A645" i="8"/>
  <c r="E644" i="8"/>
  <c r="C644" i="8"/>
  <c r="A644" i="8"/>
  <c r="E643" i="8"/>
  <c r="C643" i="8"/>
  <c r="A643" i="8"/>
  <c r="E642" i="8"/>
  <c r="C642" i="8"/>
  <c r="A642" i="8"/>
  <c r="E641" i="8"/>
  <c r="C641" i="8"/>
  <c r="A641" i="8"/>
  <c r="E640" i="8"/>
  <c r="C640" i="8"/>
  <c r="A640" i="8"/>
  <c r="E639" i="8"/>
  <c r="C639" i="8"/>
  <c r="A639" i="8"/>
  <c r="E638" i="8"/>
  <c r="C638" i="8"/>
  <c r="A638" i="8"/>
  <c r="E637" i="8"/>
  <c r="C637" i="8"/>
  <c r="A637" i="8"/>
  <c r="E636" i="8"/>
  <c r="C636" i="8"/>
  <c r="A636" i="8"/>
  <c r="E635" i="8"/>
  <c r="C635" i="8"/>
  <c r="A635" i="8"/>
  <c r="E634" i="8"/>
  <c r="C634" i="8"/>
  <c r="A634" i="8"/>
  <c r="E633" i="8"/>
  <c r="C633" i="8"/>
  <c r="A633" i="8"/>
  <c r="E632" i="8"/>
  <c r="C632" i="8"/>
  <c r="A632" i="8"/>
  <c r="E631" i="8"/>
  <c r="C631" i="8"/>
  <c r="A631" i="8"/>
  <c r="E630" i="8"/>
  <c r="C630" i="8"/>
  <c r="A630" i="8"/>
  <c r="E629" i="8"/>
  <c r="C629" i="8"/>
  <c r="A629" i="8"/>
  <c r="E628" i="8"/>
  <c r="C628" i="8"/>
  <c r="A628" i="8"/>
  <c r="E627" i="8"/>
  <c r="C627" i="8"/>
  <c r="A627" i="8"/>
  <c r="E626" i="8"/>
  <c r="C626" i="8"/>
  <c r="A626" i="8"/>
  <c r="E625" i="8"/>
  <c r="C625" i="8"/>
  <c r="A625" i="8"/>
  <c r="E624" i="8"/>
  <c r="C624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E612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E591" i="8"/>
  <c r="C591" i="8"/>
  <c r="A591" i="8"/>
  <c r="E590" i="8"/>
  <c r="C590" i="8"/>
  <c r="A590" i="8"/>
  <c r="E589" i="8"/>
  <c r="C589" i="8"/>
  <c r="A589" i="8"/>
  <c r="E588" i="8"/>
  <c r="C588" i="8"/>
  <c r="A588" i="8"/>
  <c r="E587" i="8"/>
  <c r="C587" i="8"/>
  <c r="A587" i="8"/>
  <c r="E586" i="8"/>
  <c r="C586" i="8"/>
  <c r="A586" i="8"/>
  <c r="E585" i="8"/>
  <c r="C585" i="8"/>
  <c r="A585" i="8"/>
  <c r="E584" i="8"/>
  <c r="C584" i="8"/>
  <c r="A584" i="8"/>
  <c r="E583" i="8"/>
  <c r="C583" i="8"/>
  <c r="A583" i="8"/>
  <c r="E582" i="8"/>
  <c r="C582" i="8"/>
  <c r="A582" i="8"/>
  <c r="E581" i="8"/>
  <c r="C581" i="8"/>
  <c r="A581" i="8"/>
  <c r="E580" i="8"/>
  <c r="C580" i="8"/>
  <c r="A580" i="8"/>
  <c r="E579" i="8"/>
  <c r="C579" i="8"/>
  <c r="A579" i="8"/>
  <c r="E578" i="8"/>
  <c r="C578" i="8"/>
  <c r="A578" i="8"/>
  <c r="E577" i="8"/>
  <c r="C577" i="8"/>
  <c r="A577" i="8"/>
  <c r="A576" i="8"/>
  <c r="A575" i="8"/>
  <c r="A574" i="8"/>
  <c r="E573" i="8"/>
  <c r="C573" i="8"/>
  <c r="A573" i="8"/>
  <c r="E572" i="8"/>
  <c r="C572" i="8"/>
  <c r="A572" i="8"/>
  <c r="E571" i="8"/>
  <c r="C571" i="8"/>
  <c r="A571" i="8"/>
  <c r="E570" i="8"/>
  <c r="C570" i="8"/>
  <c r="A570" i="8"/>
  <c r="E569" i="8"/>
  <c r="C569" i="8"/>
  <c r="A569" i="8"/>
  <c r="E568" i="8"/>
  <c r="C568" i="8"/>
  <c r="A568" i="8"/>
  <c r="E567" i="8"/>
  <c r="C567" i="8"/>
  <c r="A567" i="8"/>
  <c r="E566" i="8"/>
  <c r="C566" i="8"/>
  <c r="A566" i="8"/>
  <c r="E565" i="8"/>
  <c r="C565" i="8"/>
  <c r="A565" i="8"/>
  <c r="E564" i="8"/>
  <c r="C564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E541" i="8"/>
  <c r="C541" i="8"/>
  <c r="A541" i="8"/>
  <c r="E540" i="8"/>
  <c r="C540" i="8"/>
  <c r="A540" i="8"/>
  <c r="E539" i="8"/>
  <c r="C539" i="8"/>
  <c r="A539" i="8"/>
  <c r="E538" i="8"/>
  <c r="C538" i="8"/>
  <c r="A538" i="8"/>
  <c r="E537" i="8"/>
  <c r="C537" i="8"/>
  <c r="A537" i="8"/>
  <c r="E536" i="8"/>
  <c r="C536" i="8"/>
  <c r="A536" i="8"/>
  <c r="E535" i="8"/>
  <c r="C535" i="8"/>
  <c r="A535" i="8"/>
  <c r="E534" i="8"/>
  <c r="C534" i="8"/>
  <c r="A534" i="8"/>
  <c r="E533" i="8"/>
  <c r="C533" i="8"/>
  <c r="A533" i="8"/>
  <c r="E532" i="8"/>
  <c r="C532" i="8"/>
  <c r="A532" i="8"/>
  <c r="E531" i="8"/>
  <c r="C531" i="8"/>
  <c r="A531" i="8"/>
  <c r="E530" i="8"/>
  <c r="C530" i="8"/>
  <c r="A530" i="8"/>
  <c r="E529" i="8"/>
  <c r="C529" i="8"/>
  <c r="A529" i="8"/>
  <c r="E528" i="8"/>
  <c r="C528" i="8"/>
  <c r="A528" i="8"/>
  <c r="E527" i="8"/>
  <c r="C527" i="8"/>
  <c r="A527" i="8"/>
  <c r="E526" i="8"/>
  <c r="C526" i="8"/>
  <c r="A526" i="8"/>
  <c r="E525" i="8"/>
  <c r="C525" i="8"/>
  <c r="A525" i="8"/>
  <c r="E524" i="8"/>
  <c r="C524" i="8"/>
  <c r="A524" i="8"/>
  <c r="E523" i="8"/>
  <c r="C523" i="8"/>
  <c r="A523" i="8"/>
  <c r="E522" i="8"/>
  <c r="C522" i="8"/>
  <c r="A522" i="8"/>
  <c r="E521" i="8"/>
  <c r="C521" i="8"/>
  <c r="A521" i="8"/>
  <c r="E520" i="8"/>
  <c r="C520" i="8"/>
  <c r="A520" i="8"/>
  <c r="E519" i="8"/>
  <c r="C519" i="8"/>
  <c r="A519" i="8"/>
  <c r="E518" i="8"/>
  <c r="C518" i="8"/>
  <c r="A518" i="8"/>
  <c r="E517" i="8"/>
  <c r="C517" i="8"/>
  <c r="A517" i="8"/>
  <c r="E516" i="8"/>
  <c r="C516" i="8"/>
  <c r="A516" i="8"/>
  <c r="E515" i="8"/>
  <c r="C515" i="8"/>
  <c r="A515" i="8"/>
  <c r="E514" i="8"/>
  <c r="C514" i="8"/>
  <c r="A514" i="8"/>
  <c r="E513" i="8"/>
  <c r="C513" i="8"/>
  <c r="A513" i="8"/>
  <c r="E512" i="8"/>
  <c r="C512" i="8"/>
  <c r="A512" i="8"/>
  <c r="E511" i="8"/>
  <c r="C511" i="8"/>
  <c r="A511" i="8"/>
  <c r="E510" i="8"/>
  <c r="C510" i="8"/>
  <c r="A510" i="8"/>
  <c r="E509" i="8"/>
  <c r="C509" i="8"/>
  <c r="A509" i="8"/>
  <c r="E508" i="8"/>
  <c r="C508" i="8"/>
  <c r="A508" i="8"/>
  <c r="E507" i="8"/>
  <c r="C507" i="8"/>
  <c r="A507" i="8"/>
  <c r="E506" i="8"/>
  <c r="C506" i="8"/>
  <c r="A506" i="8"/>
  <c r="E505" i="8"/>
  <c r="C505" i="8"/>
  <c r="A505" i="8"/>
  <c r="E504" i="8"/>
  <c r="C504" i="8"/>
  <c r="A504" i="8"/>
  <c r="A503" i="8"/>
  <c r="A502" i="8"/>
  <c r="A501" i="8"/>
  <c r="A500" i="8"/>
  <c r="A499" i="8"/>
  <c r="A498" i="8"/>
  <c r="A497" i="8"/>
  <c r="A496" i="8"/>
  <c r="A495" i="8"/>
  <c r="E494" i="8"/>
  <c r="C494" i="8"/>
  <c r="A494" i="8"/>
  <c r="E493" i="8"/>
  <c r="C493" i="8"/>
  <c r="A493" i="8"/>
  <c r="C492" i="8"/>
  <c r="A492" i="8"/>
  <c r="E491" i="8"/>
  <c r="C491" i="8"/>
  <c r="A491" i="8"/>
  <c r="E490" i="8"/>
  <c r="C490" i="8"/>
  <c r="A490" i="8"/>
  <c r="A489" i="8"/>
  <c r="A488" i="8"/>
  <c r="E487" i="8"/>
  <c r="A487" i="8"/>
  <c r="A486" i="8"/>
  <c r="A485" i="8"/>
  <c r="A484" i="8"/>
  <c r="A483" i="8"/>
  <c r="A482" i="8"/>
  <c r="A481" i="8"/>
  <c r="A480" i="8"/>
  <c r="A479" i="8"/>
  <c r="A478" i="8"/>
  <c r="E477" i="8"/>
  <c r="C477" i="8"/>
  <c r="A477" i="8"/>
  <c r="E476" i="8"/>
  <c r="C476" i="8"/>
  <c r="A476" i="8"/>
  <c r="E475" i="8"/>
  <c r="C475" i="8"/>
  <c r="A475" i="8"/>
  <c r="E474" i="8"/>
  <c r="C474" i="8"/>
  <c r="A474" i="8"/>
  <c r="E473" i="8"/>
  <c r="C473" i="8"/>
  <c r="A473" i="8"/>
  <c r="E472" i="8"/>
  <c r="C472" i="8"/>
  <c r="A472" i="8"/>
  <c r="E471" i="8"/>
  <c r="C471" i="8"/>
  <c r="A471" i="8"/>
  <c r="E470" i="8"/>
  <c r="C470" i="8"/>
  <c r="A470" i="8"/>
  <c r="E469" i="8"/>
  <c r="C469" i="8"/>
  <c r="A469" i="8"/>
  <c r="E468" i="8"/>
  <c r="C468" i="8"/>
  <c r="A468" i="8"/>
  <c r="E467" i="8"/>
  <c r="C467" i="8"/>
  <c r="A467" i="8"/>
  <c r="E466" i="8"/>
  <c r="C466" i="8"/>
  <c r="A466" i="8"/>
  <c r="E465" i="8"/>
  <c r="C465" i="8"/>
  <c r="A465" i="8"/>
  <c r="E464" i="8"/>
  <c r="C464" i="8"/>
  <c r="A464" i="8"/>
  <c r="E463" i="8"/>
  <c r="C463" i="8"/>
  <c r="A463" i="8"/>
  <c r="A462" i="8"/>
  <c r="A461" i="8"/>
  <c r="A460" i="8"/>
  <c r="A459" i="8"/>
  <c r="A458" i="8"/>
  <c r="E457" i="8"/>
  <c r="C457" i="8"/>
  <c r="A457" i="8"/>
  <c r="E456" i="8"/>
  <c r="C456" i="8"/>
  <c r="A456" i="8"/>
  <c r="E455" i="8"/>
  <c r="C455" i="8"/>
  <c r="A455" i="8"/>
  <c r="E454" i="8"/>
  <c r="C454" i="8"/>
  <c r="A454" i="8"/>
  <c r="E453" i="8"/>
  <c r="C453" i="8"/>
  <c r="A453" i="8"/>
  <c r="E452" i="8"/>
  <c r="C452" i="8"/>
  <c r="A452" i="8"/>
  <c r="E451" i="8"/>
  <c r="C451" i="8"/>
  <c r="A451" i="8"/>
  <c r="E450" i="8"/>
  <c r="C450" i="8"/>
  <c r="A450" i="8"/>
  <c r="E449" i="8"/>
  <c r="C449" i="8"/>
  <c r="A449" i="8"/>
  <c r="E448" i="8"/>
  <c r="C448" i="8"/>
  <c r="A448" i="8"/>
  <c r="E447" i="8"/>
  <c r="C447" i="8"/>
  <c r="A447" i="8"/>
  <c r="A446" i="8"/>
  <c r="E445" i="8"/>
  <c r="C445" i="8"/>
  <c r="A445" i="8"/>
  <c r="E444" i="8"/>
  <c r="C444" i="8"/>
  <c r="A444" i="8"/>
  <c r="E443" i="8"/>
  <c r="C443" i="8"/>
  <c r="A443" i="8"/>
  <c r="A442" i="8"/>
  <c r="A441" i="8"/>
  <c r="E440" i="8"/>
  <c r="C440" i="8"/>
  <c r="A440" i="8"/>
  <c r="E439" i="8"/>
  <c r="C439" i="8"/>
  <c r="A439" i="8"/>
  <c r="E438" i="8"/>
  <c r="C438" i="8"/>
  <c r="A438" i="8"/>
  <c r="E437" i="8"/>
  <c r="C437" i="8"/>
  <c r="A437" i="8"/>
  <c r="E436" i="8"/>
  <c r="C436" i="8"/>
  <c r="A436" i="8"/>
  <c r="E435" i="8"/>
  <c r="C435" i="8"/>
  <c r="A435" i="8"/>
  <c r="E434" i="8"/>
  <c r="C434" i="8"/>
  <c r="A434" i="8"/>
  <c r="E433" i="8"/>
  <c r="C433" i="8"/>
  <c r="A433" i="8"/>
  <c r="E432" i="8"/>
  <c r="C432" i="8"/>
  <c r="A432" i="8"/>
  <c r="E431" i="8"/>
  <c r="C431" i="8"/>
  <c r="A431" i="8"/>
  <c r="E430" i="8"/>
  <c r="C430" i="8"/>
  <c r="A430" i="8"/>
  <c r="E429" i="8"/>
  <c r="C429" i="8"/>
  <c r="A429" i="8"/>
  <c r="E428" i="8"/>
  <c r="C428" i="8"/>
  <c r="A428" i="8"/>
  <c r="E427" i="8"/>
  <c r="C427" i="8"/>
  <c r="A427" i="8"/>
  <c r="E426" i="8"/>
  <c r="C426" i="8"/>
  <c r="A426" i="8"/>
  <c r="E425" i="8"/>
  <c r="C425" i="8"/>
  <c r="A425" i="8"/>
  <c r="E424" i="8"/>
  <c r="C424" i="8"/>
  <c r="A424" i="8"/>
  <c r="E423" i="8"/>
  <c r="C423" i="8"/>
  <c r="A423" i="8"/>
  <c r="E422" i="8"/>
  <c r="C422" i="8"/>
  <c r="A422" i="8"/>
  <c r="E421" i="8"/>
  <c r="C421" i="8"/>
  <c r="A421" i="8"/>
  <c r="E420" i="8"/>
  <c r="C420" i="8"/>
  <c r="A420" i="8"/>
  <c r="E419" i="8"/>
  <c r="C419" i="8"/>
  <c r="A419" i="8"/>
  <c r="E418" i="8"/>
  <c r="C418" i="8"/>
  <c r="A418" i="8"/>
  <c r="E417" i="8"/>
  <c r="C417" i="8"/>
  <c r="A417" i="8"/>
  <c r="E416" i="8"/>
  <c r="C416" i="8"/>
  <c r="A416" i="8"/>
  <c r="E415" i="8"/>
  <c r="C415" i="8"/>
  <c r="A415" i="8"/>
  <c r="E414" i="8"/>
  <c r="C414" i="8"/>
  <c r="A414" i="8"/>
  <c r="E413" i="8"/>
  <c r="C413" i="8"/>
  <c r="A413" i="8"/>
  <c r="E412" i="8"/>
  <c r="C412" i="8"/>
  <c r="A412" i="8"/>
  <c r="E411" i="8"/>
  <c r="C411" i="8"/>
  <c r="A411" i="8"/>
  <c r="E410" i="8"/>
  <c r="C410" i="8"/>
  <c r="A410" i="8"/>
  <c r="E409" i="8"/>
  <c r="C409" i="8"/>
  <c r="A409" i="8"/>
  <c r="E408" i="8"/>
  <c r="C408" i="8"/>
  <c r="A408" i="8"/>
  <c r="E407" i="8"/>
  <c r="C407" i="8"/>
  <c r="A407" i="8"/>
  <c r="E406" i="8"/>
  <c r="C406" i="8"/>
  <c r="A406" i="8"/>
  <c r="E405" i="8"/>
  <c r="C405" i="8"/>
  <c r="A405" i="8"/>
  <c r="E404" i="8"/>
  <c r="C404" i="8"/>
  <c r="A404" i="8"/>
  <c r="A403" i="8"/>
  <c r="A402" i="8"/>
  <c r="A401" i="8"/>
  <c r="A400" i="8"/>
  <c r="E399" i="8"/>
  <c r="C399" i="8"/>
  <c r="A399" i="8"/>
  <c r="E398" i="8"/>
  <c r="C398" i="8"/>
  <c r="A398" i="8"/>
  <c r="E397" i="8"/>
  <c r="C397" i="8"/>
  <c r="A397" i="8"/>
  <c r="C396" i="8"/>
  <c r="A396" i="8"/>
  <c r="E395" i="8"/>
  <c r="C395" i="8"/>
  <c r="A395" i="8"/>
  <c r="E394" i="8"/>
  <c r="C394" i="8"/>
  <c r="A394" i="8"/>
  <c r="E393" i="8"/>
  <c r="C393" i="8"/>
  <c r="A393" i="8"/>
  <c r="E392" i="8"/>
  <c r="C392" i="8"/>
  <c r="A392" i="8"/>
  <c r="E391" i="8"/>
  <c r="C391" i="8"/>
  <c r="A391" i="8"/>
  <c r="E390" i="8"/>
  <c r="C390" i="8"/>
  <c r="A390" i="8"/>
  <c r="E389" i="8"/>
  <c r="C389" i="8"/>
  <c r="A389" i="8"/>
  <c r="E388" i="8"/>
  <c r="C388" i="8"/>
  <c r="A388" i="8"/>
  <c r="E387" i="8"/>
  <c r="C387" i="8"/>
  <c r="A387" i="8"/>
  <c r="E386" i="8"/>
  <c r="C386" i="8"/>
  <c r="A386" i="8"/>
  <c r="E385" i="8"/>
  <c r="C385" i="8"/>
  <c r="A385" i="8"/>
  <c r="E384" i="8"/>
  <c r="C384" i="8"/>
  <c r="A384" i="8"/>
  <c r="E383" i="8"/>
  <c r="C383" i="8"/>
  <c r="A383" i="8"/>
  <c r="E382" i="8"/>
  <c r="C382" i="8"/>
  <c r="A382" i="8"/>
  <c r="E381" i="8"/>
  <c r="C381" i="8"/>
  <c r="A381" i="8"/>
  <c r="E380" i="8"/>
  <c r="C380" i="8"/>
  <c r="A380" i="8"/>
  <c r="E379" i="8"/>
  <c r="C379" i="8"/>
  <c r="A379" i="8"/>
  <c r="E378" i="8"/>
  <c r="C378" i="8"/>
  <c r="A378" i="8"/>
  <c r="E377" i="8"/>
  <c r="C377" i="8"/>
  <c r="A377" i="8"/>
  <c r="E376" i="8"/>
  <c r="C376" i="8"/>
  <c r="A376" i="8"/>
  <c r="E375" i="8"/>
  <c r="C375" i="8"/>
  <c r="A375" i="8"/>
  <c r="E374" i="8"/>
  <c r="C374" i="8"/>
  <c r="A374" i="8"/>
  <c r="E373" i="8"/>
  <c r="C373" i="8"/>
  <c r="A373" i="8"/>
  <c r="E372" i="8"/>
  <c r="C372" i="8"/>
  <c r="A372" i="8"/>
  <c r="E371" i="8"/>
  <c r="C371" i="8"/>
  <c r="A371" i="8"/>
  <c r="E370" i="8"/>
  <c r="C370" i="8"/>
  <c r="A370" i="8"/>
  <c r="A369" i="8"/>
  <c r="A368" i="8"/>
  <c r="A367" i="8"/>
  <c r="A366" i="8"/>
  <c r="C365" i="8"/>
  <c r="A365" i="8"/>
  <c r="C364" i="8"/>
  <c r="A364" i="8"/>
  <c r="E363" i="8"/>
  <c r="C363" i="8"/>
  <c r="A363" i="8"/>
  <c r="E362" i="8"/>
  <c r="C362" i="8"/>
  <c r="A362" i="8"/>
  <c r="E361" i="8"/>
  <c r="C361" i="8"/>
  <c r="A361" i="8"/>
  <c r="E360" i="8"/>
  <c r="C360" i="8"/>
  <c r="A360" i="8"/>
  <c r="E359" i="8"/>
  <c r="C359" i="8"/>
  <c r="A359" i="8"/>
  <c r="E358" i="8"/>
  <c r="C358" i="8"/>
  <c r="A358" i="8"/>
  <c r="E357" i="8"/>
  <c r="C357" i="8"/>
  <c r="A357" i="8"/>
  <c r="C356" i="8"/>
  <c r="A356" i="8"/>
  <c r="E355" i="8"/>
  <c r="C355" i="8"/>
  <c r="A355" i="8"/>
  <c r="E354" i="8"/>
  <c r="C354" i="8"/>
  <c r="A354" i="8"/>
  <c r="E353" i="8"/>
  <c r="C353" i="8"/>
  <c r="A353" i="8"/>
  <c r="E352" i="8"/>
  <c r="C352" i="8"/>
  <c r="A352" i="8"/>
  <c r="E351" i="8"/>
  <c r="C351" i="8"/>
  <c r="A351" i="8"/>
  <c r="E350" i="8"/>
  <c r="C350" i="8"/>
  <c r="A350" i="8"/>
  <c r="E349" i="8"/>
  <c r="C349" i="8"/>
  <c r="A349" i="8"/>
  <c r="E348" i="8"/>
  <c r="C348" i="8"/>
  <c r="A348" i="8"/>
  <c r="E347" i="8"/>
  <c r="C347" i="8"/>
  <c r="A347" i="8"/>
  <c r="E346" i="8"/>
  <c r="C346" i="8"/>
  <c r="A346" i="8"/>
  <c r="E345" i="8"/>
  <c r="C345" i="8"/>
  <c r="A345" i="8"/>
  <c r="E344" i="8"/>
  <c r="C344" i="8"/>
  <c r="A344" i="8"/>
  <c r="E343" i="8"/>
  <c r="C343" i="8"/>
  <c r="A343" i="8"/>
  <c r="E342" i="8"/>
  <c r="C342" i="8"/>
  <c r="A342" i="8"/>
  <c r="E341" i="8"/>
  <c r="C341" i="8"/>
  <c r="A341" i="8"/>
  <c r="E340" i="8"/>
  <c r="C340" i="8"/>
  <c r="A340" i="8"/>
  <c r="E339" i="8"/>
  <c r="C339" i="8"/>
  <c r="A339" i="8"/>
  <c r="E338" i="8"/>
  <c r="C338" i="8"/>
  <c r="A338" i="8"/>
  <c r="E337" i="8"/>
  <c r="C337" i="8"/>
  <c r="A337" i="8"/>
  <c r="E336" i="8"/>
  <c r="C336" i="8"/>
  <c r="A336" i="8"/>
  <c r="E335" i="8"/>
  <c r="C335" i="8"/>
  <c r="A335" i="8"/>
  <c r="E334" i="8"/>
  <c r="C334" i="8"/>
  <c r="A334" i="8"/>
  <c r="E333" i="8"/>
  <c r="C333" i="8"/>
  <c r="A333" i="8"/>
  <c r="E332" i="8"/>
  <c r="C332" i="8"/>
  <c r="A332" i="8"/>
  <c r="E331" i="8"/>
  <c r="C331" i="8"/>
  <c r="A331" i="8"/>
  <c r="E330" i="8"/>
  <c r="C330" i="8"/>
  <c r="A330" i="8"/>
  <c r="A329" i="8"/>
  <c r="A328" i="8"/>
  <c r="A327" i="8"/>
  <c r="A326" i="8"/>
  <c r="A325" i="8"/>
  <c r="A324" i="8"/>
  <c r="A323" i="8"/>
  <c r="E322" i="8"/>
  <c r="C322" i="8"/>
  <c r="A322" i="8"/>
  <c r="E321" i="8"/>
  <c r="C321" i="8"/>
  <c r="A321" i="8"/>
  <c r="E320" i="8"/>
  <c r="C320" i="8"/>
  <c r="A320" i="8"/>
  <c r="E319" i="8"/>
  <c r="C319" i="8"/>
  <c r="A319" i="8"/>
  <c r="E318" i="8"/>
  <c r="C318" i="8"/>
  <c r="A318" i="8"/>
  <c r="E317" i="8"/>
  <c r="C317" i="8"/>
  <c r="A317" i="8"/>
  <c r="A316" i="8"/>
  <c r="E315" i="8"/>
  <c r="C315" i="8"/>
  <c r="A315" i="8"/>
  <c r="E314" i="8"/>
  <c r="C314" i="8"/>
  <c r="A314" i="8"/>
  <c r="E313" i="8"/>
  <c r="C313" i="8"/>
  <c r="A313" i="8"/>
  <c r="E312" i="8"/>
  <c r="C312" i="8"/>
  <c r="A312" i="8"/>
  <c r="E311" i="8"/>
  <c r="C311" i="8"/>
  <c r="A311" i="8"/>
  <c r="E310" i="8"/>
  <c r="C310" i="8"/>
  <c r="A310" i="8"/>
  <c r="E309" i="8"/>
  <c r="C309" i="8"/>
  <c r="A309" i="8"/>
  <c r="E308" i="8"/>
  <c r="C308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E292" i="8"/>
  <c r="C292" i="8"/>
  <c r="A292" i="8"/>
  <c r="E291" i="8"/>
  <c r="C291" i="8"/>
  <c r="A291" i="8"/>
  <c r="E290" i="8"/>
  <c r="C290" i="8"/>
  <c r="A290" i="8"/>
  <c r="E289" i="8"/>
  <c r="C289" i="8"/>
  <c r="A289" i="8"/>
  <c r="A288" i="8"/>
  <c r="A287" i="8"/>
  <c r="A286" i="8"/>
  <c r="E285" i="8"/>
  <c r="C285" i="8"/>
  <c r="A285" i="8"/>
  <c r="E284" i="8"/>
  <c r="C284" i="8"/>
  <c r="A284" i="8"/>
  <c r="E283" i="8"/>
  <c r="C283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E265" i="8"/>
  <c r="A265" i="8"/>
  <c r="A264" i="8"/>
  <c r="A263" i="8"/>
  <c r="A262" i="8"/>
  <c r="E261" i="8"/>
  <c r="C261" i="8"/>
  <c r="A261" i="8"/>
  <c r="E260" i="8"/>
  <c r="C260" i="8"/>
  <c r="A260" i="8"/>
  <c r="E259" i="8"/>
  <c r="C259" i="8"/>
  <c r="A259" i="8"/>
  <c r="E258" i="8"/>
  <c r="C258" i="8"/>
  <c r="A258" i="8"/>
  <c r="E257" i="8"/>
  <c r="C257" i="8"/>
  <c r="A257" i="8"/>
  <c r="C256" i="8"/>
  <c r="A256" i="8"/>
  <c r="E255" i="8"/>
  <c r="C255" i="8"/>
  <c r="A255" i="8"/>
  <c r="E254" i="8"/>
  <c r="C254" i="8"/>
  <c r="A254" i="8"/>
  <c r="E253" i="8"/>
  <c r="C253" i="8"/>
  <c r="A253" i="8"/>
  <c r="E252" i="8"/>
  <c r="C252" i="8"/>
  <c r="A252" i="8"/>
  <c r="E251" i="8"/>
  <c r="C251" i="8"/>
  <c r="A251" i="8"/>
  <c r="A250" i="8"/>
  <c r="A249" i="8"/>
  <c r="A248" i="8"/>
  <c r="A247" i="8"/>
  <c r="A246" i="8"/>
  <c r="A245" i="8"/>
  <c r="A244" i="8"/>
  <c r="E243" i="8"/>
  <c r="C243" i="8"/>
  <c r="A243" i="8"/>
  <c r="E242" i="8"/>
  <c r="C242" i="8"/>
  <c r="A242" i="8"/>
  <c r="E241" i="8"/>
  <c r="C241" i="8"/>
  <c r="A241" i="8"/>
  <c r="E240" i="8"/>
  <c r="C240" i="8"/>
  <c r="A240" i="8"/>
  <c r="E239" i="8"/>
  <c r="C239" i="8"/>
  <c r="A239" i="8"/>
  <c r="E238" i="8"/>
  <c r="C238" i="8"/>
  <c r="A238" i="8"/>
  <c r="E237" i="8"/>
  <c r="C237" i="8"/>
  <c r="A237" i="8"/>
  <c r="E236" i="8"/>
  <c r="C236" i="8"/>
  <c r="A236" i="8"/>
  <c r="E235" i="8"/>
  <c r="C235" i="8"/>
  <c r="A235" i="8"/>
  <c r="E234" i="8"/>
  <c r="C234" i="8"/>
  <c r="A234" i="8"/>
  <c r="A233" i="8"/>
  <c r="A232" i="8"/>
  <c r="A231" i="8"/>
  <c r="A230" i="8"/>
  <c r="A229" i="8"/>
  <c r="A228" i="8"/>
  <c r="E227" i="8"/>
  <c r="A227" i="8"/>
  <c r="A226" i="8"/>
  <c r="A225" i="8"/>
  <c r="A224" i="8"/>
  <c r="A223" i="8"/>
  <c r="A222" i="8"/>
  <c r="A221" i="8"/>
  <c r="A220" i="8"/>
  <c r="E219" i="8"/>
  <c r="C219" i="8"/>
  <c r="A219" i="8"/>
  <c r="E218" i="8"/>
  <c r="C218" i="8"/>
  <c r="A218" i="8"/>
  <c r="E217" i="8"/>
  <c r="C217" i="8"/>
  <c r="A217" i="8"/>
  <c r="E216" i="8"/>
  <c r="C216" i="8"/>
  <c r="A216" i="8"/>
  <c r="E215" i="8"/>
  <c r="C215" i="8"/>
  <c r="A215" i="8"/>
  <c r="E214" i="8"/>
  <c r="C214" i="8"/>
  <c r="A214" i="8"/>
  <c r="E213" i="8"/>
  <c r="C213" i="8"/>
  <c r="A213" i="8"/>
  <c r="E212" i="8"/>
  <c r="C212" i="8"/>
  <c r="A212" i="8"/>
  <c r="E211" i="8"/>
  <c r="C211" i="8"/>
  <c r="A211" i="8"/>
  <c r="E210" i="8"/>
  <c r="C210" i="8"/>
  <c r="A210" i="8"/>
  <c r="E209" i="8"/>
  <c r="C209" i="8"/>
  <c r="A209" i="8"/>
  <c r="E208" i="8"/>
  <c r="C208" i="8"/>
  <c r="A208" i="8"/>
  <c r="E207" i="8"/>
  <c r="C207" i="8"/>
  <c r="A207" i="8"/>
  <c r="E206" i="8"/>
  <c r="C206" i="8"/>
  <c r="A206" i="8"/>
  <c r="E205" i="8"/>
  <c r="C205" i="8"/>
  <c r="A205" i="8"/>
  <c r="E204" i="8"/>
  <c r="C204" i="8"/>
  <c r="A204" i="8"/>
  <c r="E203" i="8"/>
  <c r="C203" i="8"/>
  <c r="A203" i="8"/>
  <c r="E202" i="8"/>
  <c r="C202" i="8"/>
  <c r="A202" i="8"/>
  <c r="E201" i="8"/>
  <c r="C201" i="8"/>
  <c r="A201" i="8"/>
  <c r="E200" i="8"/>
  <c r="C200" i="8"/>
  <c r="A200" i="8"/>
  <c r="E199" i="8"/>
  <c r="C199" i="8"/>
  <c r="A199" i="8"/>
  <c r="E198" i="8"/>
  <c r="C198" i="8"/>
  <c r="A198" i="8"/>
  <c r="E197" i="8"/>
  <c r="C197" i="8"/>
  <c r="A197" i="8"/>
  <c r="E196" i="8"/>
  <c r="C196" i="8"/>
  <c r="A196" i="8"/>
  <c r="E195" i="8"/>
  <c r="C195" i="8"/>
  <c r="A195" i="8"/>
  <c r="E194" i="8"/>
  <c r="C194" i="8"/>
  <c r="A194" i="8"/>
  <c r="E193" i="8"/>
  <c r="C193" i="8"/>
  <c r="A193" i="8"/>
  <c r="E192" i="8"/>
  <c r="C192" i="8"/>
  <c r="A192" i="8"/>
  <c r="E191" i="8"/>
  <c r="C191" i="8"/>
  <c r="A191" i="8"/>
  <c r="E190" i="8"/>
  <c r="C190" i="8"/>
  <c r="A190" i="8"/>
  <c r="E189" i="8"/>
  <c r="C189" i="8"/>
  <c r="A189" i="8"/>
  <c r="E188" i="8"/>
  <c r="C188" i="8"/>
  <c r="A188" i="8"/>
  <c r="E187" i="8"/>
  <c r="C187" i="8"/>
  <c r="A187" i="8"/>
  <c r="E186" i="8"/>
  <c r="C186" i="8"/>
  <c r="A186" i="8"/>
  <c r="E185" i="8"/>
  <c r="C185" i="8"/>
  <c r="A185" i="8"/>
  <c r="E184" i="8"/>
  <c r="C184" i="8"/>
  <c r="A184" i="8"/>
  <c r="E183" i="8"/>
  <c r="C183" i="8"/>
  <c r="A183" i="8"/>
  <c r="E182" i="8"/>
  <c r="C182" i="8"/>
  <c r="A182" i="8"/>
  <c r="E181" i="8"/>
  <c r="C181" i="8"/>
  <c r="A181" i="8"/>
  <c r="E180" i="8"/>
  <c r="C180" i="8"/>
  <c r="A180" i="8"/>
  <c r="E179" i="8"/>
  <c r="C179" i="8"/>
  <c r="A179" i="8"/>
  <c r="E178" i="8"/>
  <c r="C178" i="8"/>
  <c r="A178" i="8"/>
  <c r="E177" i="8"/>
  <c r="C177" i="8"/>
  <c r="A177" i="8"/>
  <c r="E176" i="8"/>
  <c r="C176" i="8"/>
  <c r="A176" i="8"/>
  <c r="E175" i="8"/>
  <c r="C175" i="8"/>
  <c r="A175" i="8"/>
  <c r="E174" i="8"/>
  <c r="C174" i="8"/>
  <c r="A174" i="8"/>
  <c r="E173" i="8"/>
  <c r="C173" i="8"/>
  <c r="A173" i="8"/>
  <c r="E172" i="8"/>
  <c r="C172" i="8"/>
  <c r="A172" i="8"/>
  <c r="E171" i="8"/>
  <c r="C171" i="8"/>
  <c r="A171" i="8"/>
  <c r="E170" i="8"/>
  <c r="C170" i="8"/>
  <c r="A170" i="8"/>
  <c r="E169" i="8"/>
  <c r="C169" i="8"/>
  <c r="A169" i="8"/>
  <c r="E168" i="8"/>
  <c r="C168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E149" i="8"/>
  <c r="A149" i="8"/>
  <c r="A148" i="8"/>
  <c r="A147" i="8"/>
  <c r="A146" i="8"/>
  <c r="E145" i="8"/>
  <c r="C145" i="8"/>
  <c r="A145" i="8"/>
  <c r="E144" i="8"/>
  <c r="C144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E122" i="8"/>
  <c r="C122" i="8"/>
  <c r="A122" i="8"/>
  <c r="E121" i="8"/>
  <c r="C121" i="8"/>
  <c r="A121" i="8"/>
  <c r="E120" i="8"/>
  <c r="C120" i="8"/>
  <c r="A120" i="8"/>
  <c r="E119" i="8"/>
  <c r="C119" i="8"/>
  <c r="A119" i="8"/>
  <c r="E118" i="8"/>
  <c r="C118" i="8"/>
  <c r="A118" i="8"/>
  <c r="E117" i="8"/>
  <c r="C117" i="8"/>
  <c r="A117" i="8"/>
  <c r="E116" i="8"/>
  <c r="C116" i="8"/>
  <c r="A116" i="8"/>
  <c r="E115" i="8"/>
  <c r="C115" i="8"/>
  <c r="A115" i="8"/>
  <c r="E114" i="8"/>
  <c r="C114" i="8"/>
  <c r="A114" i="8"/>
  <c r="E113" i="8"/>
  <c r="C113" i="8"/>
  <c r="A113" i="8"/>
  <c r="E112" i="8"/>
  <c r="C112" i="8"/>
  <c r="A112" i="8"/>
  <c r="E111" i="8"/>
  <c r="C111" i="8"/>
  <c r="A111" i="8"/>
  <c r="E110" i="8"/>
  <c r="C110" i="8"/>
  <c r="A110" i="8"/>
  <c r="E109" i="8"/>
  <c r="C109" i="8"/>
  <c r="A109" i="8"/>
  <c r="E108" i="8"/>
  <c r="C108" i="8"/>
  <c r="A108" i="8"/>
  <c r="E107" i="8"/>
  <c r="C107" i="8"/>
  <c r="A107" i="8"/>
  <c r="E106" i="8"/>
  <c r="C106" i="8"/>
  <c r="A106" i="8"/>
  <c r="E105" i="8"/>
  <c r="C105" i="8"/>
  <c r="A105" i="8"/>
  <c r="E104" i="8"/>
  <c r="C104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E88" i="8"/>
  <c r="C88" i="8"/>
  <c r="A88" i="8"/>
  <c r="E87" i="8"/>
  <c r="C87" i="8"/>
  <c r="A87" i="8"/>
  <c r="E86" i="8"/>
  <c r="C86" i="8"/>
  <c r="A86" i="8"/>
  <c r="E85" i="8"/>
  <c r="C85" i="8"/>
  <c r="A85" i="8"/>
  <c r="E84" i="8"/>
  <c r="C84" i="8"/>
  <c r="A84" i="8"/>
  <c r="A83" i="8"/>
  <c r="A82" i="8"/>
  <c r="E81" i="8"/>
  <c r="C81" i="8"/>
  <c r="A81" i="8"/>
  <c r="E80" i="8"/>
  <c r="C80" i="8"/>
  <c r="A80" i="8"/>
  <c r="E79" i="8"/>
  <c r="C79" i="8"/>
  <c r="A79" i="8"/>
  <c r="E78" i="8"/>
  <c r="C78" i="8"/>
  <c r="A78" i="8"/>
  <c r="E77" i="8"/>
  <c r="C77" i="8"/>
  <c r="A77" i="8"/>
  <c r="E76" i="8"/>
  <c r="C76" i="8"/>
  <c r="A76" i="8"/>
  <c r="E75" i="8"/>
  <c r="C75" i="8"/>
  <c r="A75" i="8"/>
  <c r="E74" i="8"/>
  <c r="C74" i="8"/>
  <c r="A74" i="8"/>
  <c r="A73" i="8"/>
  <c r="A72" i="8"/>
  <c r="A71" i="8"/>
  <c r="A70" i="8"/>
  <c r="A69" i="8"/>
  <c r="A68" i="8"/>
  <c r="A67" i="8"/>
  <c r="E66" i="8"/>
  <c r="C66" i="8"/>
  <c r="A66" i="8"/>
  <c r="E65" i="8"/>
  <c r="C65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E38" i="8"/>
  <c r="C38" i="8"/>
  <c r="A38" i="8"/>
  <c r="E37" i="8"/>
  <c r="C37" i="8"/>
  <c r="A37" i="8"/>
  <c r="E36" i="8"/>
  <c r="C36" i="8"/>
  <c r="A36" i="8"/>
  <c r="E35" i="8"/>
  <c r="C35" i="8"/>
  <c r="A35" i="8"/>
  <c r="C34" i="8"/>
  <c r="A34" i="8"/>
  <c r="E33" i="8"/>
  <c r="C33" i="8"/>
  <c r="A33" i="8"/>
  <c r="E32" i="8"/>
  <c r="C32" i="8"/>
  <c r="A32" i="8"/>
  <c r="E31" i="8"/>
  <c r="C31" i="8"/>
  <c r="A31" i="8"/>
  <c r="C30" i="8"/>
  <c r="A30" i="8"/>
  <c r="C29" i="8"/>
  <c r="A29" i="8"/>
  <c r="E28" i="8"/>
  <c r="C28" i="8"/>
  <c r="A28" i="8"/>
  <c r="E27" i="8"/>
  <c r="C27" i="8"/>
  <c r="A27" i="8"/>
  <c r="E26" i="8"/>
  <c r="C26" i="8"/>
  <c r="A26" i="8"/>
  <c r="E25" i="8"/>
  <c r="C25" i="8"/>
  <c r="A25" i="8"/>
  <c r="E24" i="8"/>
  <c r="C24" i="8"/>
  <c r="A24" i="8"/>
  <c r="E23" i="8"/>
  <c r="C23" i="8"/>
  <c r="A23" i="8"/>
  <c r="E22" i="8"/>
  <c r="C22" i="8"/>
  <c r="A22" i="8"/>
  <c r="E21" i="8"/>
  <c r="C21" i="8"/>
  <c r="A21" i="8"/>
  <c r="E20" i="8"/>
  <c r="C20" i="8"/>
  <c r="A20" i="8"/>
  <c r="E19" i="8"/>
  <c r="C19" i="8"/>
  <c r="A19" i="8"/>
  <c r="E18" i="8"/>
  <c r="C18" i="8"/>
  <c r="A18" i="8"/>
  <c r="E17" i="8"/>
  <c r="C17" i="8"/>
  <c r="A17" i="8"/>
  <c r="E16" i="8"/>
  <c r="C16" i="8"/>
  <c r="A16" i="8"/>
  <c r="C15" i="8"/>
  <c r="A15" i="8"/>
  <c r="A14" i="8"/>
  <c r="E13" i="8"/>
  <c r="C13" i="8"/>
  <c r="A13" i="8"/>
  <c r="E12" i="8"/>
  <c r="C12" i="8"/>
  <c r="A12" i="8"/>
  <c r="E11" i="8"/>
  <c r="C11" i="8"/>
  <c r="A11" i="8"/>
  <c r="E10" i="8"/>
  <c r="C10" i="8"/>
  <c r="A10" i="8"/>
  <c r="E9" i="8"/>
  <c r="C9" i="8"/>
  <c r="A9" i="8"/>
  <c r="A8" i="8"/>
  <c r="A7" i="8"/>
  <c r="E5" i="8" l="1"/>
  <c r="E4" i="8"/>
  <c r="E3" i="8"/>
  <c r="E6" i="8"/>
  <c r="E2" i="8"/>
  <c r="C5" i="8" l="1"/>
  <c r="A5" i="8"/>
  <c r="C4" i="8"/>
  <c r="A4" i="8"/>
  <c r="C3" i="8"/>
  <c r="A3" i="8"/>
  <c r="C6" i="8"/>
  <c r="A6" i="8"/>
  <c r="C2" i="8"/>
  <c r="A2" i="8"/>
</calcChain>
</file>

<file path=xl/sharedStrings.xml><?xml version="1.0" encoding="utf-8"?>
<sst xmlns="http://schemas.openxmlformats.org/spreadsheetml/2006/main" count="4464" uniqueCount="2415">
  <si>
    <t>ESD</t>
  </si>
  <si>
    <t>District</t>
  </si>
  <si>
    <t>SchoolCode</t>
  </si>
  <si>
    <t>Marysville School District</t>
  </si>
  <si>
    <t>10th Street School</t>
  </si>
  <si>
    <t>Evergreen School District (Clark)</t>
  </si>
  <si>
    <t>49th Street Academy</t>
  </si>
  <si>
    <t>Tumwater School District</t>
  </si>
  <si>
    <t>A G West Black Hills High School</t>
  </si>
  <si>
    <t>Aberdeen School District</t>
  </si>
  <si>
    <t>A J West Elementary</t>
  </si>
  <si>
    <t>Wenatchee School District</t>
  </si>
  <si>
    <t>Abraham Lincoln Elementary</t>
  </si>
  <si>
    <t>Mukilteo School District</t>
  </si>
  <si>
    <t>ACES High School</t>
  </si>
  <si>
    <t>Mount Baker School District</t>
  </si>
  <si>
    <t>Acme Elementary</t>
  </si>
  <si>
    <t>Spokane School District</t>
  </si>
  <si>
    <t>Adams Elementary</t>
  </si>
  <si>
    <t>Central Valley School District</t>
  </si>
  <si>
    <t>Wapato School District</t>
  </si>
  <si>
    <t>Seattle Public Schools</t>
  </si>
  <si>
    <t>Adams Elementary School</t>
  </si>
  <si>
    <t>Yakima School District</t>
  </si>
  <si>
    <t>Federal Way School District</t>
  </si>
  <si>
    <t>Adelaide Elementary School</t>
  </si>
  <si>
    <t>Adna School District</t>
  </si>
  <si>
    <t>Adna Elementary School</t>
  </si>
  <si>
    <t>Adna Middle/High School</t>
  </si>
  <si>
    <t>West Valley School District (Yakima)</t>
  </si>
  <si>
    <t>Ahtanum Valley Elementary</t>
  </si>
  <si>
    <t>Snohomish School District</t>
  </si>
  <si>
    <t>AIM High School</t>
  </si>
  <si>
    <t>Aki Kurose Middle School</t>
  </si>
  <si>
    <t>Shoreline School District</t>
  </si>
  <si>
    <t>Albert Einstein Middle School</t>
  </si>
  <si>
    <t>Lake Washington School District</t>
  </si>
  <si>
    <t>Bellingham School District</t>
  </si>
  <si>
    <t>Alderwood Elementary School</t>
  </si>
  <si>
    <t>Edmonds School District</t>
  </si>
  <si>
    <t>Alderwood Middle School</t>
  </si>
  <si>
    <t>Alki Elementary School</t>
  </si>
  <si>
    <t>Vancouver School District</t>
  </si>
  <si>
    <t>Alki Middle School</t>
  </si>
  <si>
    <t>Allen Creek Elementary School</t>
  </si>
  <si>
    <t>Burlington-Edison School District</t>
  </si>
  <si>
    <t>Allen Elementary</t>
  </si>
  <si>
    <t>Coulee-Hartline School District</t>
  </si>
  <si>
    <t>Almira Coulee Hartline High School</t>
  </si>
  <si>
    <t>Auburn School District</t>
  </si>
  <si>
    <t>Alpac Elementary School</t>
  </si>
  <si>
    <t>Walla Walla Public Schools</t>
  </si>
  <si>
    <t>Methow Valley School District</t>
  </si>
  <si>
    <t>Alternative School</t>
  </si>
  <si>
    <t>Battle Ground School District</t>
  </si>
  <si>
    <t>Amboy Middle School</t>
  </si>
  <si>
    <t>Kennewick School District</t>
  </si>
  <si>
    <t>Amistad Elementary School</t>
  </si>
  <si>
    <t>Anacortes School District</t>
  </si>
  <si>
    <t>Anacortes High School</t>
  </si>
  <si>
    <t>Anacortes Middle School</t>
  </si>
  <si>
    <t>Steilacoom Hist. School District</t>
  </si>
  <si>
    <t>Anderson Island Elementary</t>
  </si>
  <si>
    <t>Tacoma School District</t>
  </si>
  <si>
    <t>Angelo Giaudrone Middle School</t>
  </si>
  <si>
    <t>Issaquah School District</t>
  </si>
  <si>
    <t>Apollo Elementary</t>
  </si>
  <si>
    <t>Apple Valley Elementary</t>
  </si>
  <si>
    <t>Arbor Heights Elementary School</t>
  </si>
  <si>
    <t>Deer Park School District</t>
  </si>
  <si>
    <t>Arcadia Elementary</t>
  </si>
  <si>
    <t>Bellevue School District</t>
  </si>
  <si>
    <t>Ardmore Elementary School</t>
  </si>
  <si>
    <t>Arlington</t>
  </si>
  <si>
    <t>Arlington Elementary</t>
  </si>
  <si>
    <t>Arlington School District</t>
  </si>
  <si>
    <t>Arlington High School</t>
  </si>
  <si>
    <t>Bremerton School District</t>
  </si>
  <si>
    <t>Armin Jahr Elementary</t>
  </si>
  <si>
    <t>Northshore School District</t>
  </si>
  <si>
    <t>Arrowhead Elementary</t>
  </si>
  <si>
    <t>Arthur Jacobsen Elementary</t>
  </si>
  <si>
    <t>Peninsula School District</t>
  </si>
  <si>
    <t>Artondale Elementary School</t>
  </si>
  <si>
    <t>Mabton School District</t>
  </si>
  <si>
    <t>Artz Fox Elementary</t>
  </si>
  <si>
    <t>Asotin-Anatone School District</t>
  </si>
  <si>
    <t>Asotin Elementary</t>
  </si>
  <si>
    <t>Asotin Jr Sr High</t>
  </si>
  <si>
    <t>North Thurston Public Schools</t>
  </si>
  <si>
    <t>Aspire Middle School</t>
  </si>
  <si>
    <t>Auburn Mountainview High School</t>
  </si>
  <si>
    <t>Auburn Riverside High School</t>
  </si>
  <si>
    <t>Auburn Senior High School</t>
  </si>
  <si>
    <t>Audubon Elementary</t>
  </si>
  <si>
    <t>Olympia School District</t>
  </si>
  <si>
    <t>Avanti High School</t>
  </si>
  <si>
    <t>Puyallup School District</t>
  </si>
  <si>
    <t>Aylen Jr High</t>
  </si>
  <si>
    <t>B F Day Elementary School</t>
  </si>
  <si>
    <t>Richland School District</t>
  </si>
  <si>
    <t>Badger Mountain Elementary</t>
  </si>
  <si>
    <t>Bailey Gatzert Elementary School</t>
  </si>
  <si>
    <t>Bainbridge Island School District</t>
  </si>
  <si>
    <t>Bainbridge High School</t>
  </si>
  <si>
    <t>Baker</t>
  </si>
  <si>
    <t>Balboa Elementary</t>
  </si>
  <si>
    <t>Ballard High School</t>
  </si>
  <si>
    <t>Ballou Jr High</t>
  </si>
  <si>
    <t>Pasco School District</t>
  </si>
  <si>
    <t>Barbara McClintock STEM Elementary</t>
  </si>
  <si>
    <t>Barge-Lincoln Elementary School</t>
  </si>
  <si>
    <t>Central Kitsap School District</t>
  </si>
  <si>
    <t>Barker Creek Community School</t>
  </si>
  <si>
    <t>Kelso School District</t>
  </si>
  <si>
    <t>Barnes Elementary</t>
  </si>
  <si>
    <t>North Franklin School District</t>
  </si>
  <si>
    <t>Basin City Elem</t>
  </si>
  <si>
    <t>Battle Ground High School</t>
  </si>
  <si>
    <t>Bay View Elementary</t>
  </si>
  <si>
    <t>Ferndale School District</t>
  </si>
  <si>
    <t>Beach Elem</t>
  </si>
  <si>
    <t>Clover Park School District</t>
  </si>
  <si>
    <t>Beachwood Elementary School</t>
  </si>
  <si>
    <t>Montesano School District</t>
  </si>
  <si>
    <t>Beacon Avenue Elementary School</t>
  </si>
  <si>
    <t>Beacon Hill Elementary</t>
  </si>
  <si>
    <t>Beacon Hill International School</t>
  </si>
  <si>
    <t>Bear Creek Elementary</t>
  </si>
  <si>
    <t>Beaver Lake Middle School</t>
  </si>
  <si>
    <t>Cascade School District</t>
  </si>
  <si>
    <t>Beaver Valley School</t>
  </si>
  <si>
    <t>North Mason School District</t>
  </si>
  <si>
    <t>Belfair Elementary</t>
  </si>
  <si>
    <t>Bellevue Big Picture School</t>
  </si>
  <si>
    <t>Bellevue High School</t>
  </si>
  <si>
    <t>Bellingham Family Partnership Program</t>
  </si>
  <si>
    <t>Bellingham High School</t>
  </si>
  <si>
    <t>Bemiss Elementary</t>
  </si>
  <si>
    <t>Benjamin Franklin Elementary</t>
  </si>
  <si>
    <t>Bennett Elementary School</t>
  </si>
  <si>
    <t>Renton School District</t>
  </si>
  <si>
    <t>Benson Hill Elementary School</t>
  </si>
  <si>
    <t>Benton/Franklin Juvenile Justice Center</t>
  </si>
  <si>
    <t>Berney Elementary School</t>
  </si>
  <si>
    <t>Cusick School District</t>
  </si>
  <si>
    <t>Bess Herian Elementary</t>
  </si>
  <si>
    <t>Bethel School District</t>
  </si>
  <si>
    <t>Bethel High School</t>
  </si>
  <si>
    <t>Bethel Middle School</t>
  </si>
  <si>
    <t>Cheney School District</t>
  </si>
  <si>
    <t>Betz Elementary</t>
  </si>
  <si>
    <t>Beverly Elementary</t>
  </si>
  <si>
    <t>Highline School District</t>
  </si>
  <si>
    <t>Beverly Park Elem at Glendale</t>
  </si>
  <si>
    <t>Sedro-Woolley School District</t>
  </si>
  <si>
    <t>Big Lake Elementary School</t>
  </si>
  <si>
    <t>Big Picture School</t>
  </si>
  <si>
    <t>Birchwood Elementary School</t>
  </si>
  <si>
    <t>Birney</t>
  </si>
  <si>
    <t>Enumclaw School District</t>
  </si>
  <si>
    <t>Black Diamond Elementary</t>
  </si>
  <si>
    <t>Black Lake Elementary</t>
  </si>
  <si>
    <t>Blaine School District</t>
  </si>
  <si>
    <t>Blaine Elementary School</t>
  </si>
  <si>
    <t>Blaine High School</t>
  </si>
  <si>
    <t>Blaine Home Connections</t>
  </si>
  <si>
    <t>Blaine Middle School</t>
  </si>
  <si>
    <t>Blaine Primary School</t>
  </si>
  <si>
    <t>Blix Elementary</t>
  </si>
  <si>
    <t>Port Townsend School District</t>
  </si>
  <si>
    <t>Blue Heron Middle School</t>
  </si>
  <si>
    <t>Blue Ridge Elementary</t>
  </si>
  <si>
    <t>Sumner School District</t>
  </si>
  <si>
    <t>Bonney Lake Elementary</t>
  </si>
  <si>
    <t>Bonney Lake High School</t>
  </si>
  <si>
    <t>Shelton School District</t>
  </si>
  <si>
    <t>Bordeaux Elementary School</t>
  </si>
  <si>
    <t>Boston Harbor Elementary</t>
  </si>
  <si>
    <t>Bothell High School</t>
  </si>
  <si>
    <t>Bow Lake Elementary</t>
  </si>
  <si>
    <t>Bowdish Middle School</t>
  </si>
  <si>
    <t>Boze</t>
  </si>
  <si>
    <t>Bremerton High School</t>
  </si>
  <si>
    <t>Mead School District</t>
  </si>
  <si>
    <t>Brentwood Elementary School</t>
  </si>
  <si>
    <t>Brewster School District</t>
  </si>
  <si>
    <t>Brewster Alternative School</t>
  </si>
  <si>
    <t>Brewster Elementary School</t>
  </si>
  <si>
    <t>Brewster High School</t>
  </si>
  <si>
    <t>Brewster Middle School</t>
  </si>
  <si>
    <t>Briarcrest Elementary</t>
  </si>
  <si>
    <t>Briarwood Elementary</t>
  </si>
  <si>
    <t>Bridgeport School District</t>
  </si>
  <si>
    <t>Bridgeport Aurora High School</t>
  </si>
  <si>
    <t>Bridgeport Elementary</t>
  </si>
  <si>
    <t>Bridgeport High School</t>
  </si>
  <si>
    <t>Bridgeport Middle School</t>
  </si>
  <si>
    <t>Bridges Transition</t>
  </si>
  <si>
    <t>Brier Elementary</t>
  </si>
  <si>
    <t>Brier Terrace Middle School</t>
  </si>
  <si>
    <t>Brigadoon Elementary School</t>
  </si>
  <si>
    <t>Oak Harbor School District</t>
  </si>
  <si>
    <t>Broadview Elementary</t>
  </si>
  <si>
    <t>Broadview-Thomson K-8 School</t>
  </si>
  <si>
    <t>Broadway Elementary</t>
  </si>
  <si>
    <t>Longview School District</t>
  </si>
  <si>
    <t>Broadway Learning Center</t>
  </si>
  <si>
    <t>Franklin Pierce School District</t>
  </si>
  <si>
    <t>Brookdale Elementary</t>
  </si>
  <si>
    <t>Brookside Elementary</t>
  </si>
  <si>
    <t>Browne Elementary</t>
  </si>
  <si>
    <t>Browns Point</t>
  </si>
  <si>
    <t>Brownsville Elementary</t>
  </si>
  <si>
    <t>Bryant</t>
  </si>
  <si>
    <t>Bryant Center</t>
  </si>
  <si>
    <t>Bryant Elementary School</t>
  </si>
  <si>
    <t>Bryn Mawr Elementary School</t>
  </si>
  <si>
    <t>South Kitsap School District</t>
  </si>
  <si>
    <t>Burley Glenwood Elementary</t>
  </si>
  <si>
    <t>Burlington Edison High School</t>
  </si>
  <si>
    <t>Burnt Bridge Creek Elementary Sch</t>
  </si>
  <si>
    <t>Burton Elementary School</t>
  </si>
  <si>
    <t>Butler Acres Elementary</t>
  </si>
  <si>
    <t>Byron Kibler Elementary School</t>
  </si>
  <si>
    <t>C O Sorenson</t>
  </si>
  <si>
    <t>CAM Academy</t>
  </si>
  <si>
    <t>Camas Elementary</t>
  </si>
  <si>
    <t>Camas School District</t>
  </si>
  <si>
    <t>Camas High School</t>
  </si>
  <si>
    <t>Camas Prairie Elementary</t>
  </si>
  <si>
    <t>Camelot Elementary School</t>
  </si>
  <si>
    <t>Campbell Hill Elementary School</t>
  </si>
  <si>
    <t>Canyon Creek Elementary</t>
  </si>
  <si>
    <t>Washougal School District</t>
  </si>
  <si>
    <t>Canyon Creek Middle School</t>
  </si>
  <si>
    <t>Canyon Park Middle School</t>
  </si>
  <si>
    <t>Canyon View Elementary School</t>
  </si>
  <si>
    <t>Eastmont School District</t>
  </si>
  <si>
    <t>Canyon View Group Home</t>
  </si>
  <si>
    <t>Cap Sante High School</t>
  </si>
  <si>
    <t>Cape Horn Skye Elementary</t>
  </si>
  <si>
    <t>Capital High School</t>
  </si>
  <si>
    <t>Capt Johnston Blakely Elem Sch</t>
  </si>
  <si>
    <t>Capt. Charles Wilkes Elem School</t>
  </si>
  <si>
    <t>Captain Gray STEM Elementary</t>
  </si>
  <si>
    <t>Captain Strong</t>
  </si>
  <si>
    <t>Career &amp; Academic Re-engagement Center</t>
  </si>
  <si>
    <t>Career Academy at Truman High School</t>
  </si>
  <si>
    <t>Carl Cozier Elementary School</t>
  </si>
  <si>
    <t>Carmichael Middle School</t>
  </si>
  <si>
    <t>Riverview School District</t>
  </si>
  <si>
    <t>Carnation Elementary School</t>
  </si>
  <si>
    <t>Kent School District</t>
  </si>
  <si>
    <t>Carriage Crest Elementary School</t>
  </si>
  <si>
    <t>Carrolls Elementary</t>
  </si>
  <si>
    <t>Stevenson-Carson School District</t>
  </si>
  <si>
    <t>Carson Elementary</t>
  </si>
  <si>
    <t>Carter Lake Elementary School</t>
  </si>
  <si>
    <t>Cascade Elementary</t>
  </si>
  <si>
    <t>Chehalis School District</t>
  </si>
  <si>
    <t>Cascade Elementary School</t>
  </si>
  <si>
    <t>Everett School District</t>
  </si>
  <si>
    <t>Cascade High School</t>
  </si>
  <si>
    <t>Cascade Home-Link</t>
  </si>
  <si>
    <t>Cascade K-8 Community School</t>
  </si>
  <si>
    <t>Cascade Middle School</t>
  </si>
  <si>
    <t>Cascade Parent Partnership Program</t>
  </si>
  <si>
    <t>Cascade Ridge Elementary</t>
  </si>
  <si>
    <t>Tukwila School District</t>
  </si>
  <si>
    <t>Cascade View Elementary</t>
  </si>
  <si>
    <t>Snoqualmie Valley School District</t>
  </si>
  <si>
    <t>Cascade View Elementary School</t>
  </si>
  <si>
    <t>Cascadia Elementary</t>
  </si>
  <si>
    <t>Cascadia Technical Academy Skills Center</t>
  </si>
  <si>
    <t>CASHMERE SCHOOL DISTRICT</t>
  </si>
  <si>
    <t>CASHMERE HIGH SCHOOL</t>
  </si>
  <si>
    <t>CASHMERE MIDDLE SCHOOL</t>
  </si>
  <si>
    <t>Castle Rock School District</t>
  </si>
  <si>
    <t>Castle Rock Elementary</t>
  </si>
  <si>
    <t>Castle Rock High School</t>
  </si>
  <si>
    <t>Castle Rock Middle School</t>
  </si>
  <si>
    <t>Catharine Blaine K-8 School</t>
  </si>
  <si>
    <t>Cathcart Elementary</t>
  </si>
  <si>
    <t>Catlin Elementary</t>
  </si>
  <si>
    <t>Lake Stevens School District</t>
  </si>
  <si>
    <t>Cavelero Mid High School</t>
  </si>
  <si>
    <t>Cedar Heights Middle School</t>
  </si>
  <si>
    <t>Cedar Park Elementary School</t>
  </si>
  <si>
    <t>Tahoma School District</t>
  </si>
  <si>
    <t>Cedar River Elementary</t>
  </si>
  <si>
    <t>Cedar Valley Community School</t>
  </si>
  <si>
    <t>Cedar Valley Elementary School</t>
  </si>
  <si>
    <t>Cedar Way Elementary</t>
  </si>
  <si>
    <t>Cedar Wood Elementary</t>
  </si>
  <si>
    <t>Cedarcrest High School</t>
  </si>
  <si>
    <t>Cedarcrest Middle School</t>
  </si>
  <si>
    <t>Cedarcrest School</t>
  </si>
  <si>
    <t>Stanwood-Camano School District</t>
  </si>
  <si>
    <t>Cedarhome Elementary School</t>
  </si>
  <si>
    <t>Cedarhurst Elementary</t>
  </si>
  <si>
    <t>Centennial Elementary Bethel</t>
  </si>
  <si>
    <t>Centennial Elementary Olympia</t>
  </si>
  <si>
    <t>Mount Vernon School District</t>
  </si>
  <si>
    <t>Centennial Elementary School Mt Vernon</t>
  </si>
  <si>
    <t>West Valley School District (Spokane)</t>
  </si>
  <si>
    <t>Centennial Middle School</t>
  </si>
  <si>
    <t>Central Avenue Elementary</t>
  </si>
  <si>
    <t>Central Elementary</t>
  </si>
  <si>
    <t>Central Elementary School</t>
  </si>
  <si>
    <t>Hoquiam School District</t>
  </si>
  <si>
    <t>Central Kitsap High School</t>
  </si>
  <si>
    <t>Central Kitsap Middle School</t>
  </si>
  <si>
    <t>Central Park Elementary</t>
  </si>
  <si>
    <t>Central Valley Early Learning Center</t>
  </si>
  <si>
    <t>Central Valley High School</t>
  </si>
  <si>
    <t>Centralia School District</t>
  </si>
  <si>
    <t>Centralia High School</t>
  </si>
  <si>
    <t>Centralia Middle School</t>
  </si>
  <si>
    <t>Monroe School District</t>
  </si>
  <si>
    <t>Chain Lake Elementary School</t>
  </si>
  <si>
    <t>Challenger Elementary</t>
  </si>
  <si>
    <t>Challenger High School</t>
  </si>
  <si>
    <t>University Place School District</t>
  </si>
  <si>
    <t>Chambers Elementary</t>
  </si>
  <si>
    <t>Chambers Prairie Elementary School</t>
  </si>
  <si>
    <t>Clarkston School District</t>
  </si>
  <si>
    <t>Charles Francis Adams High School</t>
  </si>
  <si>
    <t>Chase Lake Elementary</t>
  </si>
  <si>
    <t>Chase Middle School</t>
  </si>
  <si>
    <t>Riverside School District</t>
  </si>
  <si>
    <t>Chattaroy Elementary</t>
  </si>
  <si>
    <t>South Bend School District</t>
  </si>
  <si>
    <t>Vashon Island School District</t>
  </si>
  <si>
    <t>Chautauqua Elementary</t>
  </si>
  <si>
    <t>Chehalis Middle School</t>
  </si>
  <si>
    <t>Chelan County Juvenile Detention Center</t>
  </si>
  <si>
    <t>Lake Chelan School District</t>
  </si>
  <si>
    <t>Chelan High School</t>
  </si>
  <si>
    <t>Chelan Middle School</t>
  </si>
  <si>
    <t>Chelan School of Innovation</t>
  </si>
  <si>
    <t>Cheney High School</t>
  </si>
  <si>
    <t>Cheney Middle School</t>
  </si>
  <si>
    <t>Cherry Crest Elementary School</t>
  </si>
  <si>
    <t>Cherry Valley Elementary School</t>
  </si>
  <si>
    <t>Cherrydale Elementary</t>
  </si>
  <si>
    <t>Chester Elementary School</t>
  </si>
  <si>
    <t>Chester H Thompson Elementary</t>
  </si>
  <si>
    <t>Chiawana High School</t>
  </si>
  <si>
    <t>Chief Joseph Middle School</t>
  </si>
  <si>
    <t>Sunnyside School District</t>
  </si>
  <si>
    <t>Chief Kamiakin Elementary School</t>
  </si>
  <si>
    <t>Chief Kanim Middle School</t>
  </si>
  <si>
    <t>Moses Lake School District</t>
  </si>
  <si>
    <t>Chief Moses Middle School</t>
  </si>
  <si>
    <t>Chief Sealth International High School</t>
  </si>
  <si>
    <t>Chief Umtuch Middle</t>
  </si>
  <si>
    <t>Chimacum School District</t>
  </si>
  <si>
    <t>Chimacum Creek Primary School</t>
  </si>
  <si>
    <t>Chimacum Elementary School</t>
  </si>
  <si>
    <t>Chinook Elementary School</t>
  </si>
  <si>
    <t>Chinook Middle School</t>
  </si>
  <si>
    <t>Chloe Clark Elementary</t>
  </si>
  <si>
    <t>Choice</t>
  </si>
  <si>
    <t>CHOICE Academy</t>
  </si>
  <si>
    <t>Choice Alternative School</t>
  </si>
  <si>
    <t>Christensen Elementary</t>
  </si>
  <si>
    <t>Cape Flattery School District</t>
  </si>
  <si>
    <t>Clallam Bay High &amp; Elementary</t>
  </si>
  <si>
    <t>Clark Elementary</t>
  </si>
  <si>
    <t>Cle Elum-Roslyn School District</t>
  </si>
  <si>
    <t>Cle Elum Roslyn Elementary</t>
  </si>
  <si>
    <t>Cle Elum Roslyn High School</t>
  </si>
  <si>
    <t>Clear Creek Elementary School</t>
  </si>
  <si>
    <t>Clear Lake Elementary School</t>
  </si>
  <si>
    <t>Cleveland High School STEM</t>
  </si>
  <si>
    <t>CLIP</t>
  </si>
  <si>
    <t>Clover Creek Elementary</t>
  </si>
  <si>
    <t>Clover Park High School</t>
  </si>
  <si>
    <t>Clovis Point</t>
  </si>
  <si>
    <t>Clyde Hill Elementary</t>
  </si>
  <si>
    <t>Colbert Elementary School</t>
  </si>
  <si>
    <t>Colfax School District</t>
  </si>
  <si>
    <t>Colfax High School</t>
  </si>
  <si>
    <t>College Place Elementary</t>
  </si>
  <si>
    <t>College Place School District</t>
  </si>
  <si>
    <t>College Place High School</t>
  </si>
  <si>
    <t>College Place Middle School</t>
  </si>
  <si>
    <t>Collins Elementary</t>
  </si>
  <si>
    <t xml:space="preserve">Columbia Basin Technical Skills Center </t>
  </si>
  <si>
    <t>Eatonville School District</t>
  </si>
  <si>
    <t>Columbia Crest A-STEM Academy</t>
  </si>
  <si>
    <t>Columbia (Walla Walla) School District</t>
  </si>
  <si>
    <t>Columbia Elementary</t>
  </si>
  <si>
    <t>Columbia Elementary School</t>
  </si>
  <si>
    <t>Columbia Heights Elementary</t>
  </si>
  <si>
    <t>Columbia (Stevens) School District</t>
  </si>
  <si>
    <t>White Salmon Valley School District</t>
  </si>
  <si>
    <t>Columbia High School</t>
  </si>
  <si>
    <t>Fife School District</t>
  </si>
  <si>
    <t>Columbia Junior High School</t>
  </si>
  <si>
    <t>Columbia Middle School</t>
  </si>
  <si>
    <t>Ephrata School District</t>
  </si>
  <si>
    <t>Columbia Ridge Elementary</t>
  </si>
  <si>
    <t>Columbia River Gorge Elementary School</t>
  </si>
  <si>
    <t>Columbia River High</t>
  </si>
  <si>
    <t>Columbia Valley Elementary</t>
  </si>
  <si>
    <t>Columbia Valley Garden Elem Schl</t>
  </si>
  <si>
    <t>Sultan School District</t>
  </si>
  <si>
    <t>Colville School District</t>
  </si>
  <si>
    <t>Colville Junior High School</t>
  </si>
  <si>
    <t>Colville Senior High School</t>
  </si>
  <si>
    <t>Community School</t>
  </si>
  <si>
    <t>Toppenish School District</t>
  </si>
  <si>
    <t>Computer Academy Toppenish High School</t>
  </si>
  <si>
    <t>Concord International School</t>
  </si>
  <si>
    <t>Concrete School District</t>
  </si>
  <si>
    <t>Concrete Elementary</t>
  </si>
  <si>
    <t>Concrete High School</t>
  </si>
  <si>
    <t>Connell Elem</t>
  </si>
  <si>
    <t>Connell High School</t>
  </si>
  <si>
    <t>East Valley School District (Spokane)</t>
  </si>
  <si>
    <t>Continuous Curriculum School</t>
  </si>
  <si>
    <t>Grandview School District</t>
  </si>
  <si>
    <t>Contract Learning Center</t>
  </si>
  <si>
    <t>Cooper Elementary</t>
  </si>
  <si>
    <t>Cordata Elementary School</t>
  </si>
  <si>
    <t>Cottage Lake Elementary</t>
  </si>
  <si>
    <t>Cottonwood Elementary</t>
  </si>
  <si>
    <t>Cottonwood Elementary School</t>
  </si>
  <si>
    <t>Lakewood School District</t>
  </si>
  <si>
    <t>Cougar Creek Elementary School</t>
  </si>
  <si>
    <t>Cougar Mountain Middle School</t>
  </si>
  <si>
    <t>Cougar Ridge Elementary</t>
  </si>
  <si>
    <t>Cougar Valley Elementary</t>
  </si>
  <si>
    <t>Coulee City Elementary</t>
  </si>
  <si>
    <t>Coupeville School District</t>
  </si>
  <si>
    <t>Coupeville Elementary School</t>
  </si>
  <si>
    <t>Coupeville High School</t>
  </si>
  <si>
    <t>Coupeville Middle School</t>
  </si>
  <si>
    <t>Covington Elementary School</t>
  </si>
  <si>
    <t>Covington Middle School</t>
  </si>
  <si>
    <t>Coweeman Middle School</t>
  </si>
  <si>
    <t>Toledo School District</t>
  </si>
  <si>
    <t>Cowlitz Prairie Academy</t>
  </si>
  <si>
    <t>CPSD Open Doors Program</t>
  </si>
  <si>
    <t>Creekside Elementary</t>
  </si>
  <si>
    <t>Crescent Harbor Elem</t>
  </si>
  <si>
    <t>Crescent Heights</t>
  </si>
  <si>
    <t>Crestline Elementary School</t>
  </si>
  <si>
    <t>Creston School District</t>
  </si>
  <si>
    <t>Crestwood Elementary</t>
  </si>
  <si>
    <t>Crestwood Elementary School</t>
  </si>
  <si>
    <t>Quilcene School District</t>
  </si>
  <si>
    <t>Granite Falls School District</t>
  </si>
  <si>
    <t>Crossroads High School</t>
  </si>
  <si>
    <t>Crownhill Elementary School</t>
  </si>
  <si>
    <t>Crystal Springs Elementary</t>
  </si>
  <si>
    <t>Curlew School District</t>
  </si>
  <si>
    <t>Curlew Elem &amp; High School</t>
  </si>
  <si>
    <t>Curtis Junior High</t>
  </si>
  <si>
    <t>Curtis Senior High</t>
  </si>
  <si>
    <t>Cusick Jr Sr High School</t>
  </si>
  <si>
    <t>Custer Elem</t>
  </si>
  <si>
    <t>Custer Elementary School</t>
  </si>
  <si>
    <t>Daffodil Valley Elementary</t>
  </si>
  <si>
    <t>Lyle School District</t>
  </si>
  <si>
    <t>Daniel Bagley Elementary School</t>
  </si>
  <si>
    <t>Darrington School District</t>
  </si>
  <si>
    <t>Darrington Elementary School</t>
  </si>
  <si>
    <t>Davenport School District</t>
  </si>
  <si>
    <t>Davenport Elementary</t>
  </si>
  <si>
    <t>Davenport Senior High School</t>
  </si>
  <si>
    <t>David T. Denny International Middle School</t>
  </si>
  <si>
    <t>North Kitsap School District</t>
  </si>
  <si>
    <t>David Wolfle Elementary</t>
  </si>
  <si>
    <t>Davis Elementary</t>
  </si>
  <si>
    <t>Davis High School</t>
  </si>
  <si>
    <t>Daybreak Middle</t>
  </si>
  <si>
    <t>Daybreak Primary</t>
  </si>
  <si>
    <t>Dayton School District</t>
  </si>
  <si>
    <t>Dayton Elementary School</t>
  </si>
  <si>
    <t>Dayton High School</t>
  </si>
  <si>
    <t>Dayton Middle School</t>
  </si>
  <si>
    <t>Dearborn Park International School</t>
  </si>
  <si>
    <t>Lopez School District</t>
  </si>
  <si>
    <t>Decatur Elementary</t>
  </si>
  <si>
    <t>Decatur Elementary School</t>
  </si>
  <si>
    <t>Decatur High School</t>
  </si>
  <si>
    <t>Deer Park Elementary</t>
  </si>
  <si>
    <t>Deer Park High School</t>
  </si>
  <si>
    <t>Deer Park Home Link Program</t>
  </si>
  <si>
    <t>Deer Park Middle School</t>
  </si>
  <si>
    <t>Delong</t>
  </si>
  <si>
    <t>Des Moines Elementary</t>
  </si>
  <si>
    <t>Desert Hills Middle School</t>
  </si>
  <si>
    <t>Othello School District</t>
  </si>
  <si>
    <t>Desert Oasis High School</t>
  </si>
  <si>
    <t>Dick Scobee Elementary School</t>
  </si>
  <si>
    <t>Dieringer School District</t>
  </si>
  <si>
    <t>Dieringer Heights Elementary</t>
  </si>
  <si>
    <t>Dimmitt Middle School</t>
  </si>
  <si>
    <t>Discovery</t>
  </si>
  <si>
    <t>Discovery Elementary</t>
  </si>
  <si>
    <t>Discovery Elementary School</t>
  </si>
  <si>
    <t>Discovery High School</t>
  </si>
  <si>
    <t>Discovery Lab School</t>
  </si>
  <si>
    <t>Discovery Middle School</t>
  </si>
  <si>
    <t>Discovery Primary School</t>
  </si>
  <si>
    <t>Discovery School</t>
  </si>
  <si>
    <t>Dishman Hills High School</t>
  </si>
  <si>
    <t>Quillayute Valley School District</t>
  </si>
  <si>
    <t>District Run Home School</t>
  </si>
  <si>
    <t>Dower Elementary School</t>
  </si>
  <si>
    <t>Downing</t>
  </si>
  <si>
    <t>Drum Intermediate</t>
  </si>
  <si>
    <t>Port Angeles School District</t>
  </si>
  <si>
    <t>Dry Creek Elementary</t>
  </si>
  <si>
    <t>Dunlap Elementary School</t>
  </si>
  <si>
    <t>Dutch Hill Elementary</t>
  </si>
  <si>
    <t>Dwight D Eisenhower Elementary</t>
  </si>
  <si>
    <t>Omak School District</t>
  </si>
  <si>
    <t>E Omak Elementary</t>
  </si>
  <si>
    <t>Eagle Creek Elementary</t>
  </si>
  <si>
    <t>Eagle Harbor High School</t>
  </si>
  <si>
    <t>Eagle Rock Multiage School</t>
  </si>
  <si>
    <t>Eagleridge Elementary</t>
  </si>
  <si>
    <t>Elma School District</t>
  </si>
  <si>
    <t>East Grays Harbor High School</t>
  </si>
  <si>
    <t>East Hill Elementary School</t>
  </si>
  <si>
    <t>East Olympia Elementary</t>
  </si>
  <si>
    <t>East Port Orchard Elementary</t>
  </si>
  <si>
    <t>East Ridge Elementary</t>
  </si>
  <si>
    <t>East Valley School District (Yakima)</t>
  </si>
  <si>
    <t>East Valley Central Middle School</t>
  </si>
  <si>
    <t>East Valley Elementary</t>
  </si>
  <si>
    <t>East Valley High School</t>
  </si>
  <si>
    <t>East Valley Middle School</t>
  </si>
  <si>
    <t>Eastgate Elementary School</t>
  </si>
  <si>
    <t>Eastlake High School</t>
  </si>
  <si>
    <t>Eastmont Junior High</t>
  </si>
  <si>
    <t>Eastmont Senior High</t>
  </si>
  <si>
    <t>Eatonville Elementary School</t>
  </si>
  <si>
    <t>Eatonville High School</t>
  </si>
  <si>
    <t>Eatonville Middle School</t>
  </si>
  <si>
    <t>Echo Glen School</t>
  </si>
  <si>
    <t>Echo Lake Elementary School</t>
  </si>
  <si>
    <t>Eckstein Middle School</t>
  </si>
  <si>
    <t>Edgemont Jr High</t>
  </si>
  <si>
    <t>Edison</t>
  </si>
  <si>
    <t>Edison Elementary</t>
  </si>
  <si>
    <t>Edison Elementary School - Kennewick</t>
  </si>
  <si>
    <t>Edison Elementary School - Walla Walla</t>
  </si>
  <si>
    <t>Edmonds Elementary</t>
  </si>
  <si>
    <t>Edmonds Heights K-12</t>
  </si>
  <si>
    <t>Edmonds Woodway High School</t>
  </si>
  <si>
    <t>Educational Opportunity Center</t>
  </si>
  <si>
    <t>Edwin Markham Elementary</t>
  </si>
  <si>
    <t>Edwin R Opstad Elementary</t>
  </si>
  <si>
    <t>Eisenhower High School</t>
  </si>
  <si>
    <t>Eisenhower Middle School</t>
  </si>
  <si>
    <t>Eismann Elementary</t>
  </si>
  <si>
    <t>Elger Bay Elementary</t>
  </si>
  <si>
    <t>Elk Plain School of Choice</t>
  </si>
  <si>
    <t>White River School District</t>
  </si>
  <si>
    <t>Elk Ridge Elementary</t>
  </si>
  <si>
    <t>Ellen Ochoa Middle School</t>
  </si>
  <si>
    <t>Ellensburg School District</t>
  </si>
  <si>
    <t>Ellensburg High School</t>
  </si>
  <si>
    <t>Ellsworth Elementary School</t>
  </si>
  <si>
    <t>Elma Elementary School</t>
  </si>
  <si>
    <t>Elma High School</t>
  </si>
  <si>
    <t>Elma Middle School</t>
  </si>
  <si>
    <t>Elmhurst Elementary School</t>
  </si>
  <si>
    <t>Emerald Heights Elementary</t>
  </si>
  <si>
    <t>Emerald Hills Elementary</t>
  </si>
  <si>
    <t>Emerald Park Elementary School</t>
  </si>
  <si>
    <t>Emerald Ridge High School</t>
  </si>
  <si>
    <t>Emerson Elementary</t>
  </si>
  <si>
    <t>Emerson Elementary School</t>
  </si>
  <si>
    <t>Emerson High School</t>
  </si>
  <si>
    <t>Emerson K-12</t>
  </si>
  <si>
    <t>Employment Transition Program</t>
  </si>
  <si>
    <t>Enatai Elementary School</t>
  </si>
  <si>
    <t xml:space="preserve">Endeavor Middle School </t>
  </si>
  <si>
    <t>Endeavour Elementary</t>
  </si>
  <si>
    <t>Endeavour Elementary School</t>
  </si>
  <si>
    <t>Endeavour Intermediate</t>
  </si>
  <si>
    <t>English Crossing Elementary</t>
  </si>
  <si>
    <t>Enterprise Elementary School</t>
  </si>
  <si>
    <t>Enterprise Middle School</t>
  </si>
  <si>
    <t>Entiat School District</t>
  </si>
  <si>
    <t>Enumclaw Middle School</t>
  </si>
  <si>
    <t>Enumclaw Sr High School</t>
  </si>
  <si>
    <t>Environmental &amp; Adventure School</t>
  </si>
  <si>
    <t>Ephrata High School</t>
  </si>
  <si>
    <t>Ephrata Middle School</t>
  </si>
  <si>
    <t>Esquire Hills Elementary</t>
  </si>
  <si>
    <t>Everett High School</t>
  </si>
  <si>
    <t>Evergreen Elementary</t>
  </si>
  <si>
    <t>Evergreen Elementary School</t>
  </si>
  <si>
    <t>Evergreen Forest Elementary</t>
  </si>
  <si>
    <t>Evergreen Heights Elementary</t>
  </si>
  <si>
    <t>Evergreen High School</t>
  </si>
  <si>
    <t>Evergreen Middle School</t>
  </si>
  <si>
    <t>Evergreen Primary</t>
  </si>
  <si>
    <t>Nooksack Valley School District</t>
  </si>
  <si>
    <t>Everson Elementary</t>
  </si>
  <si>
    <t>Explorer Academy</t>
  </si>
  <si>
    <t>Explorer Community School</t>
  </si>
  <si>
    <t>Explorer Middle School</t>
  </si>
  <si>
    <t>Fairhaven Middle School</t>
  </si>
  <si>
    <t>Fairmount Elementary</t>
  </si>
  <si>
    <t>Fairmount Park Elementary School</t>
  </si>
  <si>
    <t>Fairview Middle School</t>
  </si>
  <si>
    <t>Fairwood Elementary School</t>
  </si>
  <si>
    <t>Fall City Elementary</t>
  </si>
  <si>
    <t>Family Link</t>
  </si>
  <si>
    <t>Farwell Elementary School</t>
  </si>
  <si>
    <t>Fawcett</t>
  </si>
  <si>
    <t>Federal Way High School</t>
  </si>
  <si>
    <t>Federal Way Public Academy</t>
  </si>
  <si>
    <t>Felida Elementary School</t>
  </si>
  <si>
    <t>Fern Hill</t>
  </si>
  <si>
    <t>Ferndale High School</t>
  </si>
  <si>
    <t>Fernwood Elementary</t>
  </si>
  <si>
    <t>Ferris High School</t>
  </si>
  <si>
    <t>Ferrucci Jr High</t>
  </si>
  <si>
    <t>Fidalgo Elementary</t>
  </si>
  <si>
    <t>Fife High School</t>
  </si>
  <si>
    <t>Finch Elementary</t>
  </si>
  <si>
    <t>Finley School District</t>
  </si>
  <si>
    <t>Finley Elementary</t>
  </si>
  <si>
    <t>Finley Middle School</t>
  </si>
  <si>
    <t>Finn Hill Middle School</t>
  </si>
  <si>
    <t>Fir Grove Childrens Center</t>
  </si>
  <si>
    <t>Fircrest Elementary School</t>
  </si>
  <si>
    <t>Firgrove Elementary</t>
  </si>
  <si>
    <t>First Creek Middle School</t>
  </si>
  <si>
    <t>Firwood</t>
  </si>
  <si>
    <t>Lynden School District</t>
  </si>
  <si>
    <t>Fisher Elementary School</t>
  </si>
  <si>
    <t>Fishers Landing Elementary School</t>
  </si>
  <si>
    <t>Foothills Elementary</t>
  </si>
  <si>
    <t>Foothills Middle School</t>
  </si>
  <si>
    <t>Fords Prairie Elementary</t>
  </si>
  <si>
    <t>Forest View Elementary School</t>
  </si>
  <si>
    <t>Forks Elementary School</t>
  </si>
  <si>
    <t>Forks Intermediate School</t>
  </si>
  <si>
    <t>Forks Junior-Senior High School</t>
  </si>
  <si>
    <t>Fort Colville Elementary</t>
  </si>
  <si>
    <t>Yelm School District</t>
  </si>
  <si>
    <t>Fort Stevens Elementary</t>
  </si>
  <si>
    <t>Fort Vancouver High School</t>
  </si>
  <si>
    <t>Foss</t>
  </si>
  <si>
    <t>Foster Senior High School</t>
  </si>
  <si>
    <t>Four Heroes Elementary</t>
  </si>
  <si>
    <t>Frank Love Elementary</t>
  </si>
  <si>
    <t>Frank Wagner Elementary</t>
  </si>
  <si>
    <t>Franklin</t>
  </si>
  <si>
    <t>Franklin Elementary</t>
  </si>
  <si>
    <t>Pullman School District</t>
  </si>
  <si>
    <t>Franklin High School</t>
  </si>
  <si>
    <t>Franklin Middle School</t>
  </si>
  <si>
    <t>Franklin Pierce High School</t>
  </si>
  <si>
    <t>Frantz Coe Elementary School</t>
  </si>
  <si>
    <t>Frederickson Elementary</t>
  </si>
  <si>
    <t>Freeman School District</t>
  </si>
  <si>
    <t>Freeman Elementary School</t>
  </si>
  <si>
    <t>Freeman High School</t>
  </si>
  <si>
    <t>Freeman Middle School</t>
  </si>
  <si>
    <t>San Juan Island School District</t>
  </si>
  <si>
    <t>Friday Harbor Elementary School</t>
  </si>
  <si>
    <t>Friday Harbor High School</t>
  </si>
  <si>
    <t>Friday Harbor Middle School</t>
  </si>
  <si>
    <t>Frontier Middle School</t>
  </si>
  <si>
    <t>Fruit Valley Elementary School</t>
  </si>
  <si>
    <t>Fruitland Elementary</t>
  </si>
  <si>
    <t>Fryelands Elementary</t>
  </si>
  <si>
    <t>Futures School</t>
  </si>
  <si>
    <t>Futurus High School</t>
  </si>
  <si>
    <t>Gaiser Middle School</t>
  </si>
  <si>
    <t>Garden Heights Elementary</t>
  </si>
  <si>
    <t>Garfield School District</t>
  </si>
  <si>
    <t>Garfield Elementary</t>
  </si>
  <si>
    <t>Garfield Elementary School</t>
  </si>
  <si>
    <t>Garfield High School</t>
  </si>
  <si>
    <t>Garfield Middle School</t>
  </si>
  <si>
    <t>Garrison Middle School</t>
  </si>
  <si>
    <t>Garry Middle School</t>
  </si>
  <si>
    <t>Gates Secondary School</t>
  </si>
  <si>
    <t>Gateway Middle School</t>
  </si>
  <si>
    <t>Gatewood Elementary School</t>
  </si>
  <si>
    <t>Gause Elementary</t>
  </si>
  <si>
    <t>Geiger</t>
  </si>
  <si>
    <t>Genesee Hill Elementary</t>
  </si>
  <si>
    <t>Geneva Elementary School</t>
  </si>
  <si>
    <t>George C Marshall Elementary</t>
  </si>
  <si>
    <t>Quincy School District</t>
  </si>
  <si>
    <t>George Elementary</t>
  </si>
  <si>
    <t>George T. Daniel Elementary School</t>
  </si>
  <si>
    <t>George Washington Bush Middle Sch</t>
  </si>
  <si>
    <t>Chewelah School District</t>
  </si>
  <si>
    <t>Gess Elementary</t>
  </si>
  <si>
    <t>Gibson Ek High School</t>
  </si>
  <si>
    <t>Gig Harbor High</t>
  </si>
  <si>
    <t>Gilbert Elementary School</t>
  </si>
  <si>
    <t>Gildo Rey Elementary School</t>
  </si>
  <si>
    <t>Glacier Middle School</t>
  </si>
  <si>
    <t>Glacier Park Elementary</t>
  </si>
  <si>
    <t>Glacier Peak High School</t>
  </si>
  <si>
    <t>Glacier View Junior High</t>
  </si>
  <si>
    <t>Glenridge Elementary</t>
  </si>
  <si>
    <t>Glenwood School District</t>
  </si>
  <si>
    <t>Glenwood Elementary</t>
  </si>
  <si>
    <t>Glenwood Heights Primary</t>
  </si>
  <si>
    <t>Glover Middle School</t>
  </si>
  <si>
    <t>Gold Bar Elementary</t>
  </si>
  <si>
    <t>Goldendale School District</t>
  </si>
  <si>
    <t>Goldendale High School</t>
  </si>
  <si>
    <t>Goldendale Middle School</t>
  </si>
  <si>
    <t>Goldendale Primary School</t>
  </si>
  <si>
    <t>Goodman Middle School</t>
  </si>
  <si>
    <t>Graham Elementary</t>
  </si>
  <si>
    <t>Graham Hill Elementary School</t>
  </si>
  <si>
    <t>Graham Kapowsin High School</t>
  </si>
  <si>
    <t>Okanogan School District</t>
  </si>
  <si>
    <t>Grainger Elementary</t>
  </si>
  <si>
    <t>Rochester School District</t>
  </si>
  <si>
    <t>Grand Mound Elementary</t>
  </si>
  <si>
    <t>Grand Ridge Elementary</t>
  </si>
  <si>
    <t>Grandview High School</t>
  </si>
  <si>
    <t>Grandview Middle School</t>
  </si>
  <si>
    <t>Granger School District</t>
  </si>
  <si>
    <t>Granger High School</t>
  </si>
  <si>
    <t>Granger Middle School</t>
  </si>
  <si>
    <t>Granite Falls High School</t>
  </si>
  <si>
    <t>Granite Falls Middle School</t>
  </si>
  <si>
    <t>Grant</t>
  </si>
  <si>
    <t>Grant Elementary</t>
  </si>
  <si>
    <t>Grant Elementary School</t>
  </si>
  <si>
    <t>Grantham Elementary</t>
  </si>
  <si>
    <t>Grass Lake Elementary School</t>
  </si>
  <si>
    <t>Grass Valley Elementary</t>
  </si>
  <si>
    <t>Gray</t>
  </si>
  <si>
    <t>Grays Harbor Juvenile Detention</t>
  </si>
  <si>
    <t>Green Gables Elementary School</t>
  </si>
  <si>
    <t>Green Hill Academic School</t>
  </si>
  <si>
    <t>Green Lake Elementary School</t>
  </si>
  <si>
    <t>Green Mountain Elementary</t>
  </si>
  <si>
    <t>Green Park Elementary School</t>
  </si>
  <si>
    <t>Greenacres Elementary</t>
  </si>
  <si>
    <t>Greenacres Middle School</t>
  </si>
  <si>
    <t>Greenwood Elementary School</t>
  </si>
  <si>
    <t>Gregory Heights Elementary</t>
  </si>
  <si>
    <t>Sequim School District</t>
  </si>
  <si>
    <t>Greywolf Elementary School</t>
  </si>
  <si>
    <t>Griffin Bay School</t>
  </si>
  <si>
    <t>Griffin Home</t>
  </si>
  <si>
    <t>Grove Elementary</t>
  </si>
  <si>
    <t>H.e.a.r.t. High School</t>
  </si>
  <si>
    <t>Haller Middle School</t>
  </si>
  <si>
    <t>Medical Lake School District</t>
  </si>
  <si>
    <t>Hallett Elementary</t>
  </si>
  <si>
    <t>Hamblen Elementary</t>
  </si>
  <si>
    <t>Hamilton Elementary</t>
  </si>
  <si>
    <t>Hamilton International Middle School</t>
  </si>
  <si>
    <t>Hanford High School</t>
  </si>
  <si>
    <t>Happy Valley Elementary School</t>
  </si>
  <si>
    <t>Harbor Heights Elementary School</t>
  </si>
  <si>
    <t>Harbor High School</t>
  </si>
  <si>
    <t>Harbor Ridge Middle School</t>
  </si>
  <si>
    <t>Harbour Pointe Middle School</t>
  </si>
  <si>
    <t>Harmony Elementary</t>
  </si>
  <si>
    <t>Harmony Elementary School</t>
  </si>
  <si>
    <t>Harney Elementary School</t>
  </si>
  <si>
    <t>Mount Adams School District</t>
  </si>
  <si>
    <t>Harrah Elementary School</t>
  </si>
  <si>
    <t>Harrington School District</t>
  </si>
  <si>
    <t>Harrison Middle School</t>
  </si>
  <si>
    <t>Harry S Truman Elementary School</t>
  </si>
  <si>
    <t>Harvard Elementary</t>
  </si>
  <si>
    <t>Hathaway Elementary</t>
  </si>
  <si>
    <t>Hawkins Middle School</t>
  </si>
  <si>
    <t>Hawthorne Elementary School - Everett</t>
  </si>
  <si>
    <t>Hawthorne Elementary School - Seattle</t>
  </si>
  <si>
    <t>Hayes Freedom High School</t>
  </si>
  <si>
    <t>Hazel Dell Elementary School</t>
  </si>
  <si>
    <t>Hazel Valley Elementary</t>
  </si>
  <si>
    <t>Hazel Wolf K-8</t>
  </si>
  <si>
    <t>Hazelwood Elementary</t>
  </si>
  <si>
    <t>Hazelwood Elementary School</t>
  </si>
  <si>
    <t>Hazen Senior High School</t>
  </si>
  <si>
    <t>Hearthwood Elementary School</t>
  </si>
  <si>
    <t>Heatherwood Middle School</t>
  </si>
  <si>
    <t>Hedden Elementary School</t>
  </si>
  <si>
    <t>Heights Elementary</t>
  </si>
  <si>
    <t>Helen B. Stafford Elementary</t>
  </si>
  <si>
    <t>Helen Haller Elementary School</t>
  </si>
  <si>
    <t>Henderson Bay Alt High School</t>
  </si>
  <si>
    <t>Henry M. Jackson High School</t>
  </si>
  <si>
    <t>Heritage High School</t>
  </si>
  <si>
    <t>Heritage School</t>
  </si>
  <si>
    <t>Hiawatha Elementary School</t>
  </si>
  <si>
    <t>Hidden Creek Elementary School</t>
  </si>
  <si>
    <t>Hidden River Middle School</t>
  </si>
  <si>
    <t>Highland Elementary</t>
  </si>
  <si>
    <t>Highland School District</t>
  </si>
  <si>
    <t>Highland High School</t>
  </si>
  <si>
    <t>Highland Junior High School</t>
  </si>
  <si>
    <t>Highland Middle School</t>
  </si>
  <si>
    <t>Highland Park Elementary School</t>
  </si>
  <si>
    <t>Highland Terrace Elementary</t>
  </si>
  <si>
    <t>Highlands Elementary School</t>
  </si>
  <si>
    <t>Highlands High School</t>
  </si>
  <si>
    <t>Highlands Middle School</t>
  </si>
  <si>
    <t>Highline High School</t>
  </si>
  <si>
    <t>Hilder Pearson Elementary</t>
  </si>
  <si>
    <t>Hillcrest Elementary</t>
  </si>
  <si>
    <t>Hillcrest Elementary School</t>
  </si>
  <si>
    <t>Hillside Elementary School</t>
  </si>
  <si>
    <t>Hilltop Elementary</t>
  </si>
  <si>
    <t>Ocean Beach School District</t>
  </si>
  <si>
    <t>Zillah School District</t>
  </si>
  <si>
    <t>Hilton Elementary School</t>
  </si>
  <si>
    <t>Hockinson School District</t>
  </si>
  <si>
    <t>Hockinson Heights Elementary School</t>
  </si>
  <si>
    <t>Hockinson High School</t>
  </si>
  <si>
    <t>Hockinson Middle School</t>
  </si>
  <si>
    <t>Hofstetter Elementary</t>
  </si>
  <si>
    <t>Holden Village Community School</t>
  </si>
  <si>
    <t>Hollywood Hill Elementary</t>
  </si>
  <si>
    <t>Holmes Elementary</t>
  </si>
  <si>
    <t>Home Choice Academy</t>
  </si>
  <si>
    <t>Home Education Exchange</t>
  </si>
  <si>
    <t>Homeconnection</t>
  </si>
  <si>
    <t>Homelink</t>
  </si>
  <si>
    <t>Homelink River</t>
  </si>
  <si>
    <t>HomeWorks</t>
  </si>
  <si>
    <t>Honey Dew Elementary</t>
  </si>
  <si>
    <t>Hoover Elementary School</t>
  </si>
  <si>
    <t>Hopkins Elementary</t>
  </si>
  <si>
    <t>Hoquiam High School</t>
  </si>
  <si>
    <t>Hoquiam Middle School</t>
  </si>
  <si>
    <t>Horizon Elementary</t>
  </si>
  <si>
    <t>Horizon Elementary School</t>
  </si>
  <si>
    <t>Horizon Middle School</t>
  </si>
  <si>
    <t>Horizons Elementary</t>
  </si>
  <si>
    <t>Horse Heaven Hills Middle School</t>
  </si>
  <si>
    <t>Hough Elementary School</t>
  </si>
  <si>
    <t>Prosser School District</t>
  </si>
  <si>
    <t>Housel Middle School</t>
  </si>
  <si>
    <t>Hudson's Bay High School</t>
  </si>
  <si>
    <t>Hudtloff Middle School</t>
  </si>
  <si>
    <t>Hulan L Whitson Elem</t>
  </si>
  <si>
    <t>Huntington Middle School</t>
  </si>
  <si>
    <t>Hutton Elementary</t>
  </si>
  <si>
    <t>Icicle River Middle School</t>
  </si>
  <si>
    <t>Idlewild Elementary School</t>
  </si>
  <si>
    <t>Ilalko Elementary School</t>
  </si>
  <si>
    <t>Illahee Elementary School</t>
  </si>
  <si>
    <t>Illahee Middle School</t>
  </si>
  <si>
    <t>Ilwaco High School</t>
  </si>
  <si>
    <t>Image Elementary School</t>
  </si>
  <si>
    <t>Inchelium School District</t>
  </si>
  <si>
    <t>Independent Scholar</t>
  </si>
  <si>
    <t>Indian Trail Elementary</t>
  </si>
  <si>
    <t>Inglemoor HS</t>
  </si>
  <si>
    <t>Inglewood Middle School</t>
  </si>
  <si>
    <t>Ingraham High School</t>
  </si>
  <si>
    <t>Interagency Programs</t>
  </si>
  <si>
    <t>Interlake Senior High School</t>
  </si>
  <si>
    <t>International Community School</t>
  </si>
  <si>
    <t>International School</t>
  </si>
  <si>
    <t>Internet Pasco Academy of Learning</t>
  </si>
  <si>
    <t>Meridian School District</t>
  </si>
  <si>
    <t>Irene Reither Elementary School</t>
  </si>
  <si>
    <t>Mercer Island School District</t>
  </si>
  <si>
    <t>Island Park Elementary</t>
  </si>
  <si>
    <t>Island View Elementary</t>
  </si>
  <si>
    <t>Islander Middle School</t>
  </si>
  <si>
    <t>Isom Elementary School</t>
  </si>
  <si>
    <t>Issaquah High School</t>
  </si>
  <si>
    <t>Issaquah Middle School</t>
  </si>
  <si>
    <t>Issaquah Valley Elementary</t>
  </si>
  <si>
    <t>J M Weatherwax High School</t>
  </si>
  <si>
    <t>Jackson Elementary School</t>
  </si>
  <si>
    <t>James A. Taylor High School</t>
  </si>
  <si>
    <t>James McGee Elementary</t>
  </si>
  <si>
    <t>James Sales Elementary</t>
  </si>
  <si>
    <t>Jane Addams Middle School</t>
  </si>
  <si>
    <t>Jason Lee</t>
  </si>
  <si>
    <t>Jason Lee Elementary School</t>
  </si>
  <si>
    <t>Jason Lee Middle School</t>
  </si>
  <si>
    <t>Jefferson</t>
  </si>
  <si>
    <t>Jefferson Elementary</t>
  </si>
  <si>
    <t>Jefferson Lincoln Elementary</t>
  </si>
  <si>
    <t>Jefferson Middle School</t>
  </si>
  <si>
    <t>Jemtegaard Middle School</t>
  </si>
  <si>
    <t>Jenkins Creek Elementary School</t>
  </si>
  <si>
    <t>Jenkins Junior/Senior High</t>
  </si>
  <si>
    <t>Jing Mei Elementary School</t>
  </si>
  <si>
    <t>Selah School District</t>
  </si>
  <si>
    <t>John Campbell Primary School</t>
  </si>
  <si>
    <t>John D. "Bud" Hawk Elementary at Jackson Park</t>
  </si>
  <si>
    <t>John Hay Elementary School</t>
  </si>
  <si>
    <t>John Muir Elementary School</t>
  </si>
  <si>
    <t>John Newbery Elementary</t>
  </si>
  <si>
    <t>John Rogers Elementary School</t>
  </si>
  <si>
    <t>John Sager Middle School</t>
  </si>
  <si>
    <t>John Sedgwick Middle School</t>
  </si>
  <si>
    <t>John Stanford International School</t>
  </si>
  <si>
    <t>Juanita Elementary</t>
  </si>
  <si>
    <t>Juanita High</t>
  </si>
  <si>
    <t>Julia Butler Hansen Elementary</t>
  </si>
  <si>
    <t>Wahkiakum School District</t>
  </si>
  <si>
    <t>Julius A Wendt Elementary/John C Thomas Middle School</t>
  </si>
  <si>
    <t>Kalles Junior High</t>
  </si>
  <si>
    <t>Kamiak High School</t>
  </si>
  <si>
    <t>Kamiakin High School</t>
  </si>
  <si>
    <t>Kamiakin Middle School</t>
  </si>
  <si>
    <t>Kapowsin Elementary</t>
  </si>
  <si>
    <t>Karshner Elementary</t>
  </si>
  <si>
    <t>Keene-Riverview Elementary</t>
  </si>
  <si>
    <t>Keller School District</t>
  </si>
  <si>
    <t>Kellogg Marsh Elementary School</t>
  </si>
  <si>
    <t>Kellogg Middle School</t>
  </si>
  <si>
    <t>Kelso High School</t>
  </si>
  <si>
    <t>Kendall Elementary</t>
  </si>
  <si>
    <t>Kenmore Elementary</t>
  </si>
  <si>
    <t>Kenmore Middle School</t>
  </si>
  <si>
    <t>Kennewick High School</t>
  </si>
  <si>
    <t>Kennydale Elementary School</t>
  </si>
  <si>
    <t>Kenroy Elementary</t>
  </si>
  <si>
    <t>Kent Elementary School</t>
  </si>
  <si>
    <t>Kent Mountain View Academy</t>
  </si>
  <si>
    <t>Kent Phoenix Academy</t>
  </si>
  <si>
    <t>Kent Prairie Elementary</t>
  </si>
  <si>
    <t>Kentlake High School</t>
  </si>
  <si>
    <t>Kent-Meridian High School</t>
  </si>
  <si>
    <t>Kentridge High School</t>
  </si>
  <si>
    <t>Kentwood High School</t>
  </si>
  <si>
    <t>Kessler Elementary School</t>
  </si>
  <si>
    <t>Kettle Falls School District</t>
  </si>
  <si>
    <t>Kettle Falls Elementary School</t>
  </si>
  <si>
    <t>Kettle Falls High School</t>
  </si>
  <si>
    <t>Kettle Falls Middle School</t>
  </si>
  <si>
    <t>Key Peninsula Middle School</t>
  </si>
  <si>
    <t>Kilo Middle School</t>
  </si>
  <si>
    <t>Kimball Elementary School</t>
  </si>
  <si>
    <t>Kingston High School</t>
  </si>
  <si>
    <t>Kingston Middle School</t>
  </si>
  <si>
    <t>Kiona-Benton City School District</t>
  </si>
  <si>
    <t>Kiona-Benton City High School</t>
  </si>
  <si>
    <t>Kiona-Benton City Middle School</t>
  </si>
  <si>
    <t>Kiona-Benton City Primary School</t>
  </si>
  <si>
    <t>Kiona-Benton Intermediate School</t>
  </si>
  <si>
    <t>Kirkland Middle School</t>
  </si>
  <si>
    <t>Kirkwood Elementary School</t>
  </si>
  <si>
    <t>Kitsap Lake Elementary</t>
  </si>
  <si>
    <t>Kittitas School District</t>
  </si>
  <si>
    <t>Kittitas Elementary School</t>
  </si>
  <si>
    <t>Kittitas High School</t>
  </si>
  <si>
    <t>Klahowya Secondary</t>
  </si>
  <si>
    <t>Knolls Vista Elementary</t>
  </si>
  <si>
    <t>Kokanee Elementary</t>
  </si>
  <si>
    <t>Komachin Middle School</t>
  </si>
  <si>
    <t>Kopachuck Middle School</t>
  </si>
  <si>
    <t>Kulshan Middle School</t>
  </si>
  <si>
    <t>La Center School District</t>
  </si>
  <si>
    <t>La Center Elementary</t>
  </si>
  <si>
    <t>La Center High School</t>
  </si>
  <si>
    <t>La Center Home School Academy</t>
  </si>
  <si>
    <t>La Center Middle School</t>
  </si>
  <si>
    <t>La Conner School District</t>
  </si>
  <si>
    <t>La Conner Elementary</t>
  </si>
  <si>
    <t>La Conner High School</t>
  </si>
  <si>
    <t>La Conner Middle</t>
  </si>
  <si>
    <t>La Venture Middle School</t>
  </si>
  <si>
    <t>Lacamas Heights Elementary</t>
  </si>
  <si>
    <t>Lacey Elementary</t>
  </si>
  <si>
    <t>Lackamas Elementary</t>
  </si>
  <si>
    <t>LaCrosse School District</t>
  </si>
  <si>
    <t>Lafayette Elementary School</t>
  </si>
  <si>
    <t>Lake Dolloff Elementary School</t>
  </si>
  <si>
    <t>Lake Forest Park Elementary</t>
  </si>
  <si>
    <t>Lake Grove Elementary School</t>
  </si>
  <si>
    <t>Lake Hills Elementary</t>
  </si>
  <si>
    <t>Lake Louise Elementary School</t>
  </si>
  <si>
    <t>Lake Quinault School District</t>
  </si>
  <si>
    <t>Grand Coulee Dam School District</t>
  </si>
  <si>
    <t>Lake Roosevelt Jr/Sr High School</t>
  </si>
  <si>
    <t>Lake Shore Elementary</t>
  </si>
  <si>
    <t>Nine Mile Falls School District</t>
  </si>
  <si>
    <t>Lake Spokane Elementary</t>
  </si>
  <si>
    <t>Lake Stevens Middle School</t>
  </si>
  <si>
    <t>Lake Stevens Sr High School</t>
  </si>
  <si>
    <t>Lake Stickney Elementary School</t>
  </si>
  <si>
    <t>Lake Tapps Elementary</t>
  </si>
  <si>
    <t>Lake View Elementary School</t>
  </si>
  <si>
    <t>Lake Washington High</t>
  </si>
  <si>
    <t>Lake Wilderness Elementary</t>
  </si>
  <si>
    <t>Lake Youngs Elementary School</t>
  </si>
  <si>
    <t>Lakeland Elementary School</t>
  </si>
  <si>
    <t>Lakeland Hills Elementary</t>
  </si>
  <si>
    <t>Lakeridge Elementary School</t>
  </si>
  <si>
    <t>Lakeridge Middle School</t>
  </si>
  <si>
    <t>Lakes Elementary School</t>
  </si>
  <si>
    <t>Lakes High School</t>
  </si>
  <si>
    <t>Lakeside High School</t>
  </si>
  <si>
    <t>Lakeside Middle School</t>
  </si>
  <si>
    <t>Lakeview Elementary</t>
  </si>
  <si>
    <t>Lakeview Hope Academy</t>
  </si>
  <si>
    <t>Lakeview Terrace Elementary</t>
  </si>
  <si>
    <t>Lakewood Elementary School</t>
  </si>
  <si>
    <t>Lakewood High School</t>
  </si>
  <si>
    <t>Lakewood Middle School</t>
  </si>
  <si>
    <t>Lakota Middle School</t>
  </si>
  <si>
    <t>Larchmont</t>
  </si>
  <si>
    <t>Larson Heights Elementary</t>
  </si>
  <si>
    <t>Laurelhurst Elementary School</t>
  </si>
  <si>
    <t>Laurin Middle School</t>
  </si>
  <si>
    <t>Lawton Elementary School</t>
  </si>
  <si>
    <t>Lea Hill Elementary School</t>
  </si>
  <si>
    <t>Leaders In Learning</t>
  </si>
  <si>
    <t>Lee Elementary</t>
  </si>
  <si>
    <t>Legacy High School</t>
  </si>
  <si>
    <t>Leland P Brown Elementary</t>
  </si>
  <si>
    <t>Leona Libby Middle School</t>
  </si>
  <si>
    <t>Leonard M Jennings Elementary</t>
  </si>
  <si>
    <t>Leota Middle School</t>
  </si>
  <si>
    <t>Leschi Elementary School</t>
  </si>
  <si>
    <t>Lewis &amp; Clark Elementary School</t>
  </si>
  <si>
    <t>Lewis &amp; Clark High School</t>
  </si>
  <si>
    <t>Lewis &amp; Clark Middle School</t>
  </si>
  <si>
    <t>Lewis And Clark Elementary Sch</t>
  </si>
  <si>
    <t>Lewis and Clark High School</t>
  </si>
  <si>
    <t>Lewis County Alternative School</t>
  </si>
  <si>
    <t>Lewis County Juvenile Detention</t>
  </si>
  <si>
    <t>Woodland School District</t>
  </si>
  <si>
    <t>Lewis River Academy</t>
  </si>
  <si>
    <t>Libby Center</t>
  </si>
  <si>
    <t>Liberty Bell Jr Sr High</t>
  </si>
  <si>
    <t>Liberty Creek Elementary School</t>
  </si>
  <si>
    <t>Liberty Elementary</t>
  </si>
  <si>
    <t>Liberty School District</t>
  </si>
  <si>
    <t>Liberty High School</t>
  </si>
  <si>
    <t>Liberty Jr High &amp; Elementary</t>
  </si>
  <si>
    <t>Liberty Lake Elementary</t>
  </si>
  <si>
    <t>Liberty Middle School</t>
  </si>
  <si>
    <t>Liberty Ridge Elementary</t>
  </si>
  <si>
    <t>Liberty Sr High School</t>
  </si>
  <si>
    <t>Licton Springs K-8</t>
  </si>
  <si>
    <t>Lidgerwood Elementary</t>
  </si>
  <si>
    <t>Lincoln</t>
  </si>
  <si>
    <t>Lincoln Academy</t>
  </si>
  <si>
    <t>Lincoln Elementary</t>
  </si>
  <si>
    <t>Lincoln Elementary School</t>
  </si>
  <si>
    <t>Lincoln Heights Elementary</t>
  </si>
  <si>
    <t>Lincoln High School</t>
  </si>
  <si>
    <t>Lincoln Hill High School</t>
  </si>
  <si>
    <t>Lincoln Middle School</t>
  </si>
  <si>
    <t>Lind School District</t>
  </si>
  <si>
    <t>Lind Elementary School</t>
  </si>
  <si>
    <t>Lindbergh Senior High School</t>
  </si>
  <si>
    <t>Lind-Ritzville Middle School</t>
  </si>
  <si>
    <t>Linwood Elementary</t>
  </si>
  <si>
    <t>Lister</t>
  </si>
  <si>
    <t>Little Cedars Elementary School</t>
  </si>
  <si>
    <t>Little Mountain Elementary</t>
  </si>
  <si>
    <t>Littlerock Elementary School</t>
  </si>
  <si>
    <t>Lochburn Middle School</t>
  </si>
  <si>
    <t>Lockwood Elementary</t>
  </si>
  <si>
    <t>Logan Elementary</t>
  </si>
  <si>
    <t>Long Beach Elementary School</t>
  </si>
  <si>
    <t>Longfellow Elementary</t>
  </si>
  <si>
    <t>Longview Elementary</t>
  </si>
  <si>
    <t>Loon Lake School District</t>
  </si>
  <si>
    <t>Loon Lake Elementary School</t>
  </si>
  <si>
    <t>Loon Lake Homelink Program</t>
  </si>
  <si>
    <t>Loowit High School</t>
  </si>
  <si>
    <t>Lopez Elementary School</t>
  </si>
  <si>
    <t>Lopez Middle High School</t>
  </si>
  <si>
    <t>Louisa Boren STEM K-8</t>
  </si>
  <si>
    <t>Lowell</t>
  </si>
  <si>
    <t>Lowell Elementary - Everett</t>
  </si>
  <si>
    <t>Lowell Elementary School</t>
  </si>
  <si>
    <t xml:space="preserve">Lowell Elementary School </t>
  </si>
  <si>
    <t>Loyal Heights Elementary School</t>
  </si>
  <si>
    <t>Lucille Umbarger Elementary</t>
  </si>
  <si>
    <t>Lutacaga Elementary</t>
  </si>
  <si>
    <t>Lydia Hawk Elementary</t>
  </si>
  <si>
    <t>Lyman Elementary School</t>
  </si>
  <si>
    <t>Lynden Academy</t>
  </si>
  <si>
    <t>Lynden High School</t>
  </si>
  <si>
    <t>Lynden Middle School</t>
  </si>
  <si>
    <t>Mary Walker School District</t>
  </si>
  <si>
    <t>Lynndale Elementary</t>
  </si>
  <si>
    <t>Lynnwood Elementary</t>
  </si>
  <si>
    <t>Lynnwood High School</t>
  </si>
  <si>
    <t>Lyon</t>
  </si>
  <si>
    <t>Mabton Jr. Sr. High</t>
  </si>
  <si>
    <t>Machias Elementary</t>
  </si>
  <si>
    <t>Madison Elementary</t>
  </si>
  <si>
    <t>Madison Elementary School</t>
  </si>
  <si>
    <t>Madison Middle School</t>
  </si>
  <si>
    <t>Madrona Elementary</t>
  </si>
  <si>
    <t>Madrona K-5 School</t>
  </si>
  <si>
    <t>Maltby Elementary</t>
  </si>
  <si>
    <t>Manchester Elementary School</t>
  </si>
  <si>
    <t>Manitou Park</t>
  </si>
  <si>
    <t>Mann</t>
  </si>
  <si>
    <t>Manson School District</t>
  </si>
  <si>
    <t>Manson Elementary</t>
  </si>
  <si>
    <t>Manson High School</t>
  </si>
  <si>
    <t>Manson Middle School</t>
  </si>
  <si>
    <t>Maple Elementary School</t>
  </si>
  <si>
    <t>Maple Hills Elementary</t>
  </si>
  <si>
    <t>Maple Lawn Elementary</t>
  </si>
  <si>
    <t>Maple View Middle School</t>
  </si>
  <si>
    <t>Maplewood Elementary</t>
  </si>
  <si>
    <t>Maplewood Heights Elementary School</t>
  </si>
  <si>
    <t>Marcus Whitman Elementary</t>
  </si>
  <si>
    <t>Marcus Whitman Middle School</t>
  </si>
  <si>
    <t>Marcus Whitman-Cowiche Elementary</t>
  </si>
  <si>
    <t>Marie Curie STEM Elementary</t>
  </si>
  <si>
    <t>Mariner High School</t>
  </si>
  <si>
    <t>Mark Morris High School</t>
  </si>
  <si>
    <t>Mark Twain Elementary</t>
  </si>
  <si>
    <t>Mark Twain Elementary School</t>
  </si>
  <si>
    <t>Marrion Elementary School</t>
  </si>
  <si>
    <t>Marshall Elementary</t>
  </si>
  <si>
    <t>Martha Lake Elementary</t>
  </si>
  <si>
    <t>Martin Luther King Elementary</t>
  </si>
  <si>
    <t>Martin Luther King Jr Elementary</t>
  </si>
  <si>
    <t>Martin Luther King Jr. Elementary School</t>
  </si>
  <si>
    <t>Martin Sortun Elementary School</t>
  </si>
  <si>
    <t>Marvista Elementary</t>
  </si>
  <si>
    <t>Mary Purcell Elementary School</t>
  </si>
  <si>
    <t>Mary Walker High School</t>
  </si>
  <si>
    <t>Marysville Getchell High School</t>
  </si>
  <si>
    <t>Marysville Middle School</t>
  </si>
  <si>
    <t>Marysville Pilchuck High School</t>
  </si>
  <si>
    <t>Mason</t>
  </si>
  <si>
    <t>Wahluke School District</t>
  </si>
  <si>
    <t>Mattawa Elementary</t>
  </si>
  <si>
    <t>Mattson Middle School</t>
  </si>
  <si>
    <t>Maya Angelou Elementary</t>
  </si>
  <si>
    <t>Maywood Hills Elementary</t>
  </si>
  <si>
    <t>Maywood Middle School</t>
  </si>
  <si>
    <t>McCarver</t>
  </si>
  <si>
    <t>Mcclure Elementary School</t>
  </si>
  <si>
    <t>Mcclure Elementary School Yakima</t>
  </si>
  <si>
    <t>McClure Middle School</t>
  </si>
  <si>
    <t>McDermoth Elementary</t>
  </si>
  <si>
    <t>McDonald Elementary School</t>
  </si>
  <si>
    <t>McDonald International School</t>
  </si>
  <si>
    <t>McFarland Middle School</t>
  </si>
  <si>
    <t>McGilvra Elementary School</t>
  </si>
  <si>
    <t>McKenna Elementary</t>
  </si>
  <si>
    <t>McKenny Elementary</t>
  </si>
  <si>
    <t>Mckinley Elementary School</t>
  </si>
  <si>
    <t>McKnight Middle School</t>
  </si>
  <si>
    <t>McLane Elementary School</t>
  </si>
  <si>
    <t>Mcloughlin Middle School</t>
  </si>
  <si>
    <t>McMicken Heights Elementary</t>
  </si>
  <si>
    <t>McMurray Middle School</t>
  </si>
  <si>
    <t>Mead Education Partnership Prog</t>
  </si>
  <si>
    <t>Mead Senior High School</t>
  </si>
  <si>
    <t>Meadow Ridge Elementary</t>
  </si>
  <si>
    <t>Meadow Ridge Elementary School</t>
  </si>
  <si>
    <t>Meadowdale Elementary</t>
  </si>
  <si>
    <t>Meadowdale High School</t>
  </si>
  <si>
    <t>Meadowdale Middle School</t>
  </si>
  <si>
    <t>Meadows Elementary</t>
  </si>
  <si>
    <t>Meany Middle School</t>
  </si>
  <si>
    <t>Medical Lake High School</t>
  </si>
  <si>
    <t>Medical Lake Middle School</t>
  </si>
  <si>
    <t>Medina Elementary School</t>
  </si>
  <si>
    <t>Meeker</t>
  </si>
  <si>
    <t>Meeker Elementary</t>
  </si>
  <si>
    <t>Meeker Middle School</t>
  </si>
  <si>
    <t>Melvin G Syre Elementary</t>
  </si>
  <si>
    <t>Mercer International Middle School</t>
  </si>
  <si>
    <t>Mercer Island High School</t>
  </si>
  <si>
    <t>Meredith Hill Elementary School</t>
  </si>
  <si>
    <t>Meridian Elementary School</t>
  </si>
  <si>
    <t>Meridian High School</t>
  </si>
  <si>
    <t>Meridian Middle School</t>
  </si>
  <si>
    <t>Meridian Parent Partnership Program</t>
  </si>
  <si>
    <t>Meridian Park Elementary School</t>
  </si>
  <si>
    <t>Meriwether Elementary School</t>
  </si>
  <si>
    <t>Mesa Elem</t>
  </si>
  <si>
    <t>Methow Valley Elementary</t>
  </si>
  <si>
    <t>Mica Peak High School</t>
  </si>
  <si>
    <t>Michael Anderson Elementary</t>
  </si>
  <si>
    <t>Michael T Simmons Elementary</t>
  </si>
  <si>
    <t>Mid-Columbia Parent Partnership</t>
  </si>
  <si>
    <t>Middle College High School</t>
  </si>
  <si>
    <t>Midland Elementary</t>
  </si>
  <si>
    <t>Midway Elementary</t>
  </si>
  <si>
    <t>Mill A School District</t>
  </si>
  <si>
    <t>Mill Creek Elementary</t>
  </si>
  <si>
    <t>Mill Creek Middle School</t>
  </si>
  <si>
    <t>Mill Plain Elementary School</t>
  </si>
  <si>
    <t>Mill Pond Elementary School</t>
  </si>
  <si>
    <t>Millennium Elementary School</t>
  </si>
  <si>
    <t>Miller Junior High</t>
  </si>
  <si>
    <t>Millwood Kindergarten Center</t>
  </si>
  <si>
    <t>Minnehaha Elementary School</t>
  </si>
  <si>
    <t>Mint Valley Elementary</t>
  </si>
  <si>
    <t>Minter Creek Elementary</t>
  </si>
  <si>
    <t>Mirror Lake Elementary School</t>
  </si>
  <si>
    <t>Mission View Elementary School</t>
  </si>
  <si>
    <t>Monroe Elementary</t>
  </si>
  <si>
    <t>Monroe High School</t>
  </si>
  <si>
    <t>Monte Cristo Elementary</t>
  </si>
  <si>
    <t>Montesano Jr-Sr High</t>
  </si>
  <si>
    <t>Monticello Middle School</t>
  </si>
  <si>
    <t>Montlake Elementary School</t>
  </si>
  <si>
    <t>Monument Elementary</t>
  </si>
  <si>
    <t>Moorlands Elementary</t>
  </si>
  <si>
    <t>Moran Prairie Elementary</t>
  </si>
  <si>
    <t>Morgan Middle School</t>
  </si>
  <si>
    <t>Morgen Owings Elementary School</t>
  </si>
  <si>
    <t>Morris Ford Middle School</t>
  </si>
  <si>
    <t>Morris Schott Elementary</t>
  </si>
  <si>
    <t>Morton School District</t>
  </si>
  <si>
    <t>Morton Elementary School</t>
  </si>
  <si>
    <t>Morton Junior-Senior High</t>
  </si>
  <si>
    <t>Mosaic Home Education Partnership</t>
  </si>
  <si>
    <t>Moses Lake High School</t>
  </si>
  <si>
    <t>Mossyrock School District</t>
  </si>
  <si>
    <t>Mossyrock Academy</t>
  </si>
  <si>
    <t>Mossyrock Elementary School</t>
  </si>
  <si>
    <t>Mossyrock Jr./Sr. High School</t>
  </si>
  <si>
    <t>Mount Adams Middle School</t>
  </si>
  <si>
    <t>Mount Baker Academy</t>
  </si>
  <si>
    <t>Mount Baker Junior High</t>
  </si>
  <si>
    <t>Mount Baker Middle School</t>
  </si>
  <si>
    <t>Mount Baker Senior High</t>
  </si>
  <si>
    <t>Mount Erie Elementary</t>
  </si>
  <si>
    <t>Mount Rainier High School</t>
  </si>
  <si>
    <t>Mount Si High School</t>
  </si>
  <si>
    <t>Mount Vernon High School</t>
  </si>
  <si>
    <t>Mount View Elementary</t>
  </si>
  <si>
    <t>Mountain Meadow Elementary</t>
  </si>
  <si>
    <t>Mountain View Elementary</t>
  </si>
  <si>
    <t>Mountain View High School</t>
  </si>
  <si>
    <t>Mountain View Middle School</t>
  </si>
  <si>
    <t>Mountain Way Elementary</t>
  </si>
  <si>
    <t>Mountainside Middle School</t>
  </si>
  <si>
    <t>Mountainview Elementary</t>
  </si>
  <si>
    <t>Mountlake Terrace Elementary</t>
  </si>
  <si>
    <t>Mountlake Terrace High School</t>
  </si>
  <si>
    <t>Moxee Elementary</t>
  </si>
  <si>
    <t>Mt Baker Middle School</t>
  </si>
  <si>
    <t>Mt Spokane High School</t>
  </si>
  <si>
    <t>Mt Tahoma</t>
  </si>
  <si>
    <t>Mt View Elementary</t>
  </si>
  <si>
    <t>Mt. Pilchuck Elementary School</t>
  </si>
  <si>
    <t>Mt. Solo Middle School</t>
  </si>
  <si>
    <t>Mt. Stuart Elementary</t>
  </si>
  <si>
    <t>Mukilteo Elementary</t>
  </si>
  <si>
    <t>Mullan Road Elementary</t>
  </si>
  <si>
    <t>Mullenix Ridge Elementary School</t>
  </si>
  <si>
    <t>N Omak Elementary</t>
  </si>
  <si>
    <t>Naches Trail Elementary</t>
  </si>
  <si>
    <t>Naches Valley School District</t>
  </si>
  <si>
    <t>Naches Valley Elementary School</t>
  </si>
  <si>
    <t>Naches Valley High School</t>
  </si>
  <si>
    <t>Naches Valley Middle School</t>
  </si>
  <si>
    <t>Napavine School District</t>
  </si>
  <si>
    <t>Napavine Elementary</t>
  </si>
  <si>
    <t>Napavine Jr Sr High School</t>
  </si>
  <si>
    <t>Narrows View Intermediate</t>
  </si>
  <si>
    <t>Naselle-Grays River Valley School District</t>
  </si>
  <si>
    <t>Naselle Elementary</t>
  </si>
  <si>
    <t>Naselle Jr Sr High Schools</t>
  </si>
  <si>
    <t>Naselle Youth Camp School</t>
  </si>
  <si>
    <t>Nathan Hale High School</t>
  </si>
  <si>
    <t>Nautilus K-8 School</t>
  </si>
  <si>
    <t>Naval Avenue Elementary School</t>
  </si>
  <si>
    <t>Neah Bay Elementary School</t>
  </si>
  <si>
    <t>Neah Bay Junior/ Senior High School</t>
  </si>
  <si>
    <t>Neely O Brien Elementary School</t>
  </si>
  <si>
    <t>Nelsen Middle School</t>
  </si>
  <si>
    <t>Nelson Elementary School</t>
  </si>
  <si>
    <t>Ness Elementary</t>
  </si>
  <si>
    <t>New Horizons High School</t>
  </si>
  <si>
    <t>New Start</t>
  </si>
  <si>
    <t>Newcastle Elementary School</t>
  </si>
  <si>
    <t>Newport School District</t>
  </si>
  <si>
    <t>Newport High School</t>
  </si>
  <si>
    <t>Newport Senior High School</t>
  </si>
  <si>
    <t>Nine Mile Falls Elementary</t>
  </si>
  <si>
    <t>Nisqually Middle School</t>
  </si>
  <si>
    <t>Nob Hill Elementary School</t>
  </si>
  <si>
    <t>Nooksack Elementary</t>
  </si>
  <si>
    <t>Nooksack Valley High School</t>
  </si>
  <si>
    <t>Nooksack Valley Middle School</t>
  </si>
  <si>
    <t>North Beach Elementary School</t>
  </si>
  <si>
    <t>North Beach Junior High School</t>
  </si>
  <si>
    <t>North Beach Senior High School</t>
  </si>
  <si>
    <t>North Bend Elementary School</t>
  </si>
  <si>
    <t>North Central High School</t>
  </si>
  <si>
    <t>North Creek High School</t>
  </si>
  <si>
    <t>North Elementary</t>
  </si>
  <si>
    <t>North Hill Elementary</t>
  </si>
  <si>
    <t>North Kitsap High School</t>
  </si>
  <si>
    <t>North Lake Middle School</t>
  </si>
  <si>
    <t>North Mason Senior High School</t>
  </si>
  <si>
    <t>North Middle School</t>
  </si>
  <si>
    <t>North Pines Middle School</t>
  </si>
  <si>
    <t>North Star Elementary</t>
  </si>
  <si>
    <t>North Tapps Middle School</t>
  </si>
  <si>
    <t>North Thurston High School</t>
  </si>
  <si>
    <t>North Whidbey Middle School</t>
  </si>
  <si>
    <t>Northeast Tacoma</t>
  </si>
  <si>
    <t>Northern Heights Elementary Schl</t>
  </si>
  <si>
    <t>Northgate Elementary School</t>
  </si>
  <si>
    <t>Northlake Elementary School</t>
  </si>
  <si>
    <t>Northport School District</t>
  </si>
  <si>
    <t>Northport Elementary School</t>
  </si>
  <si>
    <t>Northport High School</t>
  </si>
  <si>
    <t>Northshore Middle School</t>
  </si>
  <si>
    <t>Northshore Networks</t>
  </si>
  <si>
    <t>Northstar Middle School</t>
  </si>
  <si>
    <t>Northwest Career &amp; Technical Academy</t>
  </si>
  <si>
    <t>Northwood Elementary</t>
  </si>
  <si>
    <t>Northwood Elementary School</t>
  </si>
  <si>
    <t>Northwood Middle School</t>
  </si>
  <si>
    <t>Nova High School</t>
  </si>
  <si>
    <t>Oak Grove</t>
  </si>
  <si>
    <t>Oak Harbor Elementary</t>
  </si>
  <si>
    <t>Oak Harbor High School</t>
  </si>
  <si>
    <t>Oak Harbor Intermediate School</t>
  </si>
  <si>
    <t>Oak Heights Elementary</t>
  </si>
  <si>
    <t>Oakbrook Elementary School</t>
  </si>
  <si>
    <t>Oakesdale School District</t>
  </si>
  <si>
    <t>Oakland Bay Junior High School</t>
  </si>
  <si>
    <t>Oakland High School</t>
  </si>
  <si>
    <t>Oakview Elementary School</t>
  </si>
  <si>
    <t>Orcas Island School District</t>
  </si>
  <si>
    <t>OASIS K-12</t>
  </si>
  <si>
    <t>OCEAN</t>
  </si>
  <si>
    <t>Ocean Park Elementary</t>
  </si>
  <si>
    <t>Ocean Shores Elementary</t>
  </si>
  <si>
    <t>Ocosta School District</t>
  </si>
  <si>
    <t>Ocosta Elementary School</t>
  </si>
  <si>
    <t>Ocosta Junior - Senior High</t>
  </si>
  <si>
    <t>Odessa School District</t>
  </si>
  <si>
    <t>Odle Middle School</t>
  </si>
  <si>
    <t>Odyssey Elementary</t>
  </si>
  <si>
    <t>Odyssey Multiage Program</t>
  </si>
  <si>
    <t>Okanogan Co Juvenile Detention</t>
  </si>
  <si>
    <t>Okanogan High School</t>
  </si>
  <si>
    <t>Okanogan Middle School</t>
  </si>
  <si>
    <t>Okanogan Outreach Alternative School</t>
  </si>
  <si>
    <t>Olalla Elementary School</t>
  </si>
  <si>
    <t>Olivia Park Elementary</t>
  </si>
  <si>
    <t>Olympia High School</t>
  </si>
  <si>
    <t>Olympia Regional Learning Academy</t>
  </si>
  <si>
    <t>Olympic Elementary School</t>
  </si>
  <si>
    <t>Olympic High School</t>
  </si>
  <si>
    <t>Olympic Hills Elementary School</t>
  </si>
  <si>
    <t>Olympic Middle School</t>
  </si>
  <si>
    <t>Olympic View Elem</t>
  </si>
  <si>
    <t>Olympic View Elementary</t>
  </si>
  <si>
    <t>Olympic View Elementary School</t>
  </si>
  <si>
    <t>Olympic View Middle School</t>
  </si>
  <si>
    <t>Omak High School</t>
  </si>
  <si>
    <t>Omak Middle School</t>
  </si>
  <si>
    <t>On Track Academy</t>
  </si>
  <si>
    <t>Onalaska School District</t>
  </si>
  <si>
    <t>Onalaska Elementary School</t>
  </si>
  <si>
    <t>Onalaska High School</t>
  </si>
  <si>
    <t xml:space="preserve">Onalaska Middle School </t>
  </si>
  <si>
    <t>Opportunity Elementary</t>
  </si>
  <si>
    <t>Options High School</t>
  </si>
  <si>
    <t>Orca K-8 School</t>
  </si>
  <si>
    <t>Orcas Island Elementary School</t>
  </si>
  <si>
    <t>Orcas Island High School</t>
  </si>
  <si>
    <t>Orcas Island Middle School</t>
  </si>
  <si>
    <t>Orchard Center Elementary</t>
  </si>
  <si>
    <t>Orchard Elementary</t>
  </si>
  <si>
    <t>Orchard Heights Elementary</t>
  </si>
  <si>
    <t>Orchard Middle School</t>
  </si>
  <si>
    <t>Orchards Elementary School</t>
  </si>
  <si>
    <t>Ordway Elementary</t>
  </si>
  <si>
    <t>Oroville School District</t>
  </si>
  <si>
    <t>Oroville Elementary</t>
  </si>
  <si>
    <t>Oroville Middle-High School</t>
  </si>
  <si>
    <t>Orting School District</t>
  </si>
  <si>
    <t>Orting High School</t>
  </si>
  <si>
    <t>Orting Middle School</t>
  </si>
  <si>
    <t>Orting Primary School</t>
  </si>
  <si>
    <t>Othello High School</t>
  </si>
  <si>
    <t>Otis Orchards School</t>
  </si>
  <si>
    <t>Outlook Elementary School</t>
  </si>
  <si>
    <t>Pace Alternative High School</t>
  </si>
  <si>
    <t>Pacific Beach Elementary School</t>
  </si>
  <si>
    <t>Pacific Cascade Middle School</t>
  </si>
  <si>
    <t>Pacific Middle School</t>
  </si>
  <si>
    <t>Valley School District</t>
  </si>
  <si>
    <t>Paideia High School</t>
  </si>
  <si>
    <t>Palouse School District</t>
  </si>
  <si>
    <t>Palouse Elementary</t>
  </si>
  <si>
    <t>Palouse High School</t>
  </si>
  <si>
    <t>Palouse Junction High School</t>
  </si>
  <si>
    <t>Panorama School</t>
  </si>
  <si>
    <t>Panther Lake Elementary School</t>
  </si>
  <si>
    <t>PARADE</t>
  </si>
  <si>
    <t>Parent Partnerhip</t>
  </si>
  <si>
    <t>Park Lodge Elementary School</t>
  </si>
  <si>
    <t>Park Middle School</t>
  </si>
  <si>
    <t>Park Orchard Elementary School</t>
  </si>
  <si>
    <t xml:space="preserve">Park Orchard Elementary School </t>
  </si>
  <si>
    <t>Park Place Middle School</t>
  </si>
  <si>
    <t>Tenino School District</t>
  </si>
  <si>
    <t>Parkside Elementary</t>
  </si>
  <si>
    <t>Parkview Elementary School</t>
  </si>
  <si>
    <t>Parkway Elementary</t>
  </si>
  <si>
    <t>Parkway School</t>
  </si>
  <si>
    <t>Parkwood Elementary</t>
  </si>
  <si>
    <t>Pasadena Park Elementary</t>
  </si>
  <si>
    <t>Pasco Senior High School</t>
  </si>
  <si>
    <t>Pateros School District</t>
  </si>
  <si>
    <t>Pathfinder K-8 School</t>
  </si>
  <si>
    <t>Pearl Street Center</t>
  </si>
  <si>
    <t>Pend Oreille River School</t>
  </si>
  <si>
    <t>Peninsula Elementary</t>
  </si>
  <si>
    <t>Peninsula High School</t>
  </si>
  <si>
    <t>Penny Creek Elementary</t>
  </si>
  <si>
    <t>Perry G Keithley Middle School</t>
  </si>
  <si>
    <t>Peshastin Dryden Elementary</t>
  </si>
  <si>
    <t>Peter G Schmidt Elementary</t>
  </si>
  <si>
    <t>Peter S Ogden Elementary</t>
  </si>
  <si>
    <t>Phantom Lake Elementary</t>
  </si>
  <si>
    <t>Phil Snowdon Elementary</t>
  </si>
  <si>
    <t>Phoenix High School</t>
  </si>
  <si>
    <t>Picnic Point Elementary</t>
  </si>
  <si>
    <t>Pierce County Skills Center</t>
  </si>
  <si>
    <t>Pine Lake Middle School</t>
  </si>
  <si>
    <t>Pine Tree Elementary School</t>
  </si>
  <si>
    <t>Pinecrest Elementary</t>
  </si>
  <si>
    <t>Pinewood Elementary</t>
  </si>
  <si>
    <t>Pioneer Elementary</t>
  </si>
  <si>
    <t>Pioneer Elementary School</t>
  </si>
  <si>
    <t>Pioneer School District</t>
  </si>
  <si>
    <t>Pioneer Middle</t>
  </si>
  <si>
    <t>Pioneer Middle School</t>
  </si>
  <si>
    <t>Pioneer Valley Elementary</t>
  </si>
  <si>
    <t>Pleasant Glade Elementary</t>
  </si>
  <si>
    <t>Pleasant Valley Middle</t>
  </si>
  <si>
    <t>Pleasant Valley Primary</t>
  </si>
  <si>
    <t>Point Defiance</t>
  </si>
  <si>
    <t>Point Roberts Primary</t>
  </si>
  <si>
    <t>Pomeroy School District</t>
  </si>
  <si>
    <t>Pomeroy Elementary School</t>
  </si>
  <si>
    <t>Pomeroy Jr Sr High School</t>
  </si>
  <si>
    <t>Ponderosa Elementary</t>
  </si>
  <si>
    <t>Pope Elementary</t>
  </si>
  <si>
    <t>Port Angeles High School</t>
  </si>
  <si>
    <t>Port Susan Middle School</t>
  </si>
  <si>
    <t>Port Townsend High School</t>
  </si>
  <si>
    <t>Post Middle School</t>
  </si>
  <si>
    <t>Poulsbo Elementary School</t>
  </si>
  <si>
    <t>Poulsbo Middle School</t>
  </si>
  <si>
    <t>Prairie High School</t>
  </si>
  <si>
    <t>Prairie View Elementary</t>
  </si>
  <si>
    <t>Prescott School District</t>
  </si>
  <si>
    <t>Prescott Elementary School</t>
  </si>
  <si>
    <t>Prescott Jr Sr High</t>
  </si>
  <si>
    <t>Presidents Elementary</t>
  </si>
  <si>
    <t>Waitsburg School District</t>
  </si>
  <si>
    <t>Preston Hall Middle School</t>
  </si>
  <si>
    <t>Progress Elementary School</t>
  </si>
  <si>
    <t>Prospect Point Elementary</t>
  </si>
  <si>
    <t>Prosser Heights Elementary</t>
  </si>
  <si>
    <t>Prosser High School</t>
  </si>
  <si>
    <t>Ptarmigan Ridge Elementary School</t>
  </si>
  <si>
    <t>Puesta del Sol Elementary School</t>
  </si>
  <si>
    <t>Puget Sound Skills Center</t>
  </si>
  <si>
    <t>Pullman High School</t>
  </si>
  <si>
    <t>Purdy Elementary School</t>
  </si>
  <si>
    <t>Puyallup High School</t>
  </si>
  <si>
    <t>Puyallup Parent Partnership Program</t>
  </si>
  <si>
    <t>Queen Anne Elementary</t>
  </si>
  <si>
    <t>Quil Ceda Tulalip Elementary</t>
  </si>
  <si>
    <t>Quilcene High And Elementary</t>
  </si>
  <si>
    <t>Quincy High School</t>
  </si>
  <si>
    <t>R A Long High School</t>
  </si>
  <si>
    <t>Rainier Beach High School</t>
  </si>
  <si>
    <t>Rainier School District</t>
  </si>
  <si>
    <t>Rainier Elementary School</t>
  </si>
  <si>
    <t>Rainier Middle School</t>
  </si>
  <si>
    <t>Rainier Senior High School</t>
  </si>
  <si>
    <t>Rainier View Elementary School</t>
  </si>
  <si>
    <t>Raisbeck Aviation High School</t>
  </si>
  <si>
    <t>Raymond School District</t>
  </si>
  <si>
    <t>Raymond Elementary School</t>
  </si>
  <si>
    <t>Raymond Jr Sr High School</t>
  </si>
  <si>
    <t>Reardan-Edwall School District</t>
  </si>
  <si>
    <t>Reardan Elementary School</t>
  </si>
  <si>
    <t>Reardan Middle-Senior High School</t>
  </si>
  <si>
    <t>Royal School District</t>
  </si>
  <si>
    <t>Red Rock Elementary</t>
  </si>
  <si>
    <t>Redmond Elementary</t>
  </si>
  <si>
    <t>Redmond High</t>
  </si>
  <si>
    <t>Redmond Middle School</t>
  </si>
  <si>
    <t>Reed</t>
  </si>
  <si>
    <t>Reeves Middle School</t>
  </si>
  <si>
    <t>Regal Elementary</t>
  </si>
  <si>
    <t>Remann Hall Juvenile Detention Center</t>
  </si>
  <si>
    <t>Renaissance Alternative High School</t>
  </si>
  <si>
    <t>Renton Academy</t>
  </si>
  <si>
    <t>Renton Park Elementary School</t>
  </si>
  <si>
    <t>Renton Senior High School</t>
  </si>
  <si>
    <t>Republic School District</t>
  </si>
  <si>
    <t>Residential Consortium</t>
  </si>
  <si>
    <t>Richard Gordon Elementary</t>
  </si>
  <si>
    <t>Richland High School</t>
  </si>
  <si>
    <t>Ridge View Elementary School</t>
  </si>
  <si>
    <t>Ridgecrest Elementary</t>
  </si>
  <si>
    <t>Ridgefield School District</t>
  </si>
  <si>
    <t>Ridgefield High School</t>
  </si>
  <si>
    <t>Ridgeline Middle School</t>
  </si>
  <si>
    <t>Ridgetop Middle School</t>
  </si>
  <si>
    <t>Ridgeview Elementary</t>
  </si>
  <si>
    <t>Ridgewood Elementary School</t>
  </si>
  <si>
    <t>Ritzville School District</t>
  </si>
  <si>
    <t>Ritzville Grade School</t>
  </si>
  <si>
    <t>Ritzville High School</t>
  </si>
  <si>
    <t>River Ridge High School</t>
  </si>
  <si>
    <t>River View High School</t>
  </si>
  <si>
    <t>Rivers Edge High School</t>
  </si>
  <si>
    <t>Riverside Elementary</t>
  </si>
  <si>
    <t>Riverside High School</t>
  </si>
  <si>
    <t>Riverside Middle School</t>
  </si>
  <si>
    <t>Riverview Elementary</t>
  </si>
  <si>
    <t>Riverview Elementary School</t>
  </si>
  <si>
    <t>Robert Eagle Staff Middle School</t>
  </si>
  <si>
    <t>Robert Frost Elementary</t>
  </si>
  <si>
    <t>Robert Gray Elementary</t>
  </si>
  <si>
    <t>Robert L Olds Junior High School</t>
  </si>
  <si>
    <t>Robertson Elementary</t>
  </si>
  <si>
    <t>Rochester High School</t>
  </si>
  <si>
    <t>Rochester Middle School</t>
  </si>
  <si>
    <t>Rochester Primary School</t>
  </si>
  <si>
    <t>Rock Creek Elementary</t>
  </si>
  <si>
    <t>Rock Island Elementary</t>
  </si>
  <si>
    <t>Rocky Ridge Elementary</t>
  </si>
  <si>
    <t>Rogers High School</t>
  </si>
  <si>
    <t>Roosevelt</t>
  </si>
  <si>
    <t>Roosevelt Elementary</t>
  </si>
  <si>
    <t>Roosevelt Elementary School</t>
  </si>
  <si>
    <t>Roosevelt School District</t>
  </si>
  <si>
    <t>Roosevelt High School</t>
  </si>
  <si>
    <t>Rosa Parks Elementary</t>
  </si>
  <si>
    <t>Rosalia School District</t>
  </si>
  <si>
    <t>Rosalind Franklin STEM Elementary</t>
  </si>
  <si>
    <t>Rose Hill Elementary</t>
  </si>
  <si>
    <t>Rose Hill Middle School</t>
  </si>
  <si>
    <t>Rose Valley Elementary</t>
  </si>
  <si>
    <t>Rowena Chess Elementary</t>
  </si>
  <si>
    <t>Roxhill Elementary School</t>
  </si>
  <si>
    <t>Roy Elementary</t>
  </si>
  <si>
    <t>Royal High School</t>
  </si>
  <si>
    <t>Royal Intermediate School</t>
  </si>
  <si>
    <t>Royal Middle School</t>
  </si>
  <si>
    <t>Ruth Livingston Elementary</t>
  </si>
  <si>
    <t>Sacajawea Elementary</t>
  </si>
  <si>
    <t>Sacajawea Elementary School</t>
  </si>
  <si>
    <t>Sacajawea Middle School</t>
  </si>
  <si>
    <t>Saddle Mountain Elementary</t>
  </si>
  <si>
    <t>Sadie Halstead Middle School</t>
  </si>
  <si>
    <t>Sage Crest Elementary</t>
  </si>
  <si>
    <t>Sage Point Elementary School</t>
  </si>
  <si>
    <t>Saint Helens Elementary</t>
  </si>
  <si>
    <t>Sakai Intermediate</t>
  </si>
  <si>
    <t>Salem Woods Elementary School</t>
  </si>
  <si>
    <t>Salish Middle School</t>
  </si>
  <si>
    <t>Salk Middle School</t>
  </si>
  <si>
    <t>Salmon Bay K-8 School</t>
  </si>
  <si>
    <t>Salmon Creek Elementary</t>
  </si>
  <si>
    <t>Salnave Elementary</t>
  </si>
  <si>
    <t>Saltars Point Elementary</t>
  </si>
  <si>
    <t>Samish Elementary School</t>
  </si>
  <si>
    <t>Sammamish Senior High</t>
  </si>
  <si>
    <t>Sand Hill Elementary</t>
  </si>
  <si>
    <t>Sand Point Elementary</t>
  </si>
  <si>
    <t>Sanislo Elementary School</t>
  </si>
  <si>
    <t>Sarah J Anderson Elementary</t>
  </si>
  <si>
    <t>Saratoga School</t>
  </si>
  <si>
    <t>Satellite High School</t>
  </si>
  <si>
    <t>Satus Elementary</t>
  </si>
  <si>
    <t>Sawyer Woods Elementary School</t>
  </si>
  <si>
    <t>Scenic Hill Elementary School</t>
  </si>
  <si>
    <t>School Home Partnership Program</t>
  </si>
  <si>
    <t>Science and Math Institute</t>
  </si>
  <si>
    <t>Scootney Springs Elementary</t>
  </si>
  <si>
    <t>Scriber Lake High School</t>
  </si>
  <si>
    <t>SE AREA TECHNICAL SKILLS CENTER</t>
  </si>
  <si>
    <t>Seahurst Elementary School</t>
  </si>
  <si>
    <t>Seattle Hill Elementary</t>
  </si>
  <si>
    <t>Seattle Skills Center</t>
  </si>
  <si>
    <t>Seattle World School</t>
  </si>
  <si>
    <t>Seaview Elementary</t>
  </si>
  <si>
    <t>Secondary Academy for Success</t>
  </si>
  <si>
    <t>Sedro Woolley Senior High School</t>
  </si>
  <si>
    <t>Sehome High School</t>
  </si>
  <si>
    <t>Selah High School</t>
  </si>
  <si>
    <t>Selah HomeLink</t>
  </si>
  <si>
    <t>Selah Intermediate School</t>
  </si>
  <si>
    <t>Selah Middle School</t>
  </si>
  <si>
    <t>Selkirk School District</t>
  </si>
  <si>
    <t>Selkirk High School</t>
  </si>
  <si>
    <t>Selkirk Middle School</t>
  </si>
  <si>
    <t>Sentinel Tech Alt School</t>
  </si>
  <si>
    <t>Sequim Middle School</t>
  </si>
  <si>
    <t>Sequim Senior High</t>
  </si>
  <si>
    <t>Sequoia High School</t>
  </si>
  <si>
    <t>Sequoyah Middle School</t>
  </si>
  <si>
    <t>Serene Lake Elementary</t>
  </si>
  <si>
    <t>Seth Woodard Elementary</t>
  </si>
  <si>
    <t>Seven Oaks Elementary</t>
  </si>
  <si>
    <t>Shadle Park High School</t>
  </si>
  <si>
    <t>Shadow Lake Elementary</t>
  </si>
  <si>
    <t>Shahala Middle School</t>
  </si>
  <si>
    <t>Sharpstein Elementary School</t>
  </si>
  <si>
    <t>Shaw Middle School</t>
  </si>
  <si>
    <t>Shaw Road Elementary</t>
  </si>
  <si>
    <t>Shelton High School</t>
  </si>
  <si>
    <t>Shelton View Elementary</t>
  </si>
  <si>
    <t>Sheridan</t>
  </si>
  <si>
    <t>Sheridan Elementary</t>
  </si>
  <si>
    <t>Sherman</t>
  </si>
  <si>
    <t>Sherwood Elementary</t>
  </si>
  <si>
    <t>Sherwood Forest Elementary</t>
  </si>
  <si>
    <t>Sherwood Forest Elementary School</t>
  </si>
  <si>
    <t>Shiloh Hills Elementary</t>
  </si>
  <si>
    <t>Shining Mountain Elementary</t>
  </si>
  <si>
    <t>Shorecrest High School</t>
  </si>
  <si>
    <t>Shorewood Elementary</t>
  </si>
  <si>
    <t>Shorewood High School</t>
  </si>
  <si>
    <t>Shoultes Elementary</t>
  </si>
  <si>
    <t>Showalter Middle School</t>
  </si>
  <si>
    <t>Shuksan Middle School</t>
  </si>
  <si>
    <t>Sidney Glen Elementary School</t>
  </si>
  <si>
    <t>Sierra Heights Elementary School</t>
  </si>
  <si>
    <t>Sierra Vista Middle School</t>
  </si>
  <si>
    <t>Sifton Elementary School</t>
  </si>
  <si>
    <t>Silver Beach Elementary School</t>
  </si>
  <si>
    <t>Silver Firs Elementary</t>
  </si>
  <si>
    <t>Silver Lake Elementary - Everett</t>
  </si>
  <si>
    <t>Silver Lake Elementary School - Federal Way</t>
  </si>
  <si>
    <t>Silver Ridge Elementary</t>
  </si>
  <si>
    <t>Silver Star Elementary School</t>
  </si>
  <si>
    <t>Silverdale Elementary</t>
  </si>
  <si>
    <t>Simpson Avenue Elementary</t>
  </si>
  <si>
    <t>Skagit Family Learning Center MVSD</t>
  </si>
  <si>
    <t>Skamania School District</t>
  </si>
  <si>
    <t>Skamania Elementary</t>
  </si>
  <si>
    <t>Sky Valley Education Center</t>
  </si>
  <si>
    <t>Skykomish School District</t>
  </si>
  <si>
    <t>Skyline</t>
  </si>
  <si>
    <t>Skyline Elementary</t>
  </si>
  <si>
    <t>Skyline Elementary School</t>
  </si>
  <si>
    <t>Skyline High School</t>
  </si>
  <si>
    <t>Skyridge Middle School</t>
  </si>
  <si>
    <t>Skyview High School</t>
  </si>
  <si>
    <t>Skyview Middle School</t>
  </si>
  <si>
    <t>Smith Elementary School</t>
  </si>
  <si>
    <t>Soap Lake School District</t>
  </si>
  <si>
    <t>Snohomish High School</t>
  </si>
  <si>
    <t>Snoqualmie Elementary</t>
  </si>
  <si>
    <t>Snoqualmie Parent Partnership Program</t>
  </si>
  <si>
    <t>Soap Lake Elementary</t>
  </si>
  <si>
    <t>Soap Lake Middle &amp; High School</t>
  </si>
  <si>
    <t>Somerset Elementary School</t>
  </si>
  <si>
    <t>Soos Creek Elementary School</t>
  </si>
  <si>
    <t>South Bay Elementary</t>
  </si>
  <si>
    <t>South Bend High School</t>
  </si>
  <si>
    <t>South Colby Elementary</t>
  </si>
  <si>
    <t>South Kitsap High School</t>
  </si>
  <si>
    <t>South Pines Elementary</t>
  </si>
  <si>
    <t>South Ridge Elementary</t>
  </si>
  <si>
    <t>South Shore PK-8 School</t>
  </si>
  <si>
    <t>South Whidbey School District</t>
  </si>
  <si>
    <t>South Whidbey Academy</t>
  </si>
  <si>
    <t>South Whidbey Elementary</t>
  </si>
  <si>
    <t>South Whidbey High School</t>
  </si>
  <si>
    <t>South Whidbey Middle</t>
  </si>
  <si>
    <t>Southern Heights Elementary</t>
  </si>
  <si>
    <t>Southgate Elementary School</t>
  </si>
  <si>
    <t>Southridge High School</t>
  </si>
  <si>
    <t>Southwood Elementary School</t>
  </si>
  <si>
    <t>Southworth Elementary</t>
  </si>
  <si>
    <t>Spanaway Elementary</t>
  </si>
  <si>
    <t>Spanaway Lake High School</t>
  </si>
  <si>
    <t>Spanaway Middle School</t>
  </si>
  <si>
    <t>Spinning Elementary</t>
  </si>
  <si>
    <t>Spiritridge Elementary School</t>
  </si>
  <si>
    <t xml:space="preserve">Spokane Area Professional-Technical Skills Center </t>
  </si>
  <si>
    <t>Spokane Public Montessori</t>
  </si>
  <si>
    <t>Spokane Valley High School</t>
  </si>
  <si>
    <t>Spokane Valley Learning Academy</t>
  </si>
  <si>
    <t>Spokane Valley Tech</t>
  </si>
  <si>
    <t>Spokane Valley Transition School</t>
  </si>
  <si>
    <t>Sprague School District</t>
  </si>
  <si>
    <t>Sprague Elementary</t>
  </si>
  <si>
    <t>Sprague High School</t>
  </si>
  <si>
    <t>Springbrook Elementary School</t>
  </si>
  <si>
    <t>Springdale Elementary</t>
  </si>
  <si>
    <t>Springdale Middle School</t>
  </si>
  <si>
    <t>Spruce Elementary</t>
  </si>
  <si>
    <t>Squalicum High School</t>
  </si>
  <si>
    <t>St. John School District</t>
  </si>
  <si>
    <t>Stadium</t>
  </si>
  <si>
    <t>Stanley</t>
  </si>
  <si>
    <t>Stanton Academy</t>
  </si>
  <si>
    <t>Stanwood Elementary School</t>
  </si>
  <si>
    <t>Stanwood High School</t>
  </si>
  <si>
    <t>Stanwood Middle School</t>
  </si>
  <si>
    <t>Star Lake Elementary School</t>
  </si>
  <si>
    <t>State Street High School</t>
  </si>
  <si>
    <t>Steilacoom High</t>
  </si>
  <si>
    <t>Stella Schola</t>
  </si>
  <si>
    <t>Sterling Intermediate School</t>
  </si>
  <si>
    <t>Stevens Elementary</t>
  </si>
  <si>
    <t>Stevens Elementary School</t>
  </si>
  <si>
    <t>Stevens Middle School</t>
  </si>
  <si>
    <t>Stevenson Elementary</t>
  </si>
  <si>
    <t>Stevenson High School</t>
  </si>
  <si>
    <t>Stewart</t>
  </si>
  <si>
    <t>Stewart Elementary</t>
  </si>
  <si>
    <t>Stillwater Elementary</t>
  </si>
  <si>
    <t>Stratton Elementary</t>
  </si>
  <si>
    <t>Student Link</t>
  </si>
  <si>
    <t>Sultan Elementary School</t>
  </si>
  <si>
    <t>Sultan Middle School</t>
  </si>
  <si>
    <t>Sultan Senior High School</t>
  </si>
  <si>
    <t>Sumas Elementary</t>
  </si>
  <si>
    <t>Summit School</t>
  </si>
  <si>
    <t>Summit Trail Middle School</t>
  </si>
  <si>
    <t>Summit View High School</t>
  </si>
  <si>
    <t>Summitview Elementary</t>
  </si>
  <si>
    <t>Sumner High School</t>
  </si>
  <si>
    <t>Sumner Middle School</t>
  </si>
  <si>
    <t>Sunny Hills Elementary</t>
  </si>
  <si>
    <t>Sunnycrest Elementary School</t>
  </si>
  <si>
    <t>Sunnyland Elementary School</t>
  </si>
  <si>
    <t>Sunnyside Elementary</t>
  </si>
  <si>
    <t>Sunnyside High School</t>
  </si>
  <si>
    <t>Sunnyslope Elementary School</t>
  </si>
  <si>
    <t>Sunrise Elementary</t>
  </si>
  <si>
    <t>Sunrise Elementary School</t>
  </si>
  <si>
    <t>Sunset Elementary</t>
  </si>
  <si>
    <t>Sunset Elementary School</t>
  </si>
  <si>
    <t>Sunset Primary</t>
  </si>
  <si>
    <t>Sunset View Elementary School</t>
  </si>
  <si>
    <t>Suquamish Elementary School</t>
  </si>
  <si>
    <t>Surprise Lake Middle School</t>
  </si>
  <si>
    <t>Swiftwater Learning Center</t>
  </si>
  <si>
    <t>Sylvester Middle School</t>
  </si>
  <si>
    <t>Tacoma School of the Arts</t>
  </si>
  <si>
    <t>TAFA at Saghalie</t>
  </si>
  <si>
    <t>Taholah School District</t>
  </si>
  <si>
    <t>Tahoma Elementary</t>
  </si>
  <si>
    <t>Tahoma Senior High School</t>
  </si>
  <si>
    <t>Talbot Hill Elementary School</t>
  </si>
  <si>
    <t>Talley High School</t>
  </si>
  <si>
    <t>Tapteal Elementary School</t>
  </si>
  <si>
    <t>TEAM High School</t>
  </si>
  <si>
    <t>Tekoa School District</t>
  </si>
  <si>
    <t>Tekoa Elementary School</t>
  </si>
  <si>
    <t>Tekoa High School</t>
  </si>
  <si>
    <t>Tenino Elementary School</t>
  </si>
  <si>
    <t>Tenino High School</t>
  </si>
  <si>
    <t>Tenino Middle School</t>
  </si>
  <si>
    <t>Terminal Park Elementary School</t>
  </si>
  <si>
    <t>Terrace Heights Elementary</t>
  </si>
  <si>
    <t>Terrace Park Elementary</t>
  </si>
  <si>
    <t>The Center School</t>
  </si>
  <si>
    <t>The Community School</t>
  </si>
  <si>
    <t>The Outreach Program</t>
  </si>
  <si>
    <t>Thomas Jefferson High School</t>
  </si>
  <si>
    <t>Thompson Elementary School</t>
  </si>
  <si>
    <t>Thorndyke Elementary</t>
  </si>
  <si>
    <t>Thornton Creek Elementary School</t>
  </si>
  <si>
    <t>Three Rivers Home Link</t>
  </si>
  <si>
    <t>Three Springs High School</t>
  </si>
  <si>
    <t>Thunder Mountain Middle School</t>
  </si>
  <si>
    <t>Thurgood Marshall Elementary</t>
  </si>
  <si>
    <t>Thurgood Marshall Middle School</t>
  </si>
  <si>
    <t>Tieton Intermediate School</t>
  </si>
  <si>
    <t>Tiffany Park Elementary School</t>
  </si>
  <si>
    <t>Tillicum Elementary School</t>
  </si>
  <si>
    <t>Tillicum Middle School</t>
  </si>
  <si>
    <t>Timber Ridge Elementary School</t>
  </si>
  <si>
    <t>Timbercrest Middle School</t>
  </si>
  <si>
    <t>Timberline High School</t>
  </si>
  <si>
    <t>Todd Beamer High School</t>
  </si>
  <si>
    <t>Toledo Elementary School</t>
  </si>
  <si>
    <t>Toledo High School</t>
  </si>
  <si>
    <t>Toledo Middle School</t>
  </si>
  <si>
    <t>Tolt Middle School</t>
  </si>
  <si>
    <t>Tonasket School District</t>
  </si>
  <si>
    <t>Tonasket Elementary School</t>
  </si>
  <si>
    <t>Tonasket High School</t>
  </si>
  <si>
    <t>Tonasket Middle School</t>
  </si>
  <si>
    <t>Toppenish High School</t>
  </si>
  <si>
    <t>Toppenish Middle School</t>
  </si>
  <si>
    <t>Tops K-8 School</t>
  </si>
  <si>
    <t>Totem Middle School</t>
  </si>
  <si>
    <t>Toutle Lake School District</t>
  </si>
  <si>
    <t>Toutle Lake Elementary</t>
  </si>
  <si>
    <t>Toutle Lake High School</t>
  </si>
  <si>
    <t>Trent School</t>
  </si>
  <si>
    <t>Trentwood School</t>
  </si>
  <si>
    <t>Tri-Tech Skills Center</t>
  </si>
  <si>
    <t>Truman</t>
  </si>
  <si>
    <t>Tukes Valley Middle School</t>
  </si>
  <si>
    <t xml:space="preserve">Tukes Valley Primary </t>
  </si>
  <si>
    <t>Tukwila Elementary</t>
  </si>
  <si>
    <t>Tumwater High School</t>
  </si>
  <si>
    <t>Tumwater Hill Elementary</t>
  </si>
  <si>
    <t>Tumwater Middle School</t>
  </si>
  <si>
    <t>Twin City Elementary</t>
  </si>
  <si>
    <t>Twin Falls Middle School</t>
  </si>
  <si>
    <t>Twin Lakes Elementary School</t>
  </si>
  <si>
    <t>Two Rivers School</t>
  </si>
  <si>
    <t>Tyee High School</t>
  </si>
  <si>
    <t>Tyee Middle School</t>
  </si>
  <si>
    <t>Tyee Park Elementary School</t>
  </si>
  <si>
    <t>Union High School</t>
  </si>
  <si>
    <t>Union Ridge Elementary</t>
  </si>
  <si>
    <t>University Elementary School</t>
  </si>
  <si>
    <t>University High School</t>
  </si>
  <si>
    <t>University Place Primary</t>
  </si>
  <si>
    <t>Utsalady Elementary</t>
  </si>
  <si>
    <t>VALE ELEMENTARY SCHOOL</t>
  </si>
  <si>
    <t>Valhalla Elementary School</t>
  </si>
  <si>
    <t>Valley Academy Of Learning</t>
  </si>
  <si>
    <t>Valley School</t>
  </si>
  <si>
    <t>Valley View Elementary</t>
  </si>
  <si>
    <t>Valley View Elementary School</t>
  </si>
  <si>
    <t>Valley View Middle School</t>
  </si>
  <si>
    <t>Vancouver Home Connection</t>
  </si>
  <si>
    <t>Vancouver iTech Preparatory</t>
  </si>
  <si>
    <t>Vancouver School of Arts and Academics</t>
  </si>
  <si>
    <t>Vancouver Virtual Learning Academy</t>
  </si>
  <si>
    <t>Vashon Island High School</t>
  </si>
  <si>
    <t>Vaughn Elementary School</t>
  </si>
  <si>
    <t>Victor Falls Elementary</t>
  </si>
  <si>
    <t>View Ridge Elementary</t>
  </si>
  <si>
    <t>View Ridge Elementary School</t>
  </si>
  <si>
    <t>View Ridge Middle School</t>
  </si>
  <si>
    <t>Viewlands Elementary School</t>
  </si>
  <si>
    <t>Vinland Elementary</t>
  </si>
  <si>
    <t>Virgie Robinson Elementary</t>
  </si>
  <si>
    <t>Vista Elementary School</t>
  </si>
  <si>
    <t>Vista Middle School</t>
  </si>
  <si>
    <t>Vossbeck Elementary School</t>
  </si>
  <si>
    <t>Voyager Elementary</t>
  </si>
  <si>
    <t>Voyager Middle School</t>
  </si>
  <si>
    <t>W F West High School</t>
  </si>
  <si>
    <t>Wade King Elementary School</t>
  </si>
  <si>
    <t>Wahitis Elementary School</t>
  </si>
  <si>
    <t>Wahkiakum High School</t>
  </si>
  <si>
    <t>Wahluke High School</t>
  </si>
  <si>
    <t>Wahluke Junior High</t>
  </si>
  <si>
    <t>Wainwright</t>
  </si>
  <si>
    <t>Waitsburg Elementary School</t>
  </si>
  <si>
    <t>Waitsburg High School</t>
  </si>
  <si>
    <t>Waldron Island School</t>
  </si>
  <si>
    <t>Walla Walla High School</t>
  </si>
  <si>
    <t>Wallace &amp; Priscilla Stevenson Intermediate School</t>
  </si>
  <si>
    <t>Wallace Elementary</t>
  </si>
  <si>
    <t>Waller Road Elementary</t>
  </si>
  <si>
    <t>Walnut Grove Elementary</t>
  </si>
  <si>
    <t>Walter Strom Middle School</t>
  </si>
  <si>
    <t>Wapato High School</t>
  </si>
  <si>
    <t>Wapato Middle School</t>
  </si>
  <si>
    <t>Warden School District</t>
  </si>
  <si>
    <t>Warden Elementary</t>
  </si>
  <si>
    <t>Warden High School</t>
  </si>
  <si>
    <t>Warden Middle School</t>
  </si>
  <si>
    <t>Warren Hunt Elem</t>
  </si>
  <si>
    <t>Washington Elementary</t>
  </si>
  <si>
    <t>Washington Elementary School</t>
  </si>
  <si>
    <t>Washington High School</t>
  </si>
  <si>
    <t>Washington Middle School</t>
  </si>
  <si>
    <t>Washington Network for Innovative Careers</t>
  </si>
  <si>
    <t>Washougal High School</t>
  </si>
  <si>
    <t>Waterville School District</t>
  </si>
  <si>
    <t>Wayne M Henkle Middle School</t>
  </si>
  <si>
    <t>Wedgwood Elementary School</t>
  </si>
  <si>
    <t>Wellington Elementary</t>
  </si>
  <si>
    <t>Wellpinit Elementary School</t>
  </si>
  <si>
    <t>Wellpinit Fort Simcoe SEA</t>
  </si>
  <si>
    <t>Wellpinit High School</t>
  </si>
  <si>
    <t>Wellpinit Middle School</t>
  </si>
  <si>
    <t>Wenatchee High School</t>
  </si>
  <si>
    <t>Wenatchee Valley Technical Skills Center</t>
  </si>
  <si>
    <t>West Auburn Senior High School</t>
  </si>
  <si>
    <t>West Hills S.T.E.M. Academy</t>
  </si>
  <si>
    <t>West Mercer Elementary</t>
  </si>
  <si>
    <t>West Seattle Elementary School</t>
  </si>
  <si>
    <t>West Seattle High School</t>
  </si>
  <si>
    <t>West Sound Technical Skills Center</t>
  </si>
  <si>
    <t>West Valley High School</t>
  </si>
  <si>
    <t>West Valley Jr High</t>
  </si>
  <si>
    <t>West Valley Middle School</t>
  </si>
  <si>
    <t>West View Elementary</t>
  </si>
  <si>
    <t>West Woodland Elementary School</t>
  </si>
  <si>
    <t>Westgate Elementary</t>
  </si>
  <si>
    <t>Westgate Elementary School</t>
  </si>
  <si>
    <t>Westhill Elementary</t>
  </si>
  <si>
    <t>Weston High School</t>
  </si>
  <si>
    <t>Westside High School</t>
  </si>
  <si>
    <t>Westview Elementary</t>
  </si>
  <si>
    <t>Westwood Elementary School</t>
  </si>
  <si>
    <t>Westwood Middle School</t>
  </si>
  <si>
    <t>Weyerhaeuser Elementary</t>
  </si>
  <si>
    <t>Whatcom Middle School</t>
  </si>
  <si>
    <t>White Bluffs Elementary School</t>
  </si>
  <si>
    <t>White Center Heights Elementary</t>
  </si>
  <si>
    <t>White Pass School District</t>
  </si>
  <si>
    <t>White Pass Elementary School</t>
  </si>
  <si>
    <t>White Pass Jr. Sr. High School</t>
  </si>
  <si>
    <t>White River High School</t>
  </si>
  <si>
    <t>White Swan High School</t>
  </si>
  <si>
    <t>Whitman</t>
  </si>
  <si>
    <t>Whitman Elementary</t>
  </si>
  <si>
    <t>Whitman Middle School</t>
  </si>
  <si>
    <t>Whitney Elementary Yakima</t>
  </si>
  <si>
    <t>Whitstran Elementary</t>
  </si>
  <si>
    <t>Whittier</t>
  </si>
  <si>
    <t>Whittier Elementary</t>
  </si>
  <si>
    <t>Whittier Elementary School</t>
  </si>
  <si>
    <t>Wide Hollow Elementary</t>
  </si>
  <si>
    <t>Wilbur School District</t>
  </si>
  <si>
    <t>Wildwood Elementary</t>
  </si>
  <si>
    <t>Wildwood Elementary School</t>
  </si>
  <si>
    <t>Wilkeson Elementary School</t>
  </si>
  <si>
    <t>Willapa Valley School District</t>
  </si>
  <si>
    <t>Willapa Elementary</t>
  </si>
  <si>
    <t>Willapa Valley Middle-High</t>
  </si>
  <si>
    <t>Willard Elementary</t>
  </si>
  <si>
    <t>William Wiley Elementary School</t>
  </si>
  <si>
    <t>Wilson</t>
  </si>
  <si>
    <t>Wilson Creek School District</t>
  </si>
  <si>
    <t>Wilson Creek Elementary</t>
  </si>
  <si>
    <t>Wilson Creek High</t>
  </si>
  <si>
    <t>Wilson Elementary</t>
  </si>
  <si>
    <t>Wilson Middle School</t>
  </si>
  <si>
    <t>Wind River Middle School</t>
  </si>
  <si>
    <t>Windsor Elementary</t>
  </si>
  <si>
    <t>Wing Luke Elementary School</t>
  </si>
  <si>
    <t>Winlock School District</t>
  </si>
  <si>
    <t>Winlock Middle School</t>
  </si>
  <si>
    <t>Winlock Miller Elementary</t>
  </si>
  <si>
    <t>Winlock Senior High</t>
  </si>
  <si>
    <t>Woodburn Elementary</t>
  </si>
  <si>
    <t>Woodin Elementary</t>
  </si>
  <si>
    <t>Woodinville HS</t>
  </si>
  <si>
    <t>Woodland Elementary</t>
  </si>
  <si>
    <t>Woodland High School</t>
  </si>
  <si>
    <t>Woodland Middle School</t>
  </si>
  <si>
    <t>Woodlands Elementary</t>
  </si>
  <si>
    <t>Woodmont K-8 School</t>
  </si>
  <si>
    <t>Woodmoor Elementary</t>
  </si>
  <si>
    <t>Woodridge Elementary</t>
  </si>
  <si>
    <t>Woodside Elementary</t>
  </si>
  <si>
    <t>Woodward Middle School</t>
  </si>
  <si>
    <t>Wyeast Middle School</t>
  </si>
  <si>
    <t>Yacolt Primary</t>
  </si>
  <si>
    <t>Yakima Online</t>
  </si>
  <si>
    <t>Yale Elementary</t>
  </si>
  <si>
    <t>Yelm Extension School</t>
  </si>
  <si>
    <t>Yelm High School 12</t>
  </si>
  <si>
    <t>Yelm Middle School</t>
  </si>
  <si>
    <t>Yelm Prairie Elementary</t>
  </si>
  <si>
    <t>York Elementary School</t>
  </si>
  <si>
    <t>Zillah High School</t>
  </si>
  <si>
    <t>Zillah Intermediate School</t>
  </si>
  <si>
    <t>Zillah Middle School</t>
  </si>
  <si>
    <t>Does this building have a Wide-Area Network (WAN) link to your district office ?</t>
  </si>
  <si>
    <t>Does your building provide wireless access to the Internet?</t>
  </si>
  <si>
    <t>Number of assistive/ adaptive technology devices for dedicated use by students with an IEP or 504 :</t>
  </si>
  <si>
    <t>Number of Students with School-(or District) Provided E-mail Accounts</t>
  </si>
  <si>
    <t>Number of Windows 10 OS</t>
  </si>
  <si>
    <t>Bethel Elementary Learning Academy</t>
  </si>
  <si>
    <t>EV Parent Partnership</t>
  </si>
  <si>
    <t>H.O.M.E. Program</t>
  </si>
  <si>
    <t>Highline Open Doors 1418</t>
  </si>
  <si>
    <t>Interagency Detention School</t>
  </si>
  <si>
    <t>Juvenile Detention Center</t>
  </si>
  <si>
    <t>Mt. Rainier Parent Partnership</t>
  </si>
  <si>
    <t>NW Allprep</t>
  </si>
  <si>
    <t>Oakridge Group Home</t>
  </si>
  <si>
    <t>Pathfinder Kindergarten Center</t>
  </si>
  <si>
    <t>PEARL</t>
  </si>
  <si>
    <t>Port Gardner</t>
  </si>
  <si>
    <t>Regional Justice Center</t>
  </si>
  <si>
    <t>Ridgeview Group Home</t>
  </si>
  <si>
    <t>Sky Valley Options</t>
  </si>
  <si>
    <t>Sno-Isle Skills Center</t>
  </si>
  <si>
    <t>Visions (Seamar Youth Center)</t>
  </si>
  <si>
    <t>Winolequa Learning Academy</t>
  </si>
  <si>
    <t>Yakima Satellite Alternative Programs</t>
  </si>
  <si>
    <t>Yakima Valley Technical Skills Center</t>
  </si>
  <si>
    <t>ESD Code</t>
  </si>
  <si>
    <t>LEA Code</t>
  </si>
  <si>
    <t>School</t>
  </si>
  <si>
    <t>Is your wireless access providing enough performance to support all students using a device simultaneously</t>
  </si>
  <si>
    <t>Building Technology Contact Email Address</t>
  </si>
  <si>
    <t>Building Technology Contact Name</t>
  </si>
  <si>
    <t>Number of Chrome OS</t>
  </si>
  <si>
    <t>Number of Android OS tablets</t>
  </si>
  <si>
    <t>One classroom or meeting room only;
More than one classroom or meeting room, but not building-wide;
Central areas throughout building (but not one WAP/classroom);
The entire building</t>
  </si>
  <si>
    <t xml:space="preserve"> Less than 10 Mbps;     10-99 Mbps;                        100-999 Mbps;                        1-9.9 Gbps;                       10 Gbps or higher</t>
  </si>
  <si>
    <t>Jill Thompson</t>
  </si>
  <si>
    <t>jthompson@abc.org</t>
  </si>
  <si>
    <t>Yes</t>
  </si>
  <si>
    <t xml:space="preserve"> Less than 10 Mbps</t>
  </si>
  <si>
    <t>No</t>
  </si>
  <si>
    <t>Janet Peterson</t>
  </si>
  <si>
    <t>jpeterson@abc.org</t>
  </si>
  <si>
    <t>10-99 Mbps</t>
  </si>
  <si>
    <t>One classroom or meeting room only</t>
  </si>
  <si>
    <t>John Smith</t>
  </si>
  <si>
    <t>jsmith@abc.org</t>
  </si>
  <si>
    <t>100-999 Mbps</t>
  </si>
  <si>
    <t>More than one classroom or meeting room, but not building-wide</t>
  </si>
  <si>
    <t>Lincoln Junior High</t>
  </si>
  <si>
    <t>Jane Doe</t>
  </si>
  <si>
    <t>jdoe@abc.org</t>
  </si>
  <si>
    <t>1-9.9 Gbps</t>
  </si>
  <si>
    <t>Central areas throughout building (but not one WAP/classroom</t>
  </si>
  <si>
    <t>Madison Senior High</t>
  </si>
  <si>
    <t>Jack Miller</t>
  </si>
  <si>
    <t>jmiller@abc.org</t>
  </si>
  <si>
    <t>10 Gbps or higher</t>
  </si>
  <si>
    <t>The entire building</t>
  </si>
  <si>
    <t>Sample School District</t>
  </si>
  <si>
    <t>3 Linux computers</t>
  </si>
  <si>
    <t>Other (please list)</t>
  </si>
  <si>
    <t>Note: The first 5 rows for "Sample School District" are included to provide you with a model for how data entry should be done for your building data, and can be removed later.</t>
  </si>
  <si>
    <t>Remove all districts except your own, add any buildings that are not listed (and delete any that are not physical buildings)</t>
  </si>
  <si>
    <t>Enter the data for each building, using these directions:</t>
  </si>
  <si>
    <r>
      <t xml:space="preserve">For “Does this building have a Wide-Area Network (WAN) link to your district office?”, type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</si>
  <si>
    <r>
      <t xml:space="preserve">If the answer is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, leave next cell blank; otherwise respond with one of these five responses:</t>
    </r>
  </si>
  <si>
    <t>Less than 10 Mbps</t>
  </si>
  <si>
    <r>
      <t xml:space="preserve">For “Does your building provide wireless access to the Internet?”, type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</si>
  <si>
    <r>
      <t xml:space="preserve">If the answer is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, leave next cell blank; otherwise respond with one of these four responses:</t>
    </r>
  </si>
  <si>
    <t>Central areas throughout building (but not one WAP/classroom)</t>
  </si>
  <si>
    <r>
      <t xml:space="preserve">For “Is your wireless access providing enough performance to support all students using a device simultaneously?”, type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No</t>
    </r>
  </si>
  <si>
    <t>For “Number of assistive/ adaptive technology devices”, provide a number (0 if there are none)</t>
  </si>
  <si>
    <t>For “Number of Students with School-(or District) Provided E-mail Accounts”, provide a number (0 if there are none)</t>
  </si>
  <si>
    <t>For each of the Devices reporting, please provide a number (0 if there are none)</t>
  </si>
  <si>
    <t>If there are devices not reported in any other category, please list and provide # of those devices</t>
  </si>
  <si>
    <t>Save your spreadsheet, and add district name to its title.</t>
  </si>
  <si>
    <t>JJ Smith Elementary</t>
  </si>
  <si>
    <t>Washtucna School District</t>
  </si>
  <si>
    <t>Riverbend Elementary School</t>
  </si>
  <si>
    <t>Stem Academy at SVT</t>
  </si>
  <si>
    <t>Quartzite Learning</t>
  </si>
  <si>
    <t>Northport Homelink Program</t>
  </si>
  <si>
    <t>Spokane International Academy</t>
  </si>
  <si>
    <t>Pratt Academy</t>
  </si>
  <si>
    <t>Simcoe Elementary School</t>
  </si>
  <si>
    <t>Odyssey Middle School</t>
  </si>
  <si>
    <t>Henrietta Lacks Health and Bioscience High School</t>
  </si>
  <si>
    <t>New Market Skills Center</t>
  </si>
  <si>
    <t>Choice Academy</t>
  </si>
  <si>
    <t>North Mason Homelink Program</t>
  </si>
  <si>
    <t>Salish Coast Elementary</t>
  </si>
  <si>
    <t>Albert Einstein Elementary</t>
  </si>
  <si>
    <t>Alexander Graham Bell Elementary</t>
  </si>
  <si>
    <t>Benjamin Rush Elementary</t>
  </si>
  <si>
    <t>Carl Sandburg Elementary</t>
  </si>
  <si>
    <t>Christa Mcauliffe Elementary</t>
  </si>
  <si>
    <t>Clara Barton Elementary School</t>
  </si>
  <si>
    <t>Elizabeth Blackwell Elementary</t>
  </si>
  <si>
    <t>Ella Baker Elementary School</t>
  </si>
  <si>
    <t>Emily Dickinson Elementary</t>
  </si>
  <si>
    <t>Helen Keller Elementary</t>
  </si>
  <si>
    <t>Henry David Thoreau Elementary</t>
  </si>
  <si>
    <t>Horace Mann Elementary</t>
  </si>
  <si>
    <t>John J. Audubon Elementary</t>
  </si>
  <si>
    <t>John Muir Elementary</t>
  </si>
  <si>
    <t>Laura Ingalls Wilder Elementary</t>
  </si>
  <si>
    <t>Louisa May Alcott Elementary</t>
  </si>
  <si>
    <t>Margaret Mead Elementary</t>
  </si>
  <si>
    <t>Nikola Tesla Science, Technology, Engineering, and Math High School</t>
  </si>
  <si>
    <t>Norman Rockwell Elementary</t>
  </si>
  <si>
    <t>Peter Kirk Elementary</t>
  </si>
  <si>
    <t>Renaissance School of Art and Reasoning</t>
  </si>
  <si>
    <t>Samantha Smith Elementary</t>
  </si>
  <si>
    <t>Puyallup Online Academy/POA</t>
  </si>
  <si>
    <t>Industrial Design Engineering and Art</t>
  </si>
  <si>
    <t>Amon Creek Elementary</t>
  </si>
  <si>
    <t>Fuerza Elementary</t>
  </si>
  <si>
    <t>Stevens Creek Elementary</t>
  </si>
  <si>
    <t>Maple Grove Primary</t>
  </si>
  <si>
    <t>Number of other Windows OS</t>
  </si>
  <si>
    <t>Almira School District</t>
  </si>
  <si>
    <t>Almira School</t>
  </si>
  <si>
    <t>Benge School District</t>
  </si>
  <si>
    <t>Benge School</t>
  </si>
  <si>
    <t>Lumen High School</t>
  </si>
  <si>
    <t>Central Valley Virtual Learning Academy</t>
  </si>
  <si>
    <t>Colton School District</t>
  </si>
  <si>
    <t>Colton School</t>
  </si>
  <si>
    <t>Columbia School</t>
  </si>
  <si>
    <t>Creston School</t>
  </si>
  <si>
    <t>Home Pride</t>
  </si>
  <si>
    <t>Kalispel Language Immersion School</t>
  </si>
  <si>
    <t>East Farms STEAM School</t>
  </si>
  <si>
    <t>Endicott School District</t>
  </si>
  <si>
    <t>Endicott/St John Elem and Middle</t>
  </si>
  <si>
    <t>Evergreen School District (Stevens)</t>
  </si>
  <si>
    <t>Evergreen School</t>
  </si>
  <si>
    <t>Great Northern School District</t>
  </si>
  <si>
    <t>Great Northern School</t>
  </si>
  <si>
    <t>Harrington School</t>
  </si>
  <si>
    <t>Inchelium School</t>
  </si>
  <si>
    <t>Keller School</t>
  </si>
  <si>
    <t>LaCrosse School</t>
  </si>
  <si>
    <t>Lamont School District</t>
  </si>
  <si>
    <t>Lamont Middle School</t>
  </si>
  <si>
    <t>Mary Walker Alternative Learning Experience</t>
  </si>
  <si>
    <t>Creekside Elementary School</t>
  </si>
  <si>
    <t>Medical Lake Endeavors</t>
  </si>
  <si>
    <t>Oakesdale School</t>
  </si>
  <si>
    <t>Odessa School</t>
  </si>
  <si>
    <t>Onion Creek School District</t>
  </si>
  <si>
    <t>Onion Creek Elementary</t>
  </si>
  <si>
    <t>Orchard Prairie School District</t>
  </si>
  <si>
    <t>Orchard Prairie School</t>
  </si>
  <si>
    <t>Orient School District</t>
  </si>
  <si>
    <t>Orient School</t>
  </si>
  <si>
    <t>PRIDE Prep Charter School</t>
  </si>
  <si>
    <t>Kamiak Elementary</t>
  </si>
  <si>
    <t>Republic School</t>
  </si>
  <si>
    <t>Rosalia School</t>
  </si>
  <si>
    <t>Selkirk Elementary School</t>
  </si>
  <si>
    <t>St. John School</t>
  </si>
  <si>
    <t>Steptoe School District</t>
  </si>
  <si>
    <t>Steptoe School</t>
  </si>
  <si>
    <t>Summit Valley School District</t>
  </si>
  <si>
    <t>Summit Valley School</t>
  </si>
  <si>
    <t>Washtucna School</t>
  </si>
  <si>
    <t>Wellpinit School District #49</t>
  </si>
  <si>
    <t>Wilbur School</t>
  </si>
  <si>
    <t>Bickleton School District</t>
  </si>
  <si>
    <t>Bickleton School</t>
  </si>
  <si>
    <t>Damman School District</t>
  </si>
  <si>
    <t>Damman School</t>
  </si>
  <si>
    <t>Easton School District</t>
  </si>
  <si>
    <t>Easton School</t>
  </si>
  <si>
    <t>Washington Connections Academy Goldendale</t>
  </si>
  <si>
    <t>Selah Academy Online</t>
  </si>
  <si>
    <t>Sun Valley Elementary School</t>
  </si>
  <si>
    <t>Thorp School District</t>
  </si>
  <si>
    <t>Thorp School</t>
  </si>
  <si>
    <t>Union Gap School District</t>
  </si>
  <si>
    <t>Union Gap School</t>
  </si>
  <si>
    <t>Yakama Nation Tribal Compact</t>
  </si>
  <si>
    <t>Yakama Nation School</t>
  </si>
  <si>
    <t>Dorothy Fox Elementary</t>
  </si>
  <si>
    <t>Helen Baller Elementary</t>
  </si>
  <si>
    <t>Prune Hill Elementary</t>
  </si>
  <si>
    <t>Centerville School District</t>
  </si>
  <si>
    <t>Centerville School</t>
  </si>
  <si>
    <t>Emerald Elementary School</t>
  </si>
  <si>
    <t>Glenwood School</t>
  </si>
  <si>
    <t>Green Mountain School District</t>
  </si>
  <si>
    <t>Green Mountain School</t>
  </si>
  <si>
    <t>Kalama School District</t>
  </si>
  <si>
    <t>Kalama School</t>
  </si>
  <si>
    <t>Klickitat School District</t>
  </si>
  <si>
    <t>Klickitat School</t>
  </si>
  <si>
    <t>Lyle School</t>
  </si>
  <si>
    <t>Mill A School</t>
  </si>
  <si>
    <t>Mount Pleasant School District</t>
  </si>
  <si>
    <t>Mount Pleasant School</t>
  </si>
  <si>
    <t>Hilltop Elementary School</t>
  </si>
  <si>
    <t>Ocean Beach Options Academy</t>
  </si>
  <si>
    <t>Washington State School for the Blind</t>
  </si>
  <si>
    <t>Sunset Ridge Intermediate School</t>
  </si>
  <si>
    <t>Roosevelt School</t>
  </si>
  <si>
    <t>Trout Lake School District</t>
  </si>
  <si>
    <t>Trout Lake School</t>
  </si>
  <si>
    <t>Gate Program</t>
  </si>
  <si>
    <t>Washington Center for Deaf and Hard of Hearing Youth</t>
  </si>
  <si>
    <t>Washington School for the Deaf</t>
  </si>
  <si>
    <t>Wishram School District</t>
  </si>
  <si>
    <t>Wishram High And Elementary Schl</t>
  </si>
  <si>
    <t>North Fork Elementary School</t>
  </si>
  <si>
    <t>Boistfort School District</t>
  </si>
  <si>
    <t>Boistfort School</t>
  </si>
  <si>
    <t>James W. Lintott Elementary School</t>
  </si>
  <si>
    <t>Orin C. Smith Elementary School</t>
  </si>
  <si>
    <t>Cosmopolis School District</t>
  </si>
  <si>
    <t>Cosmopolis School</t>
  </si>
  <si>
    <t>Evaline School District</t>
  </si>
  <si>
    <t>Evaline Elementary School</t>
  </si>
  <si>
    <t>Grapeview School District</t>
  </si>
  <si>
    <t>Grapeview School</t>
  </si>
  <si>
    <t>Griffin School District</t>
  </si>
  <si>
    <t>Griffin School</t>
  </si>
  <si>
    <t>Hood Canal School District</t>
  </si>
  <si>
    <t>Hood Canal School</t>
  </si>
  <si>
    <t>Lake Quinault School</t>
  </si>
  <si>
    <t>Mary M Knight School District</t>
  </si>
  <si>
    <t>Mary M Knight School</t>
  </si>
  <si>
    <t>McCleary School District</t>
  </si>
  <si>
    <t>Mccleary Elem</t>
  </si>
  <si>
    <t>North Beach School District No. 64</t>
  </si>
  <si>
    <t>North River School District</t>
  </si>
  <si>
    <t>North River School</t>
  </si>
  <si>
    <t>Envision Career Academy</t>
  </si>
  <si>
    <t>Oakville School District</t>
  </si>
  <si>
    <t>Oakville School</t>
  </si>
  <si>
    <t>Pe Ell School District</t>
  </si>
  <si>
    <t>Pe Ell School</t>
  </si>
  <si>
    <t>Satsop School District</t>
  </si>
  <si>
    <t>Satsop Elementary</t>
  </si>
  <si>
    <t>Cedar High School</t>
  </si>
  <si>
    <t>Mike Morris Elementary</t>
  </si>
  <si>
    <t>Southside School District</t>
  </si>
  <si>
    <t>Southside School</t>
  </si>
  <si>
    <t>Taholah School</t>
  </si>
  <si>
    <t>Cascadia High School</t>
  </si>
  <si>
    <t>Wa He Lut Indian School</t>
  </si>
  <si>
    <t>Wishkah Valley School District</t>
  </si>
  <si>
    <t>Wishkah Valley School</t>
  </si>
  <si>
    <t>Brinnon School District</t>
  </si>
  <si>
    <t>Brinnon School</t>
  </si>
  <si>
    <t>Catalyst Public Schools</t>
  </si>
  <si>
    <t>Chimacum Junior/Senior High School</t>
  </si>
  <si>
    <t>Crescent School District</t>
  </si>
  <si>
    <t>Crescent School</t>
  </si>
  <si>
    <t>Queets-Clearwater School District</t>
  </si>
  <si>
    <t>Queets-Clearwater School</t>
  </si>
  <si>
    <t>Quileute Tribal School District</t>
  </si>
  <si>
    <t>Quileute Tribal School</t>
  </si>
  <si>
    <t>Olympic Peninsula Academy</t>
  </si>
  <si>
    <t>Suquamish Tribal Education Department</t>
  </si>
  <si>
    <t>Chief Kitsap Academy</t>
  </si>
  <si>
    <t>Washington Military Department</t>
  </si>
  <si>
    <t>Washington Youth Academy</t>
  </si>
  <si>
    <t>Ashe Preparatory Academy</t>
  </si>
  <si>
    <t>Bowman Creek Elementary</t>
  </si>
  <si>
    <t>Newport Heights Elementary School</t>
  </si>
  <si>
    <t>Wilburton Elementary</t>
  </si>
  <si>
    <t>Carbonado School District</t>
  </si>
  <si>
    <t>Carbonado School</t>
  </si>
  <si>
    <t>Cascade Public Schools</t>
  </si>
  <si>
    <t>Midway Academy</t>
  </si>
  <si>
    <t>Chief Leschi Tribal Compact</t>
  </si>
  <si>
    <t>Chief Leschi Schools</t>
  </si>
  <si>
    <t>General William H. Harrison Preparatory School</t>
  </si>
  <si>
    <t>Thomas Middle School</t>
  </si>
  <si>
    <t>Impact Public Schools</t>
  </si>
  <si>
    <t>Commencement Bay Elementary</t>
  </si>
  <si>
    <t>Puget Sound Elementary</t>
  </si>
  <si>
    <t>Salish Sea Elementary</t>
  </si>
  <si>
    <t>iGrad</t>
  </si>
  <si>
    <t>Rachel Carson Elementary</t>
  </si>
  <si>
    <t>Timberline Middle School</t>
  </si>
  <si>
    <t>Muckleshoot Indian Tribe</t>
  </si>
  <si>
    <t>Muckleshoot Tribal School</t>
  </si>
  <si>
    <t>Ruby Bridges Elementary</t>
  </si>
  <si>
    <t xml:space="preserve">Dessie F Evans Elementary </t>
  </si>
  <si>
    <t>Doris Stahl Junior High</t>
  </si>
  <si>
    <t>E B Walker High School</t>
  </si>
  <si>
    <t>Edward Zeiger Elem</t>
  </si>
  <si>
    <t>Emma L Carson Elementary</t>
  </si>
  <si>
    <t>Frank Brouillet Elem</t>
  </si>
  <si>
    <t>G W Edgerton Elementary</t>
  </si>
  <si>
    <t>Gov John Rogers High School</t>
  </si>
  <si>
    <t>Rainier Prep Charter School District</t>
  </si>
  <si>
    <t xml:space="preserve">Rainier Valley Leadership Academy </t>
  </si>
  <si>
    <t>Sartori Elementary School</t>
  </si>
  <si>
    <t>Vera Risdon Middle School</t>
  </si>
  <si>
    <t>Alan T. Sugiyama High School</t>
  </si>
  <si>
    <t>Magnolia Elementary</t>
  </si>
  <si>
    <t>Rising Star Elementary School</t>
  </si>
  <si>
    <t>Skykomish School</t>
  </si>
  <si>
    <t>Snoqualmie Middle School</t>
  </si>
  <si>
    <t>SOAR Academy Charter District</t>
  </si>
  <si>
    <t>Summit Public School</t>
  </si>
  <si>
    <t>Atlas</t>
  </si>
  <si>
    <t>Olympus</t>
  </si>
  <si>
    <t>Sierra</t>
  </si>
  <si>
    <t>27320</t>
  </si>
  <si>
    <t>Tehaleh Heights Elementary</t>
  </si>
  <si>
    <t>Dixie School District</t>
  </si>
  <si>
    <t>Dixie School</t>
  </si>
  <si>
    <t xml:space="preserve">Innovation Charter School </t>
  </si>
  <si>
    <t>Kahlotus School District</t>
  </si>
  <si>
    <t>Kahlotus School</t>
  </si>
  <si>
    <t>03017</t>
  </si>
  <si>
    <t>4418</t>
  </si>
  <si>
    <t>4007</t>
  </si>
  <si>
    <t>4072</t>
  </si>
  <si>
    <t>4202</t>
  </si>
  <si>
    <t>4028</t>
  </si>
  <si>
    <t>2824</t>
  </si>
  <si>
    <t>3315</t>
  </si>
  <si>
    <t>Hawthorne Elementary School</t>
  </si>
  <si>
    <t>3267</t>
  </si>
  <si>
    <t>Keewaydin Discovery Center</t>
  </si>
  <si>
    <t>2826</t>
  </si>
  <si>
    <t>1884</t>
  </si>
  <si>
    <t>4181</t>
  </si>
  <si>
    <t>1941</t>
  </si>
  <si>
    <t>3472</t>
  </si>
  <si>
    <t>5106</t>
  </si>
  <si>
    <t>4446</t>
  </si>
  <si>
    <t>5438</t>
  </si>
  <si>
    <t>4073</t>
  </si>
  <si>
    <t>4484</t>
  </si>
  <si>
    <t>4136</t>
  </si>
  <si>
    <t>4118</t>
  </si>
  <si>
    <t>3369</t>
  </si>
  <si>
    <t>3144</t>
  </si>
  <si>
    <t>11001</t>
  </si>
  <si>
    <t>5391</t>
  </si>
  <si>
    <t>5392</t>
  </si>
  <si>
    <t>5164</t>
  </si>
  <si>
    <t>Columbia River Elementary</t>
  </si>
  <si>
    <t>3425</t>
  </si>
  <si>
    <t>4564</t>
  </si>
  <si>
    <t>2967</t>
  </si>
  <si>
    <t>5393</t>
  </si>
  <si>
    <t>4155</t>
  </si>
  <si>
    <t>2790</t>
  </si>
  <si>
    <t>5394</t>
  </si>
  <si>
    <t>3085</t>
  </si>
  <si>
    <t>4595</t>
  </si>
  <si>
    <t>2267</t>
  </si>
  <si>
    <t>3912</t>
  </si>
  <si>
    <t>2917</t>
  </si>
  <si>
    <t>Ray Reynolds Middle School</t>
  </si>
  <si>
    <t>3515</t>
  </si>
  <si>
    <t>5345</t>
  </si>
  <si>
    <t>4555</t>
  </si>
  <si>
    <t>4041</t>
  </si>
  <si>
    <t>3324</t>
  </si>
  <si>
    <t>Three Rivers Elementary</t>
  </si>
  <si>
    <t>5020</t>
  </si>
  <si>
    <t>4526</t>
  </si>
  <si>
    <t>Paterson School District</t>
  </si>
  <si>
    <t>Paterson School</t>
  </si>
  <si>
    <t>Star School District</t>
  </si>
  <si>
    <t>Star School</t>
  </si>
  <si>
    <t>Starbuck School District</t>
  </si>
  <si>
    <t>Starbuck School</t>
  </si>
  <si>
    <t>Touchet School District</t>
  </si>
  <si>
    <t>Touchet School</t>
  </si>
  <si>
    <t>04228</t>
  </si>
  <si>
    <t>Alpine Lakes Elementary</t>
  </si>
  <si>
    <t>4566</t>
  </si>
  <si>
    <t>3564</t>
  </si>
  <si>
    <t>5418</t>
  </si>
  <si>
    <t>4403</t>
  </si>
  <si>
    <t>2760</t>
  </si>
  <si>
    <t>Coulee City MS</t>
  </si>
  <si>
    <t>Entiat School</t>
  </si>
  <si>
    <t>Beezley Springs Elementary</t>
  </si>
  <si>
    <t>Lake Roosevelt Alternative School</t>
  </si>
  <si>
    <t>Lake Roosevelt Elementary</t>
  </si>
  <si>
    <t>Mansfield School District</t>
  </si>
  <si>
    <t>Mansfield Elem and High School</t>
  </si>
  <si>
    <t>Nespelem School District</t>
  </si>
  <si>
    <t>Nespelem School</t>
  </si>
  <si>
    <t>Paschal Sherman</t>
  </si>
  <si>
    <t>Orondo School District</t>
  </si>
  <si>
    <t>Orondo School</t>
  </si>
  <si>
    <t>Palisades School District</t>
  </si>
  <si>
    <t>Palisades School</t>
  </si>
  <si>
    <t>Pateros School</t>
  </si>
  <si>
    <t>Ancient Lakes Elementary</t>
  </si>
  <si>
    <t>Quincy Innovation Academy</t>
  </si>
  <si>
    <t>Quincy Middle School</t>
  </si>
  <si>
    <t>Stehekin School District</t>
  </si>
  <si>
    <t>Stehekin School</t>
  </si>
  <si>
    <t>Waterville School</t>
  </si>
  <si>
    <t>Stillaguamish Valley Learning Center</t>
  </si>
  <si>
    <t>Twin Cedars High School</t>
  </si>
  <si>
    <t>Conway School District</t>
  </si>
  <si>
    <t>Conway School</t>
  </si>
  <si>
    <t>Darrington High School</t>
  </si>
  <si>
    <t>Madrona Nongraded K-8</t>
  </si>
  <si>
    <t>Maplewood Parent Coop K-8</t>
  </si>
  <si>
    <t>Tambark Elementary School</t>
  </si>
  <si>
    <t>Granite Falls Open Doors</t>
  </si>
  <si>
    <t>Index School District</t>
  </si>
  <si>
    <t>Index School</t>
  </si>
  <si>
    <t>Lummi Tribal Agency</t>
  </si>
  <si>
    <t>Lummi Nation School</t>
  </si>
  <si>
    <t>Harriet Rowley</t>
  </si>
  <si>
    <t>Shaw Island School District</t>
  </si>
  <si>
    <t>Shaw Island School</t>
  </si>
  <si>
    <t>Totem Falls Elementary</t>
  </si>
  <si>
    <t>Whatcom Intergenerational High School</t>
  </si>
  <si>
    <r>
      <t xml:space="preserve">Go to </t>
    </r>
    <r>
      <rPr>
        <u/>
        <sz val="11"/>
        <color rgb="FF0563C1"/>
        <rFont val="Calibri"/>
        <family val="2"/>
        <scheme val="minor"/>
      </rPr>
      <t>https://survey.alchemer.com/s3/6096817/TechSurvey-Building</t>
    </r>
    <r>
      <rPr>
        <sz val="11"/>
        <color theme="1"/>
        <rFont val="Calibri"/>
        <family val="2"/>
        <scheme val="minor"/>
      </rPr>
      <t xml:space="preserve"> and select any building in your district, then check “Uploading a spreadsheet with data for all buildings” on #4, and upload this spreadsheet. If you have already completed the district-level questions at </t>
    </r>
    <r>
      <rPr>
        <u/>
        <sz val="11"/>
        <color rgb="FF0563C1"/>
        <rFont val="Calibri"/>
        <family val="2"/>
        <scheme val="minor"/>
      </rPr>
      <t>https://survey.alchemer.com/s3/6096818/TechSurvey-District</t>
    </r>
    <r>
      <rPr>
        <sz val="11"/>
        <color theme="1"/>
        <rFont val="Calibri"/>
        <family val="2"/>
        <scheme val="minor"/>
      </rPr>
      <t>, you are done with this year’s survey!</t>
    </r>
  </si>
  <si>
    <t>Number of iPads iOS 12 or higher</t>
  </si>
  <si>
    <t>Number of Mac OS X 10.11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</si>
</sst>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theme="0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E0666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3" borderId="0" xfId="0" applyFill="1"/>
    <xf numFmtId="0" fontId="0" fillId="0" borderId="0" xfId="0" applyFill="1"/>
    <xf numFmtId="0" fontId="1" fillId="0" borderId="0" xfId="0" applyFont="1"/>
    <xf numFmtId="0" fontId="2" fillId="2" borderId="0" xfId="0" applyFont="1" applyFill="1" applyAlignment="1">
      <alignment wrapText="1"/>
    </xf>
    <xf numFmtId="0" fontId="1" fillId="0" borderId="0" xfId="0" applyNumberFormat="1" applyFont="1"/>
    <xf numFmtId="0" fontId="0" fillId="0" borderId="1" xfId="0" applyNumberFormat="1" applyFont="1" applyBorder="1"/>
    <xf numFmtId="0" fontId="2" fillId="2" borderId="2" xfId="0" applyFont="1" applyFill="1" applyBorder="1" applyAlignment="1">
      <alignment wrapText="1"/>
    </xf>
    <xf numFmtId="0" fontId="0" fillId="0" borderId="2" xfId="0" applyNumberFormat="1" applyFont="1" applyBorder="1"/>
    <xf numFmtId="0" fontId="0" fillId="0" borderId="0" xfId="0" applyNumberFormat="1" applyFont="1" applyBorder="1"/>
    <xf numFmtId="0" fontId="0" fillId="3" borderId="0" xfId="0" applyNumberFormat="1" applyFill="1"/>
    <xf numFmtId="0" fontId="0" fillId="0" borderId="0" xfId="0" applyFont="1"/>
    <xf numFmtId="0" fontId="0" fillId="3" borderId="2" xfId="0" applyNumberFormat="1" applyFont="1" applyFill="1" applyBorder="1"/>
    <xf numFmtId="0" fontId="3" fillId="0" borderId="0" xfId="0" applyFont="1"/>
    <xf numFmtId="3" fontId="4" fillId="0" borderId="0" xfId="0" applyNumberFormat="1" applyFont="1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NumberFormat="1" applyFont="1"/>
    <xf numFmtId="0" fontId="10" fillId="0" borderId="0" xfId="2" applyNumberFormat="1" applyFont="1"/>
    <xf numFmtId="0" fontId="7" fillId="0" borderId="2" xfId="0" applyNumberFormat="1" applyFont="1" applyBorder="1"/>
    <xf numFmtId="0" fontId="0" fillId="3" borderId="2" xfId="0" applyFill="1" applyBorder="1"/>
    <xf numFmtId="0" fontId="7" fillId="0" borderId="2" xfId="0" applyFont="1" applyBorder="1"/>
    <xf numFmtId="0" fontId="0" fillId="0" borderId="0" xfId="0" applyNumberFormat="1" applyFill="1"/>
    <xf numFmtId="0" fontId="0" fillId="0" borderId="2" xfId="0" applyNumberFormat="1" applyFont="1" applyFill="1" applyBorder="1"/>
    <xf numFmtId="0" fontId="0" fillId="3" borderId="0" xfId="0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miller@abc.org" TargetMode="External"/><Relationship Id="rId2" Type="http://schemas.openxmlformats.org/officeDocument/2006/relationships/hyperlink" Target="mailto:jdoe@abc.org" TargetMode="External"/><Relationship Id="rId1" Type="http://schemas.openxmlformats.org/officeDocument/2006/relationships/hyperlink" Target="mailto:jsmith@abc.or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peterson@abc.org" TargetMode="External"/><Relationship Id="rId4" Type="http://schemas.openxmlformats.org/officeDocument/2006/relationships/hyperlink" Target="mailto:jthompson@abc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38"/>
  <sheetViews>
    <sheetView tabSelected="1" topLeftCell="M1" workbookViewId="0">
      <pane ySplit="1" topLeftCell="A2" activePane="bottomLeft" state="frozen"/>
      <selection pane="bottomLeft" activeCell="R1" sqref="R1"/>
    </sheetView>
  </sheetViews>
  <sheetFormatPr defaultRowHeight="15" x14ac:dyDescent="0.25"/>
  <cols>
    <col min="1" max="1" width="7.42578125" customWidth="1"/>
    <col min="2" max="2" width="5.42578125" style="33" customWidth="1"/>
    <col min="3" max="3" width="6.42578125" customWidth="1"/>
    <col min="4" max="4" width="29.140625" style="12" customWidth="1"/>
    <col min="5" max="5" width="6.85546875" style="70" customWidth="1"/>
    <col min="6" max="6" width="39.28515625" style="12" customWidth="1"/>
    <col min="7" max="7" width="21" customWidth="1"/>
    <col min="8" max="8" width="36.5703125" customWidth="1"/>
    <col min="9" max="9" width="13.42578125" customWidth="1"/>
    <col min="10" max="10" width="20.85546875" customWidth="1"/>
    <col min="11" max="11" width="13.5703125" customWidth="1"/>
    <col min="12" max="12" width="59.140625" customWidth="1"/>
    <col min="13" max="13" width="18.85546875" customWidth="1"/>
    <col min="14" max="14" width="18.28515625" customWidth="1"/>
    <col min="15" max="15" width="12.7109375" customWidth="1"/>
    <col min="16" max="17" width="9.28515625" customWidth="1"/>
    <col min="18" max="18" width="9.140625" customWidth="1"/>
    <col min="19" max="19" width="9.85546875" customWidth="1"/>
    <col min="20" max="21" width="9.42578125" customWidth="1"/>
    <col min="22" max="22" width="24" customWidth="1"/>
  </cols>
  <sheetData>
    <row r="1" spans="1:24" s="4" customFormat="1" ht="108" customHeight="1" x14ac:dyDescent="0.25">
      <c r="A1" s="5" t="s">
        <v>2014</v>
      </c>
      <c r="B1" s="32" t="s">
        <v>0</v>
      </c>
      <c r="C1" s="5" t="s">
        <v>2015</v>
      </c>
      <c r="D1" s="5" t="s">
        <v>1</v>
      </c>
      <c r="E1" s="32" t="s">
        <v>2</v>
      </c>
      <c r="F1" s="5" t="s">
        <v>2016</v>
      </c>
      <c r="G1" s="5" t="s">
        <v>2019</v>
      </c>
      <c r="H1" s="5" t="s">
        <v>2018</v>
      </c>
      <c r="I1" s="8" t="s">
        <v>1989</v>
      </c>
      <c r="J1" s="5" t="s">
        <v>2023</v>
      </c>
      <c r="K1" s="8" t="s">
        <v>1990</v>
      </c>
      <c r="L1" s="8" t="s">
        <v>2022</v>
      </c>
      <c r="M1" s="8" t="s">
        <v>2017</v>
      </c>
      <c r="N1" s="8" t="s">
        <v>1991</v>
      </c>
      <c r="O1" s="8" t="s">
        <v>1992</v>
      </c>
      <c r="P1" s="8" t="s">
        <v>1993</v>
      </c>
      <c r="Q1" s="8" t="s">
        <v>2108</v>
      </c>
      <c r="R1" s="8" t="s">
        <v>2414</v>
      </c>
      <c r="S1" s="8" t="s">
        <v>2413</v>
      </c>
      <c r="T1" s="8" t="s">
        <v>2020</v>
      </c>
      <c r="U1" s="8" t="s">
        <v>2021</v>
      </c>
      <c r="V1" s="8" t="s">
        <v>2049</v>
      </c>
      <c r="W1" s="6"/>
      <c r="X1" s="6"/>
    </row>
    <row r="2" spans="1:24" x14ac:dyDescent="0.25">
      <c r="A2" t="str">
        <f t="shared" ref="A2:A6" si="0">"34801"</f>
        <v>34801</v>
      </c>
      <c r="B2" s="33">
        <v>113</v>
      </c>
      <c r="C2" t="str">
        <f t="shared" ref="C2:C6" si="1">"14005"</f>
        <v>14005</v>
      </c>
      <c r="D2" s="23" t="s">
        <v>2047</v>
      </c>
      <c r="E2" s="69" t="str">
        <f>"6785"</f>
        <v>6785</v>
      </c>
      <c r="F2" s="23" t="s">
        <v>660</v>
      </c>
      <c r="G2" s="24" t="s">
        <v>2024</v>
      </c>
      <c r="H2" s="25" t="s">
        <v>2025</v>
      </c>
      <c r="I2" s="26" t="s">
        <v>2026</v>
      </c>
      <c r="J2" s="26" t="s">
        <v>2027</v>
      </c>
      <c r="K2" s="26" t="s">
        <v>2028</v>
      </c>
      <c r="L2" s="28"/>
      <c r="M2" s="26" t="s">
        <v>2028</v>
      </c>
      <c r="N2" s="26">
        <v>2</v>
      </c>
      <c r="O2" s="26">
        <v>0</v>
      </c>
      <c r="P2" s="26">
        <v>0</v>
      </c>
      <c r="Q2" s="26">
        <v>20</v>
      </c>
      <c r="R2" s="26">
        <v>20</v>
      </c>
      <c r="S2" s="26">
        <v>20</v>
      </c>
      <c r="T2" s="26">
        <v>0</v>
      </c>
      <c r="U2" s="26">
        <v>0</v>
      </c>
      <c r="V2" s="26"/>
    </row>
    <row r="3" spans="1:24" x14ac:dyDescent="0.25">
      <c r="A3" t="str">
        <f t="shared" si="0"/>
        <v>34801</v>
      </c>
      <c r="B3" s="33">
        <v>113</v>
      </c>
      <c r="C3" t="str">
        <f t="shared" si="1"/>
        <v>14005</v>
      </c>
      <c r="D3" s="23" t="s">
        <v>2047</v>
      </c>
      <c r="E3" s="69" t="str">
        <f>"6787"</f>
        <v>6787</v>
      </c>
      <c r="F3" s="23" t="s">
        <v>895</v>
      </c>
      <c r="G3" s="24" t="s">
        <v>2033</v>
      </c>
      <c r="H3" s="25" t="s">
        <v>2034</v>
      </c>
      <c r="I3" s="26" t="s">
        <v>2026</v>
      </c>
      <c r="J3" s="26" t="s">
        <v>2035</v>
      </c>
      <c r="K3" s="26" t="s">
        <v>2026</v>
      </c>
      <c r="L3" s="28" t="s">
        <v>2036</v>
      </c>
      <c r="M3" s="26" t="s">
        <v>2028</v>
      </c>
      <c r="N3" s="26">
        <v>2</v>
      </c>
      <c r="O3" s="26">
        <v>0</v>
      </c>
      <c r="P3" s="26">
        <v>0</v>
      </c>
      <c r="Q3" s="26">
        <v>20</v>
      </c>
      <c r="R3" s="26">
        <v>20</v>
      </c>
      <c r="S3" s="26">
        <v>20</v>
      </c>
      <c r="T3" s="26">
        <v>0</v>
      </c>
      <c r="U3" s="26">
        <v>0</v>
      </c>
      <c r="V3" s="26"/>
    </row>
    <row r="4" spans="1:24" x14ac:dyDescent="0.25">
      <c r="A4" t="str">
        <f t="shared" si="0"/>
        <v>34801</v>
      </c>
      <c r="B4" s="33">
        <v>113</v>
      </c>
      <c r="C4" t="str">
        <f t="shared" si="1"/>
        <v>14005</v>
      </c>
      <c r="D4" s="23" t="s">
        <v>2047</v>
      </c>
      <c r="E4" s="69" t="str">
        <f>"6788"</f>
        <v>6788</v>
      </c>
      <c r="F4" s="23" t="s">
        <v>2037</v>
      </c>
      <c r="G4" s="24" t="s">
        <v>2038</v>
      </c>
      <c r="H4" s="25" t="s">
        <v>2039</v>
      </c>
      <c r="I4" s="26" t="s">
        <v>2026</v>
      </c>
      <c r="J4" s="26" t="s">
        <v>2040</v>
      </c>
      <c r="K4" s="26" t="s">
        <v>2026</v>
      </c>
      <c r="L4" s="28" t="s">
        <v>2041</v>
      </c>
      <c r="M4" s="26" t="s">
        <v>2028</v>
      </c>
      <c r="N4" s="26">
        <v>5</v>
      </c>
      <c r="O4" s="26">
        <v>140</v>
      </c>
      <c r="P4" s="26">
        <v>0</v>
      </c>
      <c r="Q4" s="26">
        <v>10</v>
      </c>
      <c r="R4" s="26">
        <v>5</v>
      </c>
      <c r="S4" s="26">
        <v>5</v>
      </c>
      <c r="T4" s="26">
        <v>140</v>
      </c>
      <c r="U4" s="26">
        <v>0</v>
      </c>
      <c r="V4" s="26"/>
    </row>
    <row r="5" spans="1:24" x14ac:dyDescent="0.25">
      <c r="A5" t="str">
        <f t="shared" si="0"/>
        <v>34801</v>
      </c>
      <c r="B5" s="33">
        <v>113</v>
      </c>
      <c r="C5" t="str">
        <f t="shared" si="1"/>
        <v>14005</v>
      </c>
      <c r="D5" s="23" t="s">
        <v>2047</v>
      </c>
      <c r="E5" s="69" t="str">
        <f>"6789"</f>
        <v>6789</v>
      </c>
      <c r="F5" s="23" t="s">
        <v>2042</v>
      </c>
      <c r="G5" s="24" t="s">
        <v>2043</v>
      </c>
      <c r="H5" s="25" t="s">
        <v>2044</v>
      </c>
      <c r="I5" s="26" t="s">
        <v>2026</v>
      </c>
      <c r="J5" s="28" t="s">
        <v>2045</v>
      </c>
      <c r="K5" s="26" t="s">
        <v>2026</v>
      </c>
      <c r="L5" s="26" t="s">
        <v>2046</v>
      </c>
      <c r="M5" s="26" t="s">
        <v>2026</v>
      </c>
      <c r="N5" s="26">
        <v>7</v>
      </c>
      <c r="O5" s="26">
        <v>280</v>
      </c>
      <c r="P5" s="26">
        <v>0</v>
      </c>
      <c r="Q5" s="26">
        <v>120</v>
      </c>
      <c r="R5" s="26">
        <v>120</v>
      </c>
      <c r="S5" s="26">
        <v>6</v>
      </c>
      <c r="T5" s="26">
        <v>0</v>
      </c>
      <c r="U5" s="26">
        <v>0</v>
      </c>
      <c r="V5" s="26" t="s">
        <v>2048</v>
      </c>
    </row>
    <row r="6" spans="1:24" x14ac:dyDescent="0.25">
      <c r="A6" t="str">
        <f t="shared" si="0"/>
        <v>34801</v>
      </c>
      <c r="B6" s="33">
        <v>113</v>
      </c>
      <c r="C6" t="str">
        <f t="shared" si="1"/>
        <v>14005</v>
      </c>
      <c r="D6" s="23" t="s">
        <v>2047</v>
      </c>
      <c r="E6" s="69" t="str">
        <f>"6786"</f>
        <v>6786</v>
      </c>
      <c r="F6" s="23" t="s">
        <v>1890</v>
      </c>
      <c r="G6" s="24" t="s">
        <v>2029</v>
      </c>
      <c r="H6" s="25" t="s">
        <v>2030</v>
      </c>
      <c r="I6" s="26" t="s">
        <v>2026</v>
      </c>
      <c r="J6" s="26" t="s">
        <v>2031</v>
      </c>
      <c r="K6" s="26" t="s">
        <v>2026</v>
      </c>
      <c r="L6" s="28" t="s">
        <v>2032</v>
      </c>
      <c r="M6" s="26" t="s">
        <v>2028</v>
      </c>
      <c r="N6" s="26">
        <v>2</v>
      </c>
      <c r="O6" s="26">
        <v>0</v>
      </c>
      <c r="P6" s="26">
        <v>0</v>
      </c>
      <c r="Q6" s="26">
        <v>20</v>
      </c>
      <c r="R6" s="26">
        <v>20</v>
      </c>
      <c r="S6" s="26">
        <v>20</v>
      </c>
      <c r="T6" s="26">
        <v>0</v>
      </c>
      <c r="U6" s="26">
        <v>0</v>
      </c>
      <c r="V6" s="26"/>
    </row>
    <row r="7" spans="1:24" x14ac:dyDescent="0.25">
      <c r="A7" t="str">
        <f t="shared" ref="A7:A70" si="2">"32801"</f>
        <v>32801</v>
      </c>
      <c r="B7" s="33">
        <v>101</v>
      </c>
      <c r="C7" s="35">
        <v>22017</v>
      </c>
      <c r="D7" t="s">
        <v>2109</v>
      </c>
      <c r="E7" s="36">
        <v>2860</v>
      </c>
      <c r="F7" t="s">
        <v>2110</v>
      </c>
      <c r="G7" s="1"/>
      <c r="H7" s="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t="str">
        <f t="shared" si="2"/>
        <v>32801</v>
      </c>
      <c r="B8" s="34">
        <v>101</v>
      </c>
      <c r="C8" s="35">
        <v>1122</v>
      </c>
      <c r="D8" s="2" t="s">
        <v>2111</v>
      </c>
      <c r="E8" s="36">
        <v>3142</v>
      </c>
      <c r="F8" s="2" t="s">
        <v>2112</v>
      </c>
      <c r="G8" s="1"/>
      <c r="H8" s="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t="str">
        <f t="shared" si="2"/>
        <v>32801</v>
      </c>
      <c r="B9" s="34">
        <v>101</v>
      </c>
      <c r="C9" s="31" t="str">
        <f>"32356"</f>
        <v>32356</v>
      </c>
      <c r="D9" s="31" t="s">
        <v>19</v>
      </c>
      <c r="E9" s="34" t="str">
        <f>"3259"</f>
        <v>3259</v>
      </c>
      <c r="F9" s="31" t="s">
        <v>18</v>
      </c>
      <c r="G9" s="1"/>
      <c r="H9" s="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t="str">
        <f t="shared" si="2"/>
        <v>32801</v>
      </c>
      <c r="B10" s="34">
        <v>101</v>
      </c>
      <c r="C10" s="31" t="str">
        <f>"32356"</f>
        <v>32356</v>
      </c>
      <c r="D10" s="31" t="s">
        <v>19</v>
      </c>
      <c r="E10" s="34" t="str">
        <f>"3260"</f>
        <v>3260</v>
      </c>
      <c r="F10" s="31" t="s">
        <v>181</v>
      </c>
      <c r="G10" s="1"/>
      <c r="H10" s="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4" x14ac:dyDescent="0.25">
      <c r="A11" t="str">
        <f t="shared" si="2"/>
        <v>32801</v>
      </c>
      <c r="B11" s="34">
        <v>101</v>
      </c>
      <c r="C11" s="31" t="str">
        <f>"32356"</f>
        <v>32356</v>
      </c>
      <c r="D11" s="31" t="s">
        <v>19</v>
      </c>
      <c r="E11" s="34" t="str">
        <f>"2892"</f>
        <v>2892</v>
      </c>
      <c r="F11" s="31" t="s">
        <v>205</v>
      </c>
      <c r="G11" s="1"/>
      <c r="H11" s="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4" x14ac:dyDescent="0.25">
      <c r="A12" t="str">
        <f t="shared" si="2"/>
        <v>32801</v>
      </c>
      <c r="B12" s="34">
        <v>101</v>
      </c>
      <c r="C12" s="31" t="str">
        <f>"32356"</f>
        <v>32356</v>
      </c>
      <c r="D12" s="31" t="s">
        <v>19</v>
      </c>
      <c r="E12" s="34" t="str">
        <f>"5043"</f>
        <v>5043</v>
      </c>
      <c r="F12" s="31" t="s">
        <v>314</v>
      </c>
      <c r="G12" s="1"/>
      <c r="H12" s="1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t="str">
        <f t="shared" si="2"/>
        <v>32801</v>
      </c>
      <c r="B13" s="34">
        <v>101</v>
      </c>
      <c r="C13" s="31" t="str">
        <f>"32356"</f>
        <v>32356</v>
      </c>
      <c r="D13" s="31" t="s">
        <v>19</v>
      </c>
      <c r="E13" s="34" t="str">
        <f>"3065"</f>
        <v>3065</v>
      </c>
      <c r="F13" s="31" t="s">
        <v>315</v>
      </c>
      <c r="G13" s="1"/>
      <c r="H13" s="1"/>
      <c r="I13" s="9"/>
      <c r="J13" s="9"/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t="str">
        <f t="shared" si="2"/>
        <v>32801</v>
      </c>
      <c r="B14" s="33">
        <v>101</v>
      </c>
      <c r="D14" t="s">
        <v>2113</v>
      </c>
      <c r="E14" s="34"/>
      <c r="F14" t="s">
        <v>2113</v>
      </c>
      <c r="G14" s="1"/>
      <c r="H14" s="1"/>
      <c r="I14" s="9"/>
      <c r="J14" s="9"/>
      <c r="K14" s="9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t="str">
        <f t="shared" si="2"/>
        <v>32801</v>
      </c>
      <c r="B15" s="34">
        <v>101</v>
      </c>
      <c r="C15" s="31" t="str">
        <f t="shared" ref="C15:C38" si="3">"32356"</f>
        <v>32356</v>
      </c>
      <c r="D15" s="31" t="s">
        <v>19</v>
      </c>
      <c r="E15" s="34">
        <v>3065</v>
      </c>
      <c r="F15" s="31" t="s">
        <v>2114</v>
      </c>
      <c r="G15" s="1"/>
      <c r="H15" s="1"/>
      <c r="I15" s="9"/>
      <c r="J15" s="9"/>
      <c r="K15" s="9"/>
      <c r="L15" s="10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t="str">
        <f t="shared" si="2"/>
        <v>32801</v>
      </c>
      <c r="B16" s="34">
        <v>101</v>
      </c>
      <c r="C16" s="31" t="str">
        <f t="shared" si="3"/>
        <v>32356</v>
      </c>
      <c r="D16" s="31" t="s">
        <v>19</v>
      </c>
      <c r="E16" s="34" t="str">
        <f>"3929"</f>
        <v>3929</v>
      </c>
      <c r="F16" s="31" t="s">
        <v>346</v>
      </c>
      <c r="G16" s="1"/>
      <c r="H16" s="1"/>
      <c r="I16" s="9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t="str">
        <f t="shared" si="2"/>
        <v>32801</v>
      </c>
      <c r="B17" s="34">
        <v>101</v>
      </c>
      <c r="C17" s="31" t="str">
        <f t="shared" si="3"/>
        <v>32356</v>
      </c>
      <c r="D17" s="31" t="s">
        <v>19</v>
      </c>
      <c r="E17" s="34" t="str">
        <f>"3890"</f>
        <v>3890</v>
      </c>
      <c r="F17" s="31" t="s">
        <v>604</v>
      </c>
      <c r="G17" s="1"/>
      <c r="H17" s="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t="str">
        <f t="shared" si="2"/>
        <v>32801</v>
      </c>
      <c r="B18" s="34">
        <v>101</v>
      </c>
      <c r="C18" s="31" t="str">
        <f t="shared" si="3"/>
        <v>32356</v>
      </c>
      <c r="D18" s="31" t="s">
        <v>19</v>
      </c>
      <c r="E18" s="34" t="str">
        <f>"2157"</f>
        <v>2157</v>
      </c>
      <c r="F18" s="31" t="s">
        <v>751</v>
      </c>
      <c r="G18" s="1"/>
      <c r="H18" s="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t="str">
        <f t="shared" si="2"/>
        <v>32801</v>
      </c>
      <c r="B19" s="34">
        <v>101</v>
      </c>
      <c r="C19" s="31" t="str">
        <f t="shared" si="3"/>
        <v>32356</v>
      </c>
      <c r="D19" s="31" t="s">
        <v>19</v>
      </c>
      <c r="E19" s="34" t="str">
        <f>"3573"</f>
        <v>3573</v>
      </c>
      <c r="F19" s="31" t="s">
        <v>752</v>
      </c>
      <c r="G19" s="1"/>
      <c r="H19" s="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t="str">
        <f t="shared" si="2"/>
        <v>32801</v>
      </c>
      <c r="B20" s="34">
        <v>101</v>
      </c>
      <c r="C20" s="31" t="str">
        <f t="shared" si="3"/>
        <v>32356</v>
      </c>
      <c r="D20" s="31" t="s">
        <v>19</v>
      </c>
      <c r="E20" s="34" t="str">
        <f>"4185"</f>
        <v>4185</v>
      </c>
      <c r="F20" s="31" t="s">
        <v>846</v>
      </c>
      <c r="G20" s="1"/>
      <c r="H20" s="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t="str">
        <f t="shared" si="2"/>
        <v>32801</v>
      </c>
      <c r="B21" s="34">
        <v>101</v>
      </c>
      <c r="C21" s="31" t="str">
        <f t="shared" si="3"/>
        <v>32356</v>
      </c>
      <c r="D21" s="31" t="s">
        <v>19</v>
      </c>
      <c r="E21" s="34" t="str">
        <f>"5507"</f>
        <v>5507</v>
      </c>
      <c r="F21" s="31" t="s">
        <v>1043</v>
      </c>
      <c r="G21" s="1"/>
      <c r="H21" s="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t="str">
        <f t="shared" si="2"/>
        <v>32801</v>
      </c>
      <c r="B22" s="34">
        <v>101</v>
      </c>
      <c r="C22" s="31" t="str">
        <f t="shared" si="3"/>
        <v>32356</v>
      </c>
      <c r="D22" s="31" t="s">
        <v>19</v>
      </c>
      <c r="E22" s="34" t="str">
        <f>"4529"</f>
        <v>4529</v>
      </c>
      <c r="F22" s="31" t="s">
        <v>1048</v>
      </c>
      <c r="G22" s="1"/>
      <c r="H22" s="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t="str">
        <f t="shared" si="2"/>
        <v>32801</v>
      </c>
      <c r="B23" s="34">
        <v>101</v>
      </c>
      <c r="C23" s="31" t="str">
        <f t="shared" si="3"/>
        <v>32356</v>
      </c>
      <c r="D23" s="31" t="s">
        <v>19</v>
      </c>
      <c r="E23" s="34" t="str">
        <f>"3127"</f>
        <v>3127</v>
      </c>
      <c r="F23" s="31" t="s">
        <v>1155</v>
      </c>
      <c r="G23" s="1"/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t="str">
        <f t="shared" si="2"/>
        <v>32801</v>
      </c>
      <c r="B24" s="34">
        <v>101</v>
      </c>
      <c r="C24" s="31" t="str">
        <f t="shared" si="3"/>
        <v>32356</v>
      </c>
      <c r="D24" s="31" t="s">
        <v>19</v>
      </c>
      <c r="E24" s="34" t="str">
        <f>"3918"</f>
        <v>3918</v>
      </c>
      <c r="F24" s="31" t="s">
        <v>1194</v>
      </c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t="str">
        <f t="shared" si="2"/>
        <v>32801</v>
      </c>
      <c r="B25" s="34">
        <v>101</v>
      </c>
      <c r="C25" s="31" t="str">
        <f t="shared" si="3"/>
        <v>32356</v>
      </c>
      <c r="D25" s="31" t="s">
        <v>19</v>
      </c>
      <c r="E25" s="34" t="str">
        <f>"2776"</f>
        <v>2776</v>
      </c>
      <c r="F25" s="31" t="s">
        <v>1313</v>
      </c>
      <c r="G25" s="1"/>
      <c r="H25" s="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t="str">
        <f t="shared" si="2"/>
        <v>32801</v>
      </c>
      <c r="B26" s="34">
        <v>101</v>
      </c>
      <c r="C26" s="31" t="str">
        <f t="shared" si="3"/>
        <v>32356</v>
      </c>
      <c r="D26" s="31" t="s">
        <v>19</v>
      </c>
      <c r="E26" s="34" t="str">
        <f>"2113"</f>
        <v>2113</v>
      </c>
      <c r="F26" s="31" t="s">
        <v>1378</v>
      </c>
      <c r="G26" s="1"/>
      <c r="H26" s="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t="str">
        <f t="shared" si="2"/>
        <v>32801</v>
      </c>
      <c r="B27" s="34">
        <v>101</v>
      </c>
      <c r="C27" s="31" t="str">
        <f t="shared" si="3"/>
        <v>32356</v>
      </c>
      <c r="D27" s="31" t="s">
        <v>19</v>
      </c>
      <c r="E27" s="34" t="str">
        <f>"4098"</f>
        <v>4098</v>
      </c>
      <c r="F27" s="31" t="s">
        <v>1461</v>
      </c>
      <c r="G27" s="1"/>
      <c r="H27" s="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t="str">
        <f t="shared" si="2"/>
        <v>32801</v>
      </c>
      <c r="B28" s="34">
        <v>101</v>
      </c>
      <c r="C28" s="31" t="str">
        <f t="shared" si="3"/>
        <v>32356</v>
      </c>
      <c r="D28" s="31" t="s">
        <v>19</v>
      </c>
      <c r="E28" s="34" t="str">
        <f>"2953"</f>
        <v>2953</v>
      </c>
      <c r="F28" s="31" t="s">
        <v>1477</v>
      </c>
      <c r="G28" s="1"/>
      <c r="H28" s="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t="str">
        <f t="shared" si="2"/>
        <v>32801</v>
      </c>
      <c r="B29" s="34">
        <v>101</v>
      </c>
      <c r="C29" s="31" t="str">
        <f t="shared" si="3"/>
        <v>32356</v>
      </c>
      <c r="D29" s="31" t="s">
        <v>19</v>
      </c>
      <c r="E29" s="34">
        <v>5541</v>
      </c>
      <c r="F29" s="31" t="s">
        <v>2067</v>
      </c>
      <c r="G29" s="1"/>
      <c r="H29" s="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t="str">
        <f t="shared" si="2"/>
        <v>32801</v>
      </c>
      <c r="B30" s="34">
        <v>101</v>
      </c>
      <c r="C30" s="31" t="str">
        <f t="shared" si="3"/>
        <v>32356</v>
      </c>
      <c r="D30" s="31" t="s">
        <v>19</v>
      </c>
      <c r="E30" s="34">
        <v>5552</v>
      </c>
      <c r="F30" s="31" t="s">
        <v>1618</v>
      </c>
      <c r="G30" s="1"/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t="str">
        <f t="shared" si="2"/>
        <v>32801</v>
      </c>
      <c r="B31" s="34">
        <v>101</v>
      </c>
      <c r="C31" s="31" t="str">
        <f t="shared" si="3"/>
        <v>32356</v>
      </c>
      <c r="D31" s="31" t="s">
        <v>19</v>
      </c>
      <c r="E31" s="34" t="str">
        <f>"3307"</f>
        <v>3307</v>
      </c>
      <c r="F31" s="31" t="s">
        <v>1686</v>
      </c>
      <c r="G31" s="1"/>
      <c r="H31" s="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t="str">
        <f t="shared" si="2"/>
        <v>32801</v>
      </c>
      <c r="B32" s="34">
        <v>101</v>
      </c>
      <c r="C32" s="31" t="str">
        <f t="shared" si="3"/>
        <v>32356</v>
      </c>
      <c r="D32" s="31" t="s">
        <v>19</v>
      </c>
      <c r="E32" s="34" t="str">
        <f>"1964"</f>
        <v>1964</v>
      </c>
      <c r="F32" s="31" t="s">
        <v>1707</v>
      </c>
      <c r="G32" s="1"/>
      <c r="H32" s="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t="str">
        <f t="shared" si="2"/>
        <v>32801</v>
      </c>
      <c r="B33" s="34">
        <v>101</v>
      </c>
      <c r="C33" s="31" t="str">
        <f t="shared" si="3"/>
        <v>32356</v>
      </c>
      <c r="D33" s="31" t="s">
        <v>19</v>
      </c>
      <c r="E33" s="34" t="str">
        <f>"5278"</f>
        <v>5278</v>
      </c>
      <c r="F33" s="31" t="s">
        <v>1708</v>
      </c>
      <c r="G33" s="1"/>
      <c r="H33" s="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t="str">
        <f t="shared" si="2"/>
        <v>32801</v>
      </c>
      <c r="B34" s="34">
        <v>101</v>
      </c>
      <c r="C34" s="31" t="str">
        <f t="shared" si="3"/>
        <v>32356</v>
      </c>
      <c r="D34" s="31" t="s">
        <v>19</v>
      </c>
      <c r="E34" s="34">
        <v>5542</v>
      </c>
      <c r="F34" s="31" t="s">
        <v>2068</v>
      </c>
      <c r="G34" s="1"/>
      <c r="H34" s="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t="str">
        <f t="shared" si="2"/>
        <v>32801</v>
      </c>
      <c r="B35" s="34">
        <v>101</v>
      </c>
      <c r="C35" s="31" t="str">
        <f t="shared" si="3"/>
        <v>32356</v>
      </c>
      <c r="D35" s="31" t="s">
        <v>19</v>
      </c>
      <c r="E35" s="34" t="str">
        <f>"3465"</f>
        <v>3465</v>
      </c>
      <c r="F35" s="31" t="s">
        <v>1744</v>
      </c>
      <c r="G35" s="1"/>
      <c r="H35" s="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t="str">
        <f t="shared" si="2"/>
        <v>32801</v>
      </c>
      <c r="B36" s="34">
        <v>101</v>
      </c>
      <c r="C36" s="31" t="str">
        <f t="shared" si="3"/>
        <v>32356</v>
      </c>
      <c r="D36" s="31" t="s">
        <v>19</v>
      </c>
      <c r="E36" s="34" t="str">
        <f>"4160"</f>
        <v>4160</v>
      </c>
      <c r="F36" s="31" t="s">
        <v>1756</v>
      </c>
      <c r="G36" s="1"/>
      <c r="H36" s="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t="str">
        <f t="shared" si="2"/>
        <v>32801</v>
      </c>
      <c r="B37" s="34">
        <v>101</v>
      </c>
      <c r="C37" s="31" t="str">
        <f t="shared" si="3"/>
        <v>32356</v>
      </c>
      <c r="D37" s="31" t="s">
        <v>19</v>
      </c>
      <c r="E37" s="34" t="str">
        <f>"3064"</f>
        <v>3064</v>
      </c>
      <c r="F37" s="31" t="s">
        <v>1838</v>
      </c>
      <c r="G37" s="1"/>
      <c r="H37" s="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t="str">
        <f t="shared" si="2"/>
        <v>32801</v>
      </c>
      <c r="B38" s="34">
        <v>101</v>
      </c>
      <c r="C38" s="31" t="str">
        <f t="shared" si="3"/>
        <v>32356</v>
      </c>
      <c r="D38" s="31" t="s">
        <v>19</v>
      </c>
      <c r="E38" s="34" t="str">
        <f>"3415"</f>
        <v>3415</v>
      </c>
      <c r="F38" s="31" t="s">
        <v>1839</v>
      </c>
      <c r="G38" s="1"/>
      <c r="H38" s="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t="str">
        <f t="shared" si="2"/>
        <v>32801</v>
      </c>
      <c r="B39" s="34">
        <v>101</v>
      </c>
      <c r="C39" s="35">
        <v>32360</v>
      </c>
      <c r="D39" s="2" t="s">
        <v>150</v>
      </c>
      <c r="E39" s="36">
        <v>2954</v>
      </c>
      <c r="F39" s="2" t="s">
        <v>151</v>
      </c>
      <c r="G39" s="1"/>
      <c r="H39" s="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t="str">
        <f t="shared" si="2"/>
        <v>32801</v>
      </c>
      <c r="B40" s="34">
        <v>101</v>
      </c>
      <c r="C40" s="35">
        <v>32360</v>
      </c>
      <c r="D40" s="2" t="s">
        <v>150</v>
      </c>
      <c r="E40" s="36">
        <v>3610</v>
      </c>
      <c r="F40" s="2" t="s">
        <v>341</v>
      </c>
      <c r="G40" s="1"/>
      <c r="H40" s="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5">
      <c r="A41" t="str">
        <f t="shared" si="2"/>
        <v>32801</v>
      </c>
      <c r="B41" s="34">
        <v>101</v>
      </c>
      <c r="C41" s="35">
        <v>32360</v>
      </c>
      <c r="D41" s="2" t="s">
        <v>150</v>
      </c>
      <c r="E41" s="36">
        <v>2447</v>
      </c>
      <c r="F41" s="2" t="s">
        <v>342</v>
      </c>
      <c r="G41" s="1"/>
      <c r="H41" s="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A42" t="str">
        <f t="shared" si="2"/>
        <v>32801</v>
      </c>
      <c r="B42" s="34">
        <v>101</v>
      </c>
      <c r="C42" s="35">
        <v>32360</v>
      </c>
      <c r="D42" s="2" t="s">
        <v>150</v>
      </c>
      <c r="E42" s="36">
        <v>5035</v>
      </c>
      <c r="F42" s="2" t="s">
        <v>838</v>
      </c>
      <c r="G42" s="1"/>
      <c r="H42" s="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t="str">
        <f t="shared" si="2"/>
        <v>32801</v>
      </c>
      <c r="B43" s="34">
        <v>101</v>
      </c>
      <c r="C43" s="35">
        <v>32360</v>
      </c>
      <c r="D43" s="2" t="s">
        <v>150</v>
      </c>
      <c r="E43" s="36">
        <v>5294</v>
      </c>
      <c r="F43" s="2" t="s">
        <v>1439</v>
      </c>
      <c r="G43" s="1"/>
      <c r="H43" s="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t="str">
        <f t="shared" si="2"/>
        <v>32801</v>
      </c>
      <c r="B44" s="34">
        <v>101</v>
      </c>
      <c r="C44" s="35">
        <v>32360</v>
      </c>
      <c r="D44" s="2" t="s">
        <v>150</v>
      </c>
      <c r="E44" s="36">
        <v>3761</v>
      </c>
      <c r="F44" s="2" t="s">
        <v>1586</v>
      </c>
      <c r="G44" s="1"/>
      <c r="H44" s="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t="str">
        <f t="shared" si="2"/>
        <v>32801</v>
      </c>
      <c r="B45" s="34">
        <v>101</v>
      </c>
      <c r="C45" s="35">
        <v>32360</v>
      </c>
      <c r="D45" s="2" t="s">
        <v>150</v>
      </c>
      <c r="E45" s="36">
        <v>2814</v>
      </c>
      <c r="F45" s="2" t="s">
        <v>1758</v>
      </c>
      <c r="G45" s="1"/>
      <c r="H45" s="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t="str">
        <f t="shared" si="2"/>
        <v>32801</v>
      </c>
      <c r="B46" s="34">
        <v>101</v>
      </c>
      <c r="C46" s="35">
        <v>32360</v>
      </c>
      <c r="D46" s="2" t="s">
        <v>150</v>
      </c>
      <c r="E46" s="36">
        <v>1769</v>
      </c>
      <c r="F46" s="2" t="s">
        <v>1792</v>
      </c>
      <c r="G46" s="1"/>
      <c r="H46" s="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t="str">
        <f t="shared" si="2"/>
        <v>32801</v>
      </c>
      <c r="B47" s="34">
        <v>101</v>
      </c>
      <c r="C47" s="35">
        <v>32360</v>
      </c>
      <c r="D47" s="2" t="s">
        <v>150</v>
      </c>
      <c r="E47" s="36">
        <v>5269</v>
      </c>
      <c r="F47" s="2" t="s">
        <v>1924</v>
      </c>
      <c r="G47" s="1"/>
      <c r="H47" s="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t="str">
        <f t="shared" si="2"/>
        <v>32801</v>
      </c>
      <c r="B48" s="34">
        <v>101</v>
      </c>
      <c r="C48" s="35">
        <v>32360</v>
      </c>
      <c r="D48" s="2" t="s">
        <v>150</v>
      </c>
      <c r="E48" s="36">
        <v>3309</v>
      </c>
      <c r="F48" s="2" t="s">
        <v>1959</v>
      </c>
      <c r="G48" s="1"/>
      <c r="H48" s="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t="str">
        <f t="shared" si="2"/>
        <v>32801</v>
      </c>
      <c r="B49" s="34">
        <v>101</v>
      </c>
      <c r="C49" s="35">
        <v>33036</v>
      </c>
      <c r="D49" s="31" t="s">
        <v>702</v>
      </c>
      <c r="E49" s="36">
        <v>2664</v>
      </c>
      <c r="F49" s="31" t="s">
        <v>703</v>
      </c>
      <c r="G49" s="1"/>
      <c r="H49" s="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t="str">
        <f t="shared" si="2"/>
        <v>32801</v>
      </c>
      <c r="B50" s="34">
        <v>101</v>
      </c>
      <c r="C50" s="35">
        <v>33036</v>
      </c>
      <c r="D50" s="31" t="s">
        <v>702</v>
      </c>
      <c r="E50" s="36">
        <v>2404</v>
      </c>
      <c r="F50" s="31" t="s">
        <v>900</v>
      </c>
      <c r="G50" s="1"/>
      <c r="H50" s="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t="str">
        <f t="shared" si="2"/>
        <v>32801</v>
      </c>
      <c r="B51" s="34">
        <v>101</v>
      </c>
      <c r="C51" s="35">
        <v>33036</v>
      </c>
      <c r="D51" s="31" t="s">
        <v>702</v>
      </c>
      <c r="E51" s="36">
        <v>1763</v>
      </c>
      <c r="F51" s="31" t="s">
        <v>2069</v>
      </c>
      <c r="G51" s="1"/>
      <c r="H51" s="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t="str">
        <f t="shared" si="2"/>
        <v>32801</v>
      </c>
      <c r="B52" s="33">
        <v>101</v>
      </c>
      <c r="C52" s="35">
        <v>38300</v>
      </c>
      <c r="D52" t="s">
        <v>382</v>
      </c>
      <c r="E52" s="36">
        <v>3366</v>
      </c>
      <c r="F52" t="s">
        <v>383</v>
      </c>
      <c r="G52" s="1"/>
      <c r="H52" s="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t="str">
        <f t="shared" si="2"/>
        <v>32801</v>
      </c>
      <c r="B53" s="33">
        <v>101</v>
      </c>
      <c r="C53" s="35">
        <v>38300</v>
      </c>
      <c r="D53" t="s">
        <v>382</v>
      </c>
      <c r="E53" s="36">
        <v>2894</v>
      </c>
      <c r="F53" t="s">
        <v>1029</v>
      </c>
      <c r="G53" s="1"/>
      <c r="H53" s="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t="str">
        <f t="shared" si="2"/>
        <v>32801</v>
      </c>
      <c r="B54" s="33">
        <v>101</v>
      </c>
      <c r="C54" s="35">
        <v>38306</v>
      </c>
      <c r="D54" t="s">
        <v>2115</v>
      </c>
      <c r="E54" s="36">
        <v>2588</v>
      </c>
      <c r="F54" t="s">
        <v>2116</v>
      </c>
      <c r="G54" s="1"/>
      <c r="H54" s="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t="str">
        <f t="shared" si="2"/>
        <v>32801</v>
      </c>
      <c r="B55" s="33">
        <v>101</v>
      </c>
      <c r="C55" s="35">
        <v>33206</v>
      </c>
      <c r="D55" t="s">
        <v>396</v>
      </c>
      <c r="E55" s="36">
        <v>3508</v>
      </c>
      <c r="F55" t="s">
        <v>2117</v>
      </c>
      <c r="G55" s="1"/>
      <c r="H55" s="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t="str">
        <f t="shared" si="2"/>
        <v>32801</v>
      </c>
      <c r="B56" s="34">
        <v>101</v>
      </c>
      <c r="C56" s="35">
        <v>33115</v>
      </c>
      <c r="D56" s="31" t="s">
        <v>409</v>
      </c>
      <c r="E56" s="36">
        <v>3831</v>
      </c>
      <c r="F56" s="31" t="s">
        <v>410</v>
      </c>
      <c r="G56" s="1"/>
      <c r="H56" s="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t="str">
        <f t="shared" si="2"/>
        <v>32801</v>
      </c>
      <c r="B57" s="34">
        <v>101</v>
      </c>
      <c r="C57" s="35">
        <v>33115</v>
      </c>
      <c r="D57" s="31" t="s">
        <v>409</v>
      </c>
      <c r="E57" s="36">
        <v>3310</v>
      </c>
      <c r="F57" s="31" t="s">
        <v>411</v>
      </c>
      <c r="G57" s="1"/>
      <c r="H57" s="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t="str">
        <f t="shared" si="2"/>
        <v>32801</v>
      </c>
      <c r="B58" s="34">
        <v>101</v>
      </c>
      <c r="C58" s="35">
        <v>33115</v>
      </c>
      <c r="D58" s="31" t="s">
        <v>409</v>
      </c>
      <c r="E58" s="36">
        <v>4180</v>
      </c>
      <c r="F58" s="31" t="s">
        <v>650</v>
      </c>
      <c r="G58" s="1"/>
      <c r="H58" s="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t="str">
        <f t="shared" si="2"/>
        <v>32801</v>
      </c>
      <c r="B59" s="34">
        <v>101</v>
      </c>
      <c r="C59" s="35">
        <v>33115</v>
      </c>
      <c r="D59" s="31" t="s">
        <v>409</v>
      </c>
      <c r="E59" s="36">
        <v>2957</v>
      </c>
      <c r="F59" s="31" t="s">
        <v>829</v>
      </c>
      <c r="G59" s="1"/>
      <c r="H59" s="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t="str">
        <f t="shared" si="2"/>
        <v>32801</v>
      </c>
      <c r="B60" s="34">
        <v>101</v>
      </c>
      <c r="C60" s="35">
        <v>33115</v>
      </c>
      <c r="D60" s="31" t="s">
        <v>409</v>
      </c>
      <c r="E60" s="36">
        <v>1594</v>
      </c>
      <c r="F60" s="31" t="s">
        <v>1410</v>
      </c>
      <c r="G60" s="1"/>
      <c r="H60" s="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t="str">
        <f t="shared" si="2"/>
        <v>32801</v>
      </c>
      <c r="B61" s="33">
        <v>101</v>
      </c>
      <c r="C61" s="35">
        <v>22073</v>
      </c>
      <c r="D61" t="s">
        <v>450</v>
      </c>
      <c r="E61" s="36">
        <v>2862</v>
      </c>
      <c r="F61" t="s">
        <v>2118</v>
      </c>
      <c r="G61" s="1"/>
      <c r="H61" s="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t="str">
        <f t="shared" si="2"/>
        <v>32801</v>
      </c>
      <c r="B62" s="34">
        <v>101</v>
      </c>
      <c r="C62" s="35">
        <v>10050</v>
      </c>
      <c r="D62" s="2" t="s">
        <v>458</v>
      </c>
      <c r="E62" s="36">
        <v>2006</v>
      </c>
      <c r="F62" s="2" t="s">
        <v>459</v>
      </c>
      <c r="G62" s="1"/>
      <c r="H62" s="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5">
      <c r="A63" t="str">
        <f t="shared" si="2"/>
        <v>32801</v>
      </c>
      <c r="B63" s="33">
        <v>101</v>
      </c>
      <c r="C63" s="35">
        <v>26059</v>
      </c>
      <c r="D63" t="s">
        <v>145</v>
      </c>
      <c r="E63" s="36">
        <v>2770</v>
      </c>
      <c r="F63" t="s">
        <v>146</v>
      </c>
      <c r="G63" s="1"/>
      <c r="H63" s="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5">
      <c r="A64" t="str">
        <f t="shared" si="2"/>
        <v>32801</v>
      </c>
      <c r="B64" s="33">
        <v>101</v>
      </c>
      <c r="C64" s="35">
        <v>26059</v>
      </c>
      <c r="D64" t="s">
        <v>145</v>
      </c>
      <c r="E64" s="36">
        <v>2423</v>
      </c>
      <c r="F64" t="s">
        <v>462</v>
      </c>
      <c r="G64" s="1"/>
      <c r="H64" s="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t="str">
        <f t="shared" si="2"/>
        <v>32801</v>
      </c>
      <c r="B65" s="33">
        <v>101</v>
      </c>
      <c r="C65" t="str">
        <f>"26059"</f>
        <v>26059</v>
      </c>
      <c r="D65" t="s">
        <v>145</v>
      </c>
      <c r="E65" s="33" t="str">
        <f>"5538"</f>
        <v>5538</v>
      </c>
      <c r="F65" t="s">
        <v>2119</v>
      </c>
      <c r="G65" s="1"/>
      <c r="H65" s="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5">
      <c r="A66" t="str">
        <f t="shared" si="2"/>
        <v>32801</v>
      </c>
      <c r="B66" s="33">
        <v>101</v>
      </c>
      <c r="C66" t="str">
        <f>"26059"</f>
        <v>26059</v>
      </c>
      <c r="D66" t="s">
        <v>145</v>
      </c>
      <c r="E66" s="33" t="str">
        <f>"5539"</f>
        <v>5539</v>
      </c>
      <c r="F66" t="s">
        <v>2120</v>
      </c>
      <c r="G66" s="1"/>
      <c r="H66" s="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5">
      <c r="A67" t="str">
        <f t="shared" si="2"/>
        <v>32801</v>
      </c>
      <c r="B67" s="33">
        <v>101</v>
      </c>
      <c r="C67" s="35">
        <v>22207</v>
      </c>
      <c r="D67" t="s">
        <v>470</v>
      </c>
      <c r="E67" s="36">
        <v>2668</v>
      </c>
      <c r="F67" t="s">
        <v>471</v>
      </c>
      <c r="G67" s="1"/>
      <c r="H67" s="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t="str">
        <f t="shared" si="2"/>
        <v>32801</v>
      </c>
      <c r="B68" s="33">
        <v>101</v>
      </c>
      <c r="C68" s="35">
        <v>22207</v>
      </c>
      <c r="D68" t="s">
        <v>470</v>
      </c>
      <c r="E68" s="36">
        <v>3173</v>
      </c>
      <c r="F68" t="s">
        <v>472</v>
      </c>
      <c r="G68" s="1"/>
      <c r="H68" s="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t="str">
        <f t="shared" si="2"/>
        <v>32801</v>
      </c>
      <c r="B69" s="33">
        <v>101</v>
      </c>
      <c r="C69" s="35">
        <v>32414</v>
      </c>
      <c r="D69" t="s">
        <v>69</v>
      </c>
      <c r="E69" s="36">
        <v>2173</v>
      </c>
      <c r="F69" t="s">
        <v>70</v>
      </c>
      <c r="G69" s="1"/>
      <c r="H69" s="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t="str">
        <f t="shared" si="2"/>
        <v>32801</v>
      </c>
      <c r="B70" s="33">
        <v>101</v>
      </c>
      <c r="C70" s="35">
        <v>32414</v>
      </c>
      <c r="D70" t="s">
        <v>69</v>
      </c>
      <c r="E70" s="36">
        <v>2430</v>
      </c>
      <c r="F70" t="s">
        <v>489</v>
      </c>
      <c r="G70" s="1"/>
      <c r="H70" s="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t="str">
        <f t="shared" ref="A71:A134" si="4">"32801"</f>
        <v>32801</v>
      </c>
      <c r="B71" s="33">
        <v>101</v>
      </c>
      <c r="C71" s="35">
        <v>32414</v>
      </c>
      <c r="D71" t="s">
        <v>69</v>
      </c>
      <c r="E71" s="36">
        <v>4123</v>
      </c>
      <c r="F71" t="s">
        <v>490</v>
      </c>
      <c r="G71" s="1"/>
      <c r="H71" s="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5">
      <c r="A72" t="str">
        <f t="shared" si="4"/>
        <v>32801</v>
      </c>
      <c r="B72" s="33">
        <v>101</v>
      </c>
      <c r="C72" s="35">
        <v>32414</v>
      </c>
      <c r="D72" t="s">
        <v>69</v>
      </c>
      <c r="E72" s="36">
        <v>1852</v>
      </c>
      <c r="F72" t="s">
        <v>491</v>
      </c>
      <c r="G72" s="1"/>
      <c r="H72" s="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25">
      <c r="A73" t="str">
        <f t="shared" si="4"/>
        <v>32801</v>
      </c>
      <c r="B73" s="33">
        <v>101</v>
      </c>
      <c r="C73" s="35">
        <v>32414</v>
      </c>
      <c r="D73" t="s">
        <v>69</v>
      </c>
      <c r="E73" s="36">
        <v>3261</v>
      </c>
      <c r="F73" t="s">
        <v>492</v>
      </c>
      <c r="G73" s="1"/>
      <c r="H73" s="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25">
      <c r="A74" t="str">
        <f t="shared" si="4"/>
        <v>32801</v>
      </c>
      <c r="B74" s="34">
        <v>101</v>
      </c>
      <c r="C74" s="31" t="str">
        <f t="shared" ref="C74:C81" si="5">"32361"</f>
        <v>32361</v>
      </c>
      <c r="D74" s="31" t="s">
        <v>421</v>
      </c>
      <c r="E74" s="34" t="str">
        <f>"1712"</f>
        <v>1712</v>
      </c>
      <c r="F74" s="31" t="s">
        <v>422</v>
      </c>
      <c r="G74" s="1"/>
      <c r="H74" s="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25">
      <c r="A75" t="str">
        <f t="shared" si="4"/>
        <v>32801</v>
      </c>
      <c r="B75" s="34">
        <v>101</v>
      </c>
      <c r="C75" s="31" t="str">
        <f t="shared" si="5"/>
        <v>32361</v>
      </c>
      <c r="D75" s="31" t="s">
        <v>421</v>
      </c>
      <c r="E75" s="34" t="str">
        <f>"4097"</f>
        <v>4097</v>
      </c>
      <c r="F75" t="s">
        <v>2121</v>
      </c>
      <c r="G75" s="1"/>
      <c r="H75" s="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25">
      <c r="A76" t="str">
        <f t="shared" si="4"/>
        <v>32801</v>
      </c>
      <c r="B76" s="34">
        <v>101</v>
      </c>
      <c r="C76" s="31" t="str">
        <f t="shared" si="5"/>
        <v>32361</v>
      </c>
      <c r="D76" s="31" t="s">
        <v>421</v>
      </c>
      <c r="E76" s="34" t="str">
        <f>"3360"</f>
        <v>3360</v>
      </c>
      <c r="F76" s="31" t="s">
        <v>536</v>
      </c>
      <c r="G76" s="1"/>
      <c r="H76" s="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25">
      <c r="A77" t="str">
        <f t="shared" si="4"/>
        <v>32801</v>
      </c>
      <c r="B77" s="34">
        <v>101</v>
      </c>
      <c r="C77" s="31" t="str">
        <f t="shared" si="5"/>
        <v>32361</v>
      </c>
      <c r="D77" s="31" t="s">
        <v>421</v>
      </c>
      <c r="E77" s="34" t="str">
        <f>"5346"</f>
        <v>5346</v>
      </c>
      <c r="F77" s="31" t="s">
        <v>537</v>
      </c>
      <c r="G77" s="1"/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25">
      <c r="A78" t="str">
        <f t="shared" si="4"/>
        <v>32801</v>
      </c>
      <c r="B78" s="34">
        <v>101</v>
      </c>
      <c r="C78" s="31" t="str">
        <f t="shared" si="5"/>
        <v>32361</v>
      </c>
      <c r="D78" s="31" t="s">
        <v>421</v>
      </c>
      <c r="E78" s="34" t="str">
        <f>"5433"</f>
        <v>5433</v>
      </c>
      <c r="F78" s="31" t="s">
        <v>1995</v>
      </c>
      <c r="G78" s="1"/>
      <c r="H78" s="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x14ac:dyDescent="0.25">
      <c r="A79" t="str">
        <f t="shared" si="4"/>
        <v>32801</v>
      </c>
      <c r="B79" s="34">
        <v>101</v>
      </c>
      <c r="C79" s="31" t="str">
        <f t="shared" si="5"/>
        <v>32361</v>
      </c>
      <c r="D79" s="31" t="s">
        <v>421</v>
      </c>
      <c r="E79" s="34" t="str">
        <f>"2955"</f>
        <v>2955</v>
      </c>
      <c r="F79" s="31" t="s">
        <v>1398</v>
      </c>
      <c r="G79" s="1"/>
      <c r="H79" s="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25">
      <c r="A80" t="str">
        <f t="shared" si="4"/>
        <v>32801</v>
      </c>
      <c r="B80" s="34">
        <v>101</v>
      </c>
      <c r="C80" s="31" t="str">
        <f t="shared" si="5"/>
        <v>32361</v>
      </c>
      <c r="D80" s="31" t="s">
        <v>421</v>
      </c>
      <c r="E80" s="34" t="str">
        <f>"2653"</f>
        <v>2653</v>
      </c>
      <c r="F80" s="31" t="s">
        <v>1819</v>
      </c>
      <c r="G80" s="1"/>
      <c r="H80" s="1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25">
      <c r="A81" t="str">
        <f t="shared" si="4"/>
        <v>32801</v>
      </c>
      <c r="B81" s="34">
        <v>101</v>
      </c>
      <c r="C81" s="31" t="str">
        <f t="shared" si="5"/>
        <v>32361</v>
      </c>
      <c r="D81" s="31" t="s">
        <v>421</v>
      </c>
      <c r="E81" s="34" t="str">
        <f>"3128"</f>
        <v>3128</v>
      </c>
      <c r="F81" s="31" t="s">
        <v>1820</v>
      </c>
      <c r="G81" s="1"/>
      <c r="H81" s="1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25">
      <c r="A82" t="str">
        <f t="shared" si="4"/>
        <v>32801</v>
      </c>
      <c r="B82" s="33">
        <v>101</v>
      </c>
      <c r="C82" s="35">
        <v>38308</v>
      </c>
      <c r="D82" t="s">
        <v>2122</v>
      </c>
      <c r="E82" s="36">
        <v>2207</v>
      </c>
      <c r="F82" t="s">
        <v>2123</v>
      </c>
      <c r="G82" s="1"/>
      <c r="H82" s="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25">
      <c r="A83" t="str">
        <f t="shared" si="4"/>
        <v>32801</v>
      </c>
      <c r="B83" s="33">
        <v>101</v>
      </c>
      <c r="C83" s="35">
        <v>33205</v>
      </c>
      <c r="D83" t="s">
        <v>2124</v>
      </c>
      <c r="E83" s="36">
        <v>3197</v>
      </c>
      <c r="F83" t="s">
        <v>2125</v>
      </c>
      <c r="G83" s="1"/>
      <c r="H83" s="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25">
      <c r="A84" t="str">
        <f t="shared" si="4"/>
        <v>32801</v>
      </c>
      <c r="B84" s="34">
        <v>101</v>
      </c>
      <c r="C84" s="34" t="str">
        <f>"32358"</f>
        <v>32358</v>
      </c>
      <c r="D84" s="2" t="s">
        <v>667</v>
      </c>
      <c r="E84" s="34" t="str">
        <f>"3794"</f>
        <v>3794</v>
      </c>
      <c r="F84" s="2" t="s">
        <v>668</v>
      </c>
      <c r="G84" s="1"/>
      <c r="H84" s="1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25">
      <c r="A85" t="str">
        <f t="shared" si="4"/>
        <v>32801</v>
      </c>
      <c r="B85" s="34">
        <v>101</v>
      </c>
      <c r="C85" s="34" t="str">
        <f>"32358"</f>
        <v>32358</v>
      </c>
      <c r="D85" s="2" t="s">
        <v>667</v>
      </c>
      <c r="E85" s="34" t="str">
        <f>"3192"</f>
        <v>3192</v>
      </c>
      <c r="F85" s="2" t="s">
        <v>669</v>
      </c>
      <c r="G85" s="1"/>
      <c r="H85" s="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25">
      <c r="A86" t="str">
        <f t="shared" si="4"/>
        <v>32801</v>
      </c>
      <c r="B86" s="34">
        <v>101</v>
      </c>
      <c r="C86" s="34" t="str">
        <f>"32358"</f>
        <v>32358</v>
      </c>
      <c r="D86" s="2" t="s">
        <v>667</v>
      </c>
      <c r="E86" s="34" t="str">
        <f>"4593"</f>
        <v>4593</v>
      </c>
      <c r="F86" s="2" t="s">
        <v>670</v>
      </c>
      <c r="G86" s="1"/>
      <c r="H86" s="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25">
      <c r="A87" t="str">
        <f t="shared" si="4"/>
        <v>32801</v>
      </c>
      <c r="B87" s="34">
        <v>101</v>
      </c>
      <c r="C87" s="31" t="str">
        <f>"38302"</f>
        <v>38302</v>
      </c>
      <c r="D87" s="31" t="s">
        <v>683</v>
      </c>
      <c r="E87" s="34" t="str">
        <f>"2895"</f>
        <v>2895</v>
      </c>
      <c r="F87" s="31" t="s">
        <v>684</v>
      </c>
      <c r="G87" s="1"/>
      <c r="H87" s="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25">
      <c r="A88" t="str">
        <f t="shared" si="4"/>
        <v>32801</v>
      </c>
      <c r="B88" s="34">
        <v>101</v>
      </c>
      <c r="C88" s="31" t="str">
        <f>"38302"</f>
        <v>38302</v>
      </c>
      <c r="D88" s="31" t="s">
        <v>683</v>
      </c>
      <c r="E88" s="34" t="str">
        <f>"2896"</f>
        <v>2896</v>
      </c>
      <c r="F88" s="31" t="s">
        <v>687</v>
      </c>
      <c r="G88" s="1"/>
      <c r="H88" s="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25">
      <c r="A89" t="str">
        <f t="shared" si="4"/>
        <v>32801</v>
      </c>
      <c r="B89" s="34">
        <v>101</v>
      </c>
      <c r="C89" s="35">
        <v>32312</v>
      </c>
      <c r="D89" s="2" t="s">
        <v>2126</v>
      </c>
      <c r="E89" s="36">
        <v>2097</v>
      </c>
      <c r="F89" s="2" t="s">
        <v>2127</v>
      </c>
      <c r="G89" s="1"/>
      <c r="H89" s="1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25">
      <c r="A90" t="str">
        <f t="shared" si="4"/>
        <v>32801</v>
      </c>
      <c r="B90" s="34">
        <v>101</v>
      </c>
      <c r="C90" s="35">
        <v>22204</v>
      </c>
      <c r="D90" s="2" t="s">
        <v>778</v>
      </c>
      <c r="E90" s="36">
        <v>2743</v>
      </c>
      <c r="F90" s="2" t="s">
        <v>2128</v>
      </c>
      <c r="G90" s="1"/>
      <c r="H90" s="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25">
      <c r="A91" t="str">
        <f t="shared" si="4"/>
        <v>32801</v>
      </c>
      <c r="B91" s="33">
        <v>101</v>
      </c>
      <c r="C91" s="35">
        <v>10070</v>
      </c>
      <c r="D91" t="s">
        <v>864</v>
      </c>
      <c r="E91" s="36">
        <v>4215</v>
      </c>
      <c r="F91" t="s">
        <v>2129</v>
      </c>
      <c r="G91" s="1"/>
      <c r="H91" s="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25">
      <c r="A92" t="str">
        <f t="shared" si="4"/>
        <v>32801</v>
      </c>
      <c r="B92" s="33">
        <v>101</v>
      </c>
      <c r="C92" s="35">
        <v>10003</v>
      </c>
      <c r="D92" t="s">
        <v>924</v>
      </c>
      <c r="E92" s="36">
        <v>2602</v>
      </c>
      <c r="F92" s="2" t="s">
        <v>2130</v>
      </c>
      <c r="G92" s="1"/>
      <c r="H92" s="1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25">
      <c r="A93" t="str">
        <f t="shared" si="4"/>
        <v>32801</v>
      </c>
      <c r="B93" s="33">
        <v>101</v>
      </c>
      <c r="C93" s="35">
        <v>33212</v>
      </c>
      <c r="D93" t="s">
        <v>943</v>
      </c>
      <c r="E93" s="36">
        <v>2385</v>
      </c>
      <c r="F93" t="s">
        <v>944</v>
      </c>
      <c r="G93" s="1"/>
      <c r="H93" s="1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25">
      <c r="A94" t="str">
        <f t="shared" si="4"/>
        <v>32801</v>
      </c>
      <c r="B94" s="33">
        <v>101</v>
      </c>
      <c r="C94" s="35">
        <v>33212</v>
      </c>
      <c r="D94" t="s">
        <v>943</v>
      </c>
      <c r="E94" s="36">
        <v>4206</v>
      </c>
      <c r="F94" t="s">
        <v>945</v>
      </c>
      <c r="G94" s="1"/>
      <c r="H94" s="1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25">
      <c r="A95" t="str">
        <f t="shared" si="4"/>
        <v>32801</v>
      </c>
      <c r="B95" s="33">
        <v>101</v>
      </c>
      <c r="C95" s="35">
        <v>33212</v>
      </c>
      <c r="D95" t="s">
        <v>943</v>
      </c>
      <c r="E95" s="36">
        <v>3198</v>
      </c>
      <c r="F95" t="s">
        <v>946</v>
      </c>
      <c r="G95" s="11"/>
      <c r="H95" s="1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x14ac:dyDescent="0.25">
      <c r="A96" t="str">
        <f t="shared" si="4"/>
        <v>32801</v>
      </c>
      <c r="B96" s="33">
        <v>101</v>
      </c>
      <c r="C96" s="35">
        <v>38126</v>
      </c>
      <c r="D96" t="s">
        <v>982</v>
      </c>
      <c r="E96" s="36">
        <v>2087</v>
      </c>
      <c r="F96" t="s">
        <v>2131</v>
      </c>
      <c r="G96" s="1"/>
      <c r="H96" s="1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25">
      <c r="A97" t="str">
        <f t="shared" si="4"/>
        <v>32801</v>
      </c>
      <c r="B97" s="34">
        <v>101</v>
      </c>
      <c r="C97" s="35">
        <v>38264</v>
      </c>
      <c r="D97" s="2" t="s">
        <v>2132</v>
      </c>
      <c r="E97" s="36">
        <v>3137</v>
      </c>
      <c r="F97" s="2" t="s">
        <v>2133</v>
      </c>
      <c r="G97" s="1"/>
      <c r="H97" s="1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25">
      <c r="A98" t="str">
        <f t="shared" si="4"/>
        <v>32801</v>
      </c>
      <c r="B98" s="34">
        <v>101</v>
      </c>
      <c r="C98" s="35">
        <v>32362</v>
      </c>
      <c r="D98" s="31" t="s">
        <v>1045</v>
      </c>
      <c r="E98" s="36">
        <v>3416</v>
      </c>
      <c r="F98" s="31" t="s">
        <v>1046</v>
      </c>
      <c r="G98" s="1"/>
      <c r="H98" s="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25">
      <c r="A99" t="str">
        <f t="shared" si="4"/>
        <v>32801</v>
      </c>
      <c r="B99" s="34">
        <v>101</v>
      </c>
      <c r="C99" s="35">
        <v>32362</v>
      </c>
      <c r="D99" s="31" t="s">
        <v>1045</v>
      </c>
      <c r="E99" s="36">
        <v>4226</v>
      </c>
      <c r="F99" s="31" t="s">
        <v>1047</v>
      </c>
      <c r="G99" s="1"/>
      <c r="H99" s="1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5">
      <c r="A100" t="str">
        <f t="shared" si="4"/>
        <v>32801</v>
      </c>
      <c r="B100" s="33">
        <v>101</v>
      </c>
      <c r="C100" s="35">
        <v>1158</v>
      </c>
      <c r="D100" t="s">
        <v>1062</v>
      </c>
      <c r="E100" s="36">
        <v>3421</v>
      </c>
      <c r="F100" t="s">
        <v>1063</v>
      </c>
      <c r="G100" s="1"/>
      <c r="H100" s="1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5">
      <c r="A101" t="str">
        <f t="shared" si="4"/>
        <v>32801</v>
      </c>
      <c r="B101" s="33">
        <v>101</v>
      </c>
      <c r="C101" s="35">
        <v>1158</v>
      </c>
      <c r="D101" t="s">
        <v>1062</v>
      </c>
      <c r="E101" s="36">
        <v>5293</v>
      </c>
      <c r="F101" t="s">
        <v>1065</v>
      </c>
      <c r="G101" s="1"/>
      <c r="H101" s="1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5">
      <c r="A102" t="str">
        <f t="shared" si="4"/>
        <v>32801</v>
      </c>
      <c r="B102" s="33">
        <v>101</v>
      </c>
      <c r="C102" s="35">
        <v>33183</v>
      </c>
      <c r="D102" t="s">
        <v>1077</v>
      </c>
      <c r="E102" s="36">
        <v>2480</v>
      </c>
      <c r="F102" t="s">
        <v>1078</v>
      </c>
      <c r="G102" s="1"/>
      <c r="H102" s="1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5">
      <c r="A103" t="str">
        <f t="shared" si="4"/>
        <v>32801</v>
      </c>
      <c r="B103" s="33">
        <v>101</v>
      </c>
      <c r="C103" s="35">
        <v>33183</v>
      </c>
      <c r="D103" t="s">
        <v>1077</v>
      </c>
      <c r="E103" s="36">
        <v>1922</v>
      </c>
      <c r="F103" t="s">
        <v>1079</v>
      </c>
      <c r="G103" s="1"/>
      <c r="H103" s="1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5">
      <c r="A104" t="str">
        <f t="shared" si="4"/>
        <v>32801</v>
      </c>
      <c r="B104" s="34">
        <v>101</v>
      </c>
      <c r="C104" s="34" t="str">
        <f>"33207"</f>
        <v>33207</v>
      </c>
      <c r="D104" s="2" t="s">
        <v>1096</v>
      </c>
      <c r="E104" s="34" t="str">
        <f>"3311"</f>
        <v>3311</v>
      </c>
      <c r="F104" s="2" t="s">
        <v>1139</v>
      </c>
      <c r="G104" s="1"/>
      <c r="H104" s="1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2" customFormat="1" x14ac:dyDescent="0.25">
      <c r="A105" t="str">
        <f t="shared" si="4"/>
        <v>32801</v>
      </c>
      <c r="B105" s="34">
        <v>101</v>
      </c>
      <c r="C105" s="34" t="str">
        <f>"33207"</f>
        <v>33207</v>
      </c>
      <c r="D105" s="2" t="s">
        <v>1096</v>
      </c>
      <c r="E105" s="33" t="str">
        <f>"5446"</f>
        <v>5446</v>
      </c>
      <c r="F105" t="s">
        <v>2134</v>
      </c>
      <c r="G105" s="1"/>
      <c r="H105" s="1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x14ac:dyDescent="0.25">
      <c r="A106" t="str">
        <f t="shared" si="4"/>
        <v>32801</v>
      </c>
      <c r="B106" s="34">
        <v>101</v>
      </c>
      <c r="C106" s="34" t="str">
        <f>"33207"</f>
        <v>33207</v>
      </c>
      <c r="D106" s="2" t="s">
        <v>1096</v>
      </c>
      <c r="E106" s="34" t="str">
        <f>"2297"</f>
        <v>2297</v>
      </c>
      <c r="F106" s="2" t="s">
        <v>1714</v>
      </c>
      <c r="G106" s="1"/>
      <c r="H106" s="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5">
      <c r="A107" t="str">
        <f t="shared" si="4"/>
        <v>32801</v>
      </c>
      <c r="B107" s="34">
        <v>101</v>
      </c>
      <c r="C107" s="34" t="str">
        <f>"33207"</f>
        <v>33207</v>
      </c>
      <c r="D107" s="2" t="s">
        <v>1096</v>
      </c>
      <c r="E107" s="34" t="str">
        <f>"3894"</f>
        <v>3894</v>
      </c>
      <c r="F107" s="2" t="s">
        <v>1715</v>
      </c>
      <c r="G107" s="1"/>
      <c r="H107" s="1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5">
      <c r="A108" t="str">
        <f t="shared" si="4"/>
        <v>32801</v>
      </c>
      <c r="B108" s="33">
        <v>101</v>
      </c>
      <c r="C108" t="str">
        <f t="shared" ref="C108:C122" si="6">"32354"</f>
        <v>32354</v>
      </c>
      <c r="D108" t="s">
        <v>184</v>
      </c>
      <c r="E108" s="33" t="str">
        <f>"3693"</f>
        <v>3693</v>
      </c>
      <c r="F108" t="s">
        <v>185</v>
      </c>
      <c r="G108" s="1"/>
      <c r="H108" s="1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5">
      <c r="A109" t="str">
        <f t="shared" si="4"/>
        <v>32801</v>
      </c>
      <c r="B109" s="33">
        <v>101</v>
      </c>
      <c r="C109" t="str">
        <f t="shared" si="6"/>
        <v>32354</v>
      </c>
      <c r="D109" t="s">
        <v>184</v>
      </c>
      <c r="E109" s="33" t="str">
        <f>"3562"</f>
        <v>3562</v>
      </c>
      <c r="F109" t="s">
        <v>381</v>
      </c>
      <c r="G109" s="1"/>
      <c r="H109" s="1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5">
      <c r="A110" t="str">
        <f t="shared" si="4"/>
        <v>32801</v>
      </c>
      <c r="B110" s="33">
        <v>101</v>
      </c>
      <c r="C110" t="str">
        <f t="shared" si="6"/>
        <v>32354</v>
      </c>
      <c r="D110" t="s">
        <v>184</v>
      </c>
      <c r="E110" s="33" t="str">
        <f>"5572"</f>
        <v>5572</v>
      </c>
      <c r="F110" t="s">
        <v>2135</v>
      </c>
      <c r="G110" s="1"/>
      <c r="H110" s="1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5">
      <c r="A111" t="str">
        <f t="shared" si="4"/>
        <v>32801</v>
      </c>
      <c r="B111" s="33">
        <v>101</v>
      </c>
      <c r="C111" t="str">
        <f t="shared" si="6"/>
        <v>32354</v>
      </c>
      <c r="D111" t="s">
        <v>184</v>
      </c>
      <c r="E111" s="33" t="str">
        <f>"3414"</f>
        <v>3414</v>
      </c>
      <c r="F111" t="s">
        <v>600</v>
      </c>
      <c r="G111" s="1"/>
      <c r="H111" s="1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5">
      <c r="A112" t="str">
        <f t="shared" si="4"/>
        <v>32801</v>
      </c>
      <c r="B112" s="33">
        <v>101</v>
      </c>
      <c r="C112" t="str">
        <f t="shared" si="6"/>
        <v>32354</v>
      </c>
      <c r="D112" t="s">
        <v>184</v>
      </c>
      <c r="E112" s="33" t="str">
        <f>"3759"</f>
        <v>3759</v>
      </c>
      <c r="F112" t="s">
        <v>618</v>
      </c>
      <c r="G112" s="1"/>
      <c r="H112" s="1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25">
      <c r="A113" t="str">
        <f t="shared" si="4"/>
        <v>32801</v>
      </c>
      <c r="B113" s="33">
        <v>101</v>
      </c>
      <c r="C113" t="str">
        <f t="shared" si="6"/>
        <v>32354</v>
      </c>
      <c r="D113" t="s">
        <v>184</v>
      </c>
      <c r="E113" s="33" t="str">
        <f>"5571"</f>
        <v>5571</v>
      </c>
      <c r="F113" t="s">
        <v>810</v>
      </c>
      <c r="G113" s="1"/>
      <c r="H113" s="1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5">
      <c r="A114" t="str">
        <f t="shared" si="4"/>
        <v>32801</v>
      </c>
      <c r="B114" s="33">
        <v>101</v>
      </c>
      <c r="C114" t="str">
        <f t="shared" si="6"/>
        <v>32354</v>
      </c>
      <c r="D114" t="s">
        <v>184</v>
      </c>
      <c r="E114" s="33" t="str">
        <f>"1858"</f>
        <v>1858</v>
      </c>
      <c r="F114" t="s">
        <v>1167</v>
      </c>
      <c r="G114" s="1"/>
      <c r="H114" s="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5">
      <c r="A115" t="str">
        <f t="shared" si="4"/>
        <v>32801</v>
      </c>
      <c r="B115" s="33">
        <v>101</v>
      </c>
      <c r="C115" t="str">
        <f t="shared" si="6"/>
        <v>32354</v>
      </c>
      <c r="D115" t="s">
        <v>184</v>
      </c>
      <c r="E115" s="33" t="str">
        <f>"2402"</f>
        <v>2402</v>
      </c>
      <c r="F115" t="s">
        <v>1168</v>
      </c>
      <c r="G115" s="1"/>
      <c r="H115" s="1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5">
      <c r="A116" t="str">
        <f t="shared" si="4"/>
        <v>32801</v>
      </c>
      <c r="B116" s="33">
        <v>101</v>
      </c>
      <c r="C116" t="str">
        <f t="shared" si="6"/>
        <v>32354</v>
      </c>
      <c r="D116" t="s">
        <v>184</v>
      </c>
      <c r="E116" s="33" t="str">
        <f>"4400"</f>
        <v>4400</v>
      </c>
      <c r="F116" t="s">
        <v>1169</v>
      </c>
      <c r="G116" s="1"/>
      <c r="H116" s="1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5">
      <c r="A117" t="str">
        <f t="shared" si="4"/>
        <v>32801</v>
      </c>
      <c r="B117" s="33">
        <v>101</v>
      </c>
      <c r="C117" t="str">
        <f t="shared" si="6"/>
        <v>32354</v>
      </c>
      <c r="D117" t="s">
        <v>184</v>
      </c>
      <c r="E117" s="33" t="str">
        <f>"4133"</f>
        <v>4133</v>
      </c>
      <c r="F117" t="s">
        <v>1200</v>
      </c>
      <c r="G117" s="1"/>
      <c r="H117" s="1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5">
      <c r="A118" t="str">
        <f t="shared" si="4"/>
        <v>32801</v>
      </c>
      <c r="B118" s="33">
        <v>101</v>
      </c>
      <c r="C118" t="str">
        <f t="shared" si="6"/>
        <v>32354</v>
      </c>
      <c r="D118" t="s">
        <v>184</v>
      </c>
      <c r="E118" s="33" t="str">
        <f>"3191"</f>
        <v>3191</v>
      </c>
      <c r="F118" t="s">
        <v>1251</v>
      </c>
      <c r="G118" s="1"/>
      <c r="H118" s="1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5">
      <c r="A119" t="str">
        <f t="shared" si="4"/>
        <v>32801</v>
      </c>
      <c r="B119" s="33">
        <v>101</v>
      </c>
      <c r="C119" t="str">
        <f t="shared" si="6"/>
        <v>32354</v>
      </c>
      <c r="D119" t="s">
        <v>184</v>
      </c>
      <c r="E119" s="33" t="str">
        <f>"4491"</f>
        <v>4491</v>
      </c>
      <c r="F119" t="s">
        <v>1257</v>
      </c>
      <c r="G119" s="1"/>
      <c r="H119" s="1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x14ac:dyDescent="0.25">
      <c r="A120" t="str">
        <f t="shared" si="4"/>
        <v>32801</v>
      </c>
      <c r="B120" s="33">
        <v>101</v>
      </c>
      <c r="C120" t="str">
        <f t="shared" si="6"/>
        <v>32354</v>
      </c>
      <c r="D120" t="s">
        <v>184</v>
      </c>
      <c r="E120" s="33" t="str">
        <f>"3851"</f>
        <v>3851</v>
      </c>
      <c r="F120" t="s">
        <v>1331</v>
      </c>
      <c r="G120" s="1"/>
      <c r="H120" s="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25">
      <c r="A121" t="str">
        <f t="shared" si="4"/>
        <v>32801</v>
      </c>
      <c r="B121" s="33">
        <v>101</v>
      </c>
      <c r="C121" t="str">
        <f t="shared" si="6"/>
        <v>32354</v>
      </c>
      <c r="D121" t="s">
        <v>184</v>
      </c>
      <c r="E121" s="33" t="str">
        <f>"5094"</f>
        <v>5094</v>
      </c>
      <c r="F121" t="s">
        <v>1470</v>
      </c>
      <c r="G121" s="1"/>
      <c r="H121" s="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x14ac:dyDescent="0.25">
      <c r="A122" t="str">
        <f t="shared" si="4"/>
        <v>32801</v>
      </c>
      <c r="B122" s="33">
        <v>101</v>
      </c>
      <c r="C122" t="str">
        <f t="shared" si="6"/>
        <v>32354</v>
      </c>
      <c r="D122" t="s">
        <v>184</v>
      </c>
      <c r="E122" s="33" t="str">
        <f>"4134"</f>
        <v>4134</v>
      </c>
      <c r="F122" t="s">
        <v>1641</v>
      </c>
      <c r="G122" s="1"/>
      <c r="H122" s="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5">
      <c r="A123" t="str">
        <f t="shared" si="4"/>
        <v>32801</v>
      </c>
      <c r="B123" s="33">
        <v>101</v>
      </c>
      <c r="C123" s="35">
        <v>32326</v>
      </c>
      <c r="D123" t="s">
        <v>762</v>
      </c>
      <c r="E123" s="36">
        <v>4483</v>
      </c>
      <c r="F123" t="s">
        <v>763</v>
      </c>
      <c r="G123" s="1"/>
      <c r="H123" s="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t="str">
        <f t="shared" si="4"/>
        <v>32801</v>
      </c>
      <c r="B124" s="33">
        <v>101</v>
      </c>
      <c r="C124" s="35">
        <v>32326</v>
      </c>
      <c r="D124" t="s">
        <v>762</v>
      </c>
      <c r="E124" s="36">
        <v>5042</v>
      </c>
      <c r="F124" t="s">
        <v>2136</v>
      </c>
      <c r="G124" s="1"/>
      <c r="H124" s="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t="str">
        <f t="shared" si="4"/>
        <v>32801</v>
      </c>
      <c r="B125" s="33">
        <v>101</v>
      </c>
      <c r="C125" s="35">
        <v>32326</v>
      </c>
      <c r="D125" t="s">
        <v>762</v>
      </c>
      <c r="E125" s="36">
        <v>2890</v>
      </c>
      <c r="F125" t="s">
        <v>1176</v>
      </c>
      <c r="G125" s="11"/>
      <c r="H125" s="11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5">
      <c r="A126" t="str">
        <f t="shared" si="4"/>
        <v>32801</v>
      </c>
      <c r="B126" s="33">
        <v>101</v>
      </c>
      <c r="C126" s="35">
        <v>32326</v>
      </c>
      <c r="D126" t="s">
        <v>762</v>
      </c>
      <c r="E126" s="36">
        <v>3965</v>
      </c>
      <c r="F126" t="s">
        <v>1177</v>
      </c>
      <c r="G126" s="1"/>
      <c r="H126" s="1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5">
      <c r="A127" t="str">
        <f t="shared" si="4"/>
        <v>32801</v>
      </c>
      <c r="B127" s="33">
        <v>101</v>
      </c>
      <c r="C127" s="35">
        <v>32326</v>
      </c>
      <c r="D127" t="s">
        <v>762</v>
      </c>
      <c r="E127" s="36">
        <v>4577</v>
      </c>
      <c r="F127" t="s">
        <v>1195</v>
      </c>
      <c r="G127" s="1"/>
      <c r="H127" s="1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x14ac:dyDescent="0.25">
      <c r="A128" t="str">
        <f t="shared" si="4"/>
        <v>32801</v>
      </c>
      <c r="B128" s="33">
        <v>101</v>
      </c>
      <c r="C128" s="35">
        <v>26056</v>
      </c>
      <c r="D128" t="s">
        <v>1292</v>
      </c>
      <c r="E128" s="36">
        <v>2518</v>
      </c>
      <c r="F128" t="s">
        <v>1293</v>
      </c>
      <c r="G128" s="1"/>
      <c r="H128" s="1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x14ac:dyDescent="0.25">
      <c r="A129" t="str">
        <f t="shared" si="4"/>
        <v>32801</v>
      </c>
      <c r="B129" s="33">
        <v>101</v>
      </c>
      <c r="C129" s="35">
        <v>26056</v>
      </c>
      <c r="D129" t="s">
        <v>1292</v>
      </c>
      <c r="E129" s="37">
        <v>5118</v>
      </c>
      <c r="F129" s="2" t="s">
        <v>1430</v>
      </c>
      <c r="G129" s="1"/>
      <c r="H129" s="1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25">
      <c r="A130" t="str">
        <f t="shared" si="4"/>
        <v>32801</v>
      </c>
      <c r="B130" s="33">
        <v>101</v>
      </c>
      <c r="C130" s="35">
        <v>26056</v>
      </c>
      <c r="D130" t="s">
        <v>1292</v>
      </c>
      <c r="E130" s="37">
        <v>3968</v>
      </c>
      <c r="F130" s="2" t="s">
        <v>1576</v>
      </c>
      <c r="G130" s="1"/>
      <c r="H130" s="1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25">
      <c r="A131" t="str">
        <f t="shared" si="4"/>
        <v>32801</v>
      </c>
      <c r="B131" s="33">
        <v>101</v>
      </c>
      <c r="C131" s="35">
        <v>26056</v>
      </c>
      <c r="D131" t="s">
        <v>1292</v>
      </c>
      <c r="E131" s="36">
        <v>4478</v>
      </c>
      <c r="F131" t="s">
        <v>1738</v>
      </c>
      <c r="G131" s="1"/>
      <c r="H131" s="1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25">
      <c r="A132" t="str">
        <f t="shared" si="4"/>
        <v>32801</v>
      </c>
      <c r="B132" s="33">
        <v>101</v>
      </c>
      <c r="C132" s="35">
        <v>32325</v>
      </c>
      <c r="D132" t="s">
        <v>993</v>
      </c>
      <c r="E132" s="36">
        <v>4036</v>
      </c>
      <c r="F132" t="s">
        <v>994</v>
      </c>
      <c r="G132" s="1"/>
      <c r="H132" s="1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25">
      <c r="A133" t="str">
        <f t="shared" si="4"/>
        <v>32801</v>
      </c>
      <c r="B133" s="33">
        <v>101</v>
      </c>
      <c r="C133" s="35">
        <v>32325</v>
      </c>
      <c r="D133" t="s">
        <v>993</v>
      </c>
      <c r="E133" s="36">
        <v>4333</v>
      </c>
      <c r="F133" t="s">
        <v>1009</v>
      </c>
      <c r="G133" s="1"/>
      <c r="H133" s="1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x14ac:dyDescent="0.25">
      <c r="A134" t="str">
        <f t="shared" si="4"/>
        <v>32801</v>
      </c>
      <c r="B134" s="33">
        <v>101</v>
      </c>
      <c r="C134" s="35">
        <v>32325</v>
      </c>
      <c r="D134" t="s">
        <v>993</v>
      </c>
      <c r="E134" s="36">
        <v>4521</v>
      </c>
      <c r="F134" t="s">
        <v>1010</v>
      </c>
      <c r="G134" s="1"/>
      <c r="H134" s="1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x14ac:dyDescent="0.25">
      <c r="A135" t="str">
        <f t="shared" ref="A135:A198" si="7">"32801"</f>
        <v>32801</v>
      </c>
      <c r="B135" s="33">
        <v>101</v>
      </c>
      <c r="C135" s="35">
        <v>32325</v>
      </c>
      <c r="D135" t="s">
        <v>993</v>
      </c>
      <c r="E135" s="36">
        <v>2341</v>
      </c>
      <c r="F135" t="s">
        <v>1295</v>
      </c>
      <c r="G135" s="1"/>
      <c r="H135" s="1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x14ac:dyDescent="0.25">
      <c r="A136" t="str">
        <f t="shared" si="7"/>
        <v>32801</v>
      </c>
      <c r="B136" s="33">
        <v>101</v>
      </c>
      <c r="C136" s="35">
        <v>33211</v>
      </c>
      <c r="D136" t="s">
        <v>1322</v>
      </c>
      <c r="E136" s="36">
        <v>2062</v>
      </c>
      <c r="F136" t="s">
        <v>1323</v>
      </c>
      <c r="G136" s="1"/>
      <c r="H136" s="1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5">
      <c r="A137" t="str">
        <f t="shared" si="7"/>
        <v>32801</v>
      </c>
      <c r="B137" s="33">
        <v>101</v>
      </c>
      <c r="C137" s="35">
        <v>33211</v>
      </c>
      <c r="D137" t="s">
        <v>1322</v>
      </c>
      <c r="E137" s="36">
        <v>2958</v>
      </c>
      <c r="F137" t="s">
        <v>1324</v>
      </c>
      <c r="G137" s="1"/>
      <c r="H137" s="1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25">
      <c r="A138" t="str">
        <f t="shared" si="7"/>
        <v>32801</v>
      </c>
      <c r="B138" s="33">
        <v>101</v>
      </c>
      <c r="C138" s="35">
        <v>33211</v>
      </c>
      <c r="D138" t="s">
        <v>1322</v>
      </c>
      <c r="E138" s="36">
        <v>5252</v>
      </c>
      <c r="F138" t="s">
        <v>2070</v>
      </c>
      <c r="G138" s="1"/>
      <c r="H138" s="1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5">
      <c r="A139" t="str">
        <f t="shared" si="7"/>
        <v>32801</v>
      </c>
      <c r="B139" s="33">
        <v>101</v>
      </c>
      <c r="C139" s="35">
        <v>38324</v>
      </c>
      <c r="D139" t="s">
        <v>1339</v>
      </c>
      <c r="E139" s="36">
        <v>3205</v>
      </c>
      <c r="F139" t="s">
        <v>2137</v>
      </c>
      <c r="G139" s="1"/>
      <c r="H139" s="1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x14ac:dyDescent="0.25">
      <c r="A140" t="str">
        <f t="shared" si="7"/>
        <v>32801</v>
      </c>
      <c r="B140" s="33">
        <v>101</v>
      </c>
      <c r="C140" s="35">
        <v>22105</v>
      </c>
      <c r="D140" t="s">
        <v>1351</v>
      </c>
      <c r="E140" s="36">
        <v>2769</v>
      </c>
      <c r="F140" t="s">
        <v>2138</v>
      </c>
      <c r="G140" s="1"/>
      <c r="H140" s="1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x14ac:dyDescent="0.25">
      <c r="A141" t="str">
        <f t="shared" si="7"/>
        <v>32801</v>
      </c>
      <c r="B141" s="34">
        <v>101</v>
      </c>
      <c r="C141" s="35">
        <v>33030</v>
      </c>
      <c r="D141" s="2" t="s">
        <v>2139</v>
      </c>
      <c r="E141" s="36">
        <v>2049</v>
      </c>
      <c r="F141" s="2" t="s">
        <v>2140</v>
      </c>
      <c r="G141" s="1"/>
      <c r="H141" s="1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x14ac:dyDescent="0.25">
      <c r="A142" t="str">
        <f t="shared" si="7"/>
        <v>32801</v>
      </c>
      <c r="B142" s="33">
        <v>101</v>
      </c>
      <c r="C142" s="35">
        <v>32123</v>
      </c>
      <c r="D142" t="s">
        <v>2141</v>
      </c>
      <c r="E142" s="36">
        <v>3723</v>
      </c>
      <c r="F142" t="s">
        <v>2142</v>
      </c>
      <c r="G142" s="1"/>
      <c r="H142" s="1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25">
      <c r="A143" t="str">
        <f t="shared" si="7"/>
        <v>32801</v>
      </c>
      <c r="B143" s="33">
        <v>101</v>
      </c>
      <c r="C143" s="35">
        <v>10065</v>
      </c>
      <c r="D143" t="s">
        <v>2143</v>
      </c>
      <c r="E143" s="36">
        <v>2136</v>
      </c>
      <c r="F143" t="s">
        <v>2144</v>
      </c>
      <c r="G143" s="1"/>
      <c r="H143" s="1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25">
      <c r="A144" t="str">
        <f t="shared" si="7"/>
        <v>32801</v>
      </c>
      <c r="B144" s="34">
        <v>101</v>
      </c>
      <c r="C144" s="31" t="str">
        <f>"38301"</f>
        <v>38301</v>
      </c>
      <c r="D144" s="31" t="s">
        <v>1406</v>
      </c>
      <c r="E144" s="34" t="str">
        <f>"2622"</f>
        <v>2622</v>
      </c>
      <c r="F144" s="31" t="s">
        <v>1407</v>
      </c>
      <c r="G144" s="1"/>
      <c r="H144" s="1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25">
      <c r="A145" t="str">
        <f t="shared" si="7"/>
        <v>32801</v>
      </c>
      <c r="B145" s="34">
        <v>101</v>
      </c>
      <c r="C145" s="31" t="str">
        <f>"38301"</f>
        <v>38301</v>
      </c>
      <c r="D145" s="31" t="s">
        <v>1406</v>
      </c>
      <c r="E145" s="34" t="str">
        <f>"2634"</f>
        <v>2634</v>
      </c>
      <c r="F145" s="31" t="s">
        <v>1408</v>
      </c>
      <c r="G145" s="1"/>
      <c r="H145" s="1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25">
      <c r="A146" t="str">
        <f t="shared" si="7"/>
        <v>32801</v>
      </c>
      <c r="B146" s="33">
        <v>101</v>
      </c>
      <c r="D146" t="s">
        <v>2145</v>
      </c>
      <c r="E146" s="33"/>
      <c r="F146" t="s">
        <v>2145</v>
      </c>
      <c r="G146" s="1"/>
      <c r="H146" s="1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x14ac:dyDescent="0.25">
      <c r="A147" t="str">
        <f t="shared" si="7"/>
        <v>32801</v>
      </c>
      <c r="B147" s="33">
        <v>101</v>
      </c>
      <c r="C147" s="35">
        <v>38267</v>
      </c>
      <c r="D147" t="s">
        <v>661</v>
      </c>
      <c r="E147" s="36">
        <v>2587</v>
      </c>
      <c r="F147" t="s">
        <v>660</v>
      </c>
      <c r="G147" s="1"/>
      <c r="H147" s="1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5">
      <c r="A148" t="str">
        <f t="shared" si="7"/>
        <v>32801</v>
      </c>
      <c r="B148" s="34">
        <v>101</v>
      </c>
      <c r="C148" s="35">
        <v>38267</v>
      </c>
      <c r="D148" s="2" t="s">
        <v>661</v>
      </c>
      <c r="E148" s="36">
        <v>3203</v>
      </c>
      <c r="F148" s="2" t="s">
        <v>895</v>
      </c>
      <c r="G148" s="1"/>
      <c r="H148" s="1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t="str">
        <f t="shared" si="7"/>
        <v>32801</v>
      </c>
      <c r="B149" s="34">
        <v>101</v>
      </c>
      <c r="C149" s="35">
        <v>38267</v>
      </c>
      <c r="D149" s="2" t="s">
        <v>661</v>
      </c>
      <c r="E149" s="33" t="str">
        <f>"5574"</f>
        <v>5574</v>
      </c>
      <c r="F149" t="s">
        <v>2146</v>
      </c>
      <c r="G149" s="1"/>
      <c r="H149" s="1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t="str">
        <f t="shared" si="7"/>
        <v>32801</v>
      </c>
      <c r="B150" s="33">
        <v>101</v>
      </c>
      <c r="C150" s="35">
        <v>38267</v>
      </c>
      <c r="D150" t="s">
        <v>661</v>
      </c>
      <c r="E150" s="36">
        <v>3419</v>
      </c>
      <c r="F150" t="s">
        <v>1061</v>
      </c>
      <c r="G150" s="1"/>
      <c r="H150" s="1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5">
      <c r="A151" t="str">
        <f t="shared" si="7"/>
        <v>32801</v>
      </c>
      <c r="B151" s="33">
        <v>101</v>
      </c>
      <c r="C151" s="35">
        <v>38267</v>
      </c>
      <c r="D151" t="s">
        <v>661</v>
      </c>
      <c r="E151" s="36">
        <v>2499</v>
      </c>
      <c r="F151" t="s">
        <v>1484</v>
      </c>
      <c r="G151" s="1"/>
      <c r="H151" s="1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5">
      <c r="A152" t="str">
        <f t="shared" si="7"/>
        <v>32801</v>
      </c>
      <c r="B152" s="33">
        <v>101</v>
      </c>
      <c r="C152" s="35">
        <v>38267</v>
      </c>
      <c r="D152" t="s">
        <v>661</v>
      </c>
      <c r="E152" s="36">
        <v>3614</v>
      </c>
      <c r="F152" t="s">
        <v>1753</v>
      </c>
      <c r="G152" s="1"/>
      <c r="H152" s="1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x14ac:dyDescent="0.25">
      <c r="A153" t="str">
        <f t="shared" si="7"/>
        <v>32801</v>
      </c>
      <c r="B153" s="33">
        <v>101</v>
      </c>
      <c r="C153" s="35">
        <v>22009</v>
      </c>
      <c r="D153" t="s">
        <v>1503</v>
      </c>
      <c r="E153" s="36">
        <v>2864</v>
      </c>
      <c r="F153" t="s">
        <v>1504</v>
      </c>
      <c r="G153" s="1"/>
      <c r="H153" s="1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x14ac:dyDescent="0.25">
      <c r="A154" t="str">
        <f t="shared" si="7"/>
        <v>32801</v>
      </c>
      <c r="B154" s="33">
        <v>101</v>
      </c>
      <c r="C154" s="35">
        <v>22009</v>
      </c>
      <c r="D154" t="s">
        <v>1503</v>
      </c>
      <c r="E154" s="36">
        <v>2478</v>
      </c>
      <c r="F154" t="s">
        <v>1505</v>
      </c>
      <c r="G154" s="1"/>
      <c r="H154" s="1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25">
      <c r="A155" t="str">
        <f t="shared" si="7"/>
        <v>32801</v>
      </c>
      <c r="B155" s="33">
        <v>101</v>
      </c>
      <c r="C155" s="35">
        <v>10309</v>
      </c>
      <c r="D155" t="s">
        <v>1519</v>
      </c>
      <c r="E155" s="36">
        <v>2789</v>
      </c>
      <c r="F155" t="s">
        <v>2147</v>
      </c>
      <c r="G155" s="1"/>
      <c r="H155" s="1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25">
      <c r="A156" t="str">
        <f t="shared" si="7"/>
        <v>32801</v>
      </c>
      <c r="B156" s="33">
        <v>101</v>
      </c>
      <c r="C156" s="35">
        <v>1160</v>
      </c>
      <c r="D156" t="s">
        <v>1531</v>
      </c>
      <c r="E156" s="36">
        <v>2719</v>
      </c>
      <c r="F156" t="s">
        <v>1532</v>
      </c>
      <c r="G156" s="1"/>
      <c r="H156" s="1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25">
      <c r="A157" t="str">
        <f t="shared" si="7"/>
        <v>32801</v>
      </c>
      <c r="B157" s="33">
        <v>101</v>
      </c>
      <c r="C157" s="35">
        <v>1160</v>
      </c>
      <c r="D157" t="s">
        <v>1531</v>
      </c>
      <c r="E157" s="36">
        <v>2132</v>
      </c>
      <c r="F157" t="s">
        <v>1533</v>
      </c>
      <c r="G157" s="1"/>
      <c r="H157" s="1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x14ac:dyDescent="0.25">
      <c r="A158" t="str">
        <f t="shared" si="7"/>
        <v>32801</v>
      </c>
      <c r="B158" s="33">
        <v>101</v>
      </c>
      <c r="C158" s="35">
        <v>32416</v>
      </c>
      <c r="D158" t="s">
        <v>330</v>
      </c>
      <c r="E158" s="36">
        <v>2525</v>
      </c>
      <c r="F158" t="s">
        <v>331</v>
      </c>
      <c r="G158" s="1"/>
      <c r="H158" s="1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25">
      <c r="A159" t="str">
        <f t="shared" si="7"/>
        <v>32801</v>
      </c>
      <c r="B159" s="33">
        <v>101</v>
      </c>
      <c r="C159" s="35">
        <v>32416</v>
      </c>
      <c r="D159" t="s">
        <v>330</v>
      </c>
      <c r="E159" s="36">
        <v>1919</v>
      </c>
      <c r="F159" t="s">
        <v>865</v>
      </c>
      <c r="G159" s="1"/>
      <c r="H159" s="1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25">
      <c r="A160" t="str">
        <f t="shared" si="7"/>
        <v>32801</v>
      </c>
      <c r="B160" s="33">
        <v>101</v>
      </c>
      <c r="C160" s="35">
        <v>32416</v>
      </c>
      <c r="D160" t="s">
        <v>330</v>
      </c>
      <c r="E160" s="36">
        <v>4033</v>
      </c>
      <c r="F160" t="s">
        <v>1537</v>
      </c>
      <c r="G160" s="1"/>
      <c r="H160" s="1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25">
      <c r="A161" t="str">
        <f t="shared" si="7"/>
        <v>32801</v>
      </c>
      <c r="B161" s="33">
        <v>101</v>
      </c>
      <c r="C161" s="35">
        <v>32416</v>
      </c>
      <c r="D161" t="s">
        <v>330</v>
      </c>
      <c r="E161" s="36">
        <v>4228</v>
      </c>
      <c r="F161" t="s">
        <v>1538</v>
      </c>
      <c r="G161" s="1"/>
      <c r="H161" s="1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25">
      <c r="A162" t="str">
        <f t="shared" si="7"/>
        <v>32801</v>
      </c>
      <c r="B162" s="33">
        <v>101</v>
      </c>
      <c r="C162" s="35">
        <v>32416</v>
      </c>
      <c r="D162" t="s">
        <v>330</v>
      </c>
      <c r="E162" s="36">
        <v>3466</v>
      </c>
      <c r="F162" t="s">
        <v>1539</v>
      </c>
      <c r="G162" s="1"/>
      <c r="H162" s="1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t="str">
        <f t="shared" si="7"/>
        <v>32801</v>
      </c>
      <c r="B163" s="33">
        <v>101</v>
      </c>
      <c r="C163" s="35">
        <v>38320</v>
      </c>
      <c r="D163" t="s">
        <v>1560</v>
      </c>
      <c r="E163" s="36">
        <v>3204</v>
      </c>
      <c r="F163" t="s">
        <v>2148</v>
      </c>
      <c r="G163" s="1"/>
      <c r="H163" s="1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t="str">
        <f t="shared" si="7"/>
        <v>32801</v>
      </c>
      <c r="B164" s="34">
        <v>101</v>
      </c>
      <c r="C164" s="35">
        <v>26070</v>
      </c>
      <c r="D164" s="2" t="s">
        <v>1616</v>
      </c>
      <c r="E164" s="36">
        <v>5075</v>
      </c>
      <c r="F164" s="2" t="s">
        <v>2149</v>
      </c>
      <c r="G164" s="1"/>
      <c r="H164" s="1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5">
      <c r="A165" t="str">
        <f t="shared" si="7"/>
        <v>32801</v>
      </c>
      <c r="B165" s="34">
        <v>101</v>
      </c>
      <c r="C165" s="35">
        <v>26070</v>
      </c>
      <c r="D165" s="2" t="s">
        <v>1616</v>
      </c>
      <c r="E165" s="36">
        <v>5226</v>
      </c>
      <c r="F165" s="2" t="s">
        <v>1617</v>
      </c>
      <c r="G165" s="1"/>
      <c r="H165" s="1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5">
      <c r="A166" t="str">
        <f t="shared" si="7"/>
        <v>32801</v>
      </c>
      <c r="B166" s="34">
        <v>101</v>
      </c>
      <c r="C166" s="35">
        <v>26070</v>
      </c>
      <c r="D166" s="2" t="s">
        <v>1616</v>
      </c>
      <c r="E166" s="36">
        <v>5225</v>
      </c>
      <c r="F166" s="2" t="s">
        <v>1618</v>
      </c>
      <c r="G166" s="1"/>
      <c r="H166" s="1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5">
      <c r="A167" t="str">
        <f t="shared" si="7"/>
        <v>32801</v>
      </c>
      <c r="B167" s="33">
        <v>101</v>
      </c>
      <c r="D167" t="s">
        <v>2071</v>
      </c>
      <c r="E167" s="33"/>
      <c r="F167" t="s">
        <v>2071</v>
      </c>
      <c r="G167" s="1"/>
      <c r="H167" s="1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25">
      <c r="A168" t="str">
        <f t="shared" si="7"/>
        <v>32801</v>
      </c>
      <c r="B168" s="34">
        <v>101</v>
      </c>
      <c r="C168" s="31" t="str">
        <f t="shared" ref="C168:C219" si="8">"32081"</f>
        <v>32081</v>
      </c>
      <c r="D168" s="31" t="s">
        <v>17</v>
      </c>
      <c r="E168" s="34" t="str">
        <f>"2156"</f>
        <v>2156</v>
      </c>
      <c r="F168" s="31" t="s">
        <v>18</v>
      </c>
      <c r="G168" s="1"/>
      <c r="H168" s="1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x14ac:dyDescent="0.25">
      <c r="A169" t="str">
        <f t="shared" si="7"/>
        <v>32801</v>
      </c>
      <c r="B169" s="34">
        <v>101</v>
      </c>
      <c r="C169" s="31" t="str">
        <f t="shared" si="8"/>
        <v>32081</v>
      </c>
      <c r="D169" s="31" t="s">
        <v>17</v>
      </c>
      <c r="E169" s="34" t="str">
        <f>"2381"</f>
        <v>2381</v>
      </c>
      <c r="F169" s="31" t="s">
        <v>74</v>
      </c>
      <c r="G169" s="1"/>
      <c r="H169" s="1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25">
      <c r="A170" t="str">
        <f t="shared" si="7"/>
        <v>32801</v>
      </c>
      <c r="B170" s="34">
        <v>101</v>
      </c>
      <c r="C170" s="31" t="str">
        <f t="shared" si="8"/>
        <v>32081</v>
      </c>
      <c r="D170" s="31" t="s">
        <v>17</v>
      </c>
      <c r="E170" s="34" t="str">
        <f>"2128"</f>
        <v>2128</v>
      </c>
      <c r="F170" s="31" t="s">
        <v>94</v>
      </c>
      <c r="G170" s="1"/>
      <c r="H170" s="1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x14ac:dyDescent="0.25">
      <c r="A171" t="str">
        <f t="shared" si="7"/>
        <v>32801</v>
      </c>
      <c r="B171" s="34">
        <v>101</v>
      </c>
      <c r="C171" s="31" t="str">
        <f t="shared" si="8"/>
        <v>32081</v>
      </c>
      <c r="D171" s="31" t="s">
        <v>17</v>
      </c>
      <c r="E171" s="34" t="str">
        <f>"3357"</f>
        <v>3357</v>
      </c>
      <c r="F171" s="31" t="s">
        <v>106</v>
      </c>
      <c r="G171" s="1"/>
      <c r="H171" s="1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x14ac:dyDescent="0.25">
      <c r="A172" t="str">
        <f t="shared" si="7"/>
        <v>32801</v>
      </c>
      <c r="B172" s="34">
        <v>101</v>
      </c>
      <c r="C172" s="31" t="str">
        <f t="shared" si="8"/>
        <v>32081</v>
      </c>
      <c r="D172" s="31" t="s">
        <v>17</v>
      </c>
      <c r="E172" s="34" t="str">
        <f>"2155"</f>
        <v>2155</v>
      </c>
      <c r="F172" s="31" t="s">
        <v>138</v>
      </c>
      <c r="G172" s="1"/>
      <c r="H172" s="1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25">
      <c r="A173" t="str">
        <f t="shared" si="7"/>
        <v>32801</v>
      </c>
      <c r="B173" s="34">
        <v>101</v>
      </c>
      <c r="C173" s="31" t="str">
        <f t="shared" si="8"/>
        <v>32081</v>
      </c>
      <c r="D173" s="31" t="s">
        <v>17</v>
      </c>
      <c r="E173" s="34" t="str">
        <f>"2218"</f>
        <v>2218</v>
      </c>
      <c r="F173" s="31" t="s">
        <v>211</v>
      </c>
      <c r="G173" s="1"/>
      <c r="H173" s="1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25">
      <c r="A174" t="str">
        <f t="shared" si="7"/>
        <v>32801</v>
      </c>
      <c r="B174" s="34">
        <v>101</v>
      </c>
      <c r="C174" s="31" t="str">
        <f t="shared" si="8"/>
        <v>32081</v>
      </c>
      <c r="D174" s="31" t="s">
        <v>17</v>
      </c>
      <c r="E174" s="34" t="str">
        <f>"3008"</f>
        <v>3008</v>
      </c>
      <c r="F174" s="31" t="s">
        <v>215</v>
      </c>
      <c r="G174" s="1"/>
      <c r="H174" s="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x14ac:dyDescent="0.25">
      <c r="A175" t="str">
        <f t="shared" si="7"/>
        <v>32801</v>
      </c>
      <c r="B175" s="34">
        <v>101</v>
      </c>
      <c r="C175" s="31" t="str">
        <f t="shared" si="8"/>
        <v>32081</v>
      </c>
      <c r="D175" s="31" t="s">
        <v>17</v>
      </c>
      <c r="E175" s="34" t="str">
        <f>"4457"</f>
        <v>4457</v>
      </c>
      <c r="F175" s="31" t="s">
        <v>329</v>
      </c>
      <c r="G175" s="1"/>
      <c r="H175" s="1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5">
      <c r="A176" t="str">
        <f t="shared" si="7"/>
        <v>32801</v>
      </c>
      <c r="B176" s="34">
        <v>101</v>
      </c>
      <c r="C176" s="31" t="str">
        <f t="shared" si="8"/>
        <v>32081</v>
      </c>
      <c r="D176" s="31" t="s">
        <v>17</v>
      </c>
      <c r="E176" s="34" t="str">
        <f>"2129"</f>
        <v>2129</v>
      </c>
      <c r="F176" s="31" t="s">
        <v>425</v>
      </c>
      <c r="G176" s="1"/>
      <c r="H176" s="1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25">
      <c r="A177" t="str">
        <f t="shared" si="7"/>
        <v>32801</v>
      </c>
      <c r="B177" s="34">
        <v>101</v>
      </c>
      <c r="C177" s="31" t="str">
        <f t="shared" si="8"/>
        <v>32081</v>
      </c>
      <c r="D177" s="31" t="s">
        <v>17</v>
      </c>
      <c r="E177" s="34" t="str">
        <f>"3412"</f>
        <v>3412</v>
      </c>
      <c r="F177" s="31" t="s">
        <v>626</v>
      </c>
      <c r="G177" s="1"/>
      <c r="H177" s="1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5">
      <c r="A178" t="str">
        <f t="shared" si="7"/>
        <v>32801</v>
      </c>
      <c r="B178" s="34">
        <v>101</v>
      </c>
      <c r="C178" s="31" t="str">
        <f t="shared" si="8"/>
        <v>32081</v>
      </c>
      <c r="D178" s="31" t="s">
        <v>17</v>
      </c>
      <c r="E178" s="34" t="str">
        <f>"2312"</f>
        <v>2312</v>
      </c>
      <c r="F178" s="31" t="s">
        <v>630</v>
      </c>
      <c r="G178" s="1"/>
      <c r="H178" s="1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25">
      <c r="A179" t="str">
        <f t="shared" si="7"/>
        <v>32801</v>
      </c>
      <c r="B179" s="34">
        <v>101</v>
      </c>
      <c r="C179" s="31" t="str">
        <f t="shared" si="8"/>
        <v>32081</v>
      </c>
      <c r="D179" s="31" t="s">
        <v>17</v>
      </c>
      <c r="E179" s="34" t="str">
        <f>"2127"</f>
        <v>2127</v>
      </c>
      <c r="F179" s="31" t="s">
        <v>660</v>
      </c>
      <c r="G179" s="1"/>
      <c r="H179" s="1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25">
      <c r="A180" t="str">
        <f t="shared" si="7"/>
        <v>32801</v>
      </c>
      <c r="B180" s="34">
        <v>101</v>
      </c>
      <c r="C180" s="31" t="str">
        <f t="shared" si="8"/>
        <v>32081</v>
      </c>
      <c r="D180" s="31" t="s">
        <v>17</v>
      </c>
      <c r="E180" s="34" t="str">
        <f>"3727"</f>
        <v>3727</v>
      </c>
      <c r="F180" s="31" t="s">
        <v>684</v>
      </c>
      <c r="G180" s="1"/>
      <c r="H180" s="1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25">
      <c r="A181" t="str">
        <f t="shared" si="7"/>
        <v>32801</v>
      </c>
      <c r="B181" s="34">
        <v>101</v>
      </c>
      <c r="C181" s="31" t="str">
        <f t="shared" si="8"/>
        <v>32081</v>
      </c>
      <c r="D181" s="31" t="s">
        <v>17</v>
      </c>
      <c r="E181" s="34" t="str">
        <f>"3758"</f>
        <v>3758</v>
      </c>
      <c r="F181" s="31" t="s">
        <v>689</v>
      </c>
      <c r="G181" s="1"/>
      <c r="H181" s="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25">
      <c r="A182" t="str">
        <f t="shared" si="7"/>
        <v>32801</v>
      </c>
      <c r="B182" s="34">
        <v>101</v>
      </c>
      <c r="C182" s="31" t="str">
        <f t="shared" si="8"/>
        <v>32081</v>
      </c>
      <c r="D182" s="31" t="s">
        <v>17</v>
      </c>
      <c r="E182" s="34" t="str">
        <f>"3258"</f>
        <v>3258</v>
      </c>
      <c r="F182" s="31" t="s">
        <v>716</v>
      </c>
      <c r="G182" s="1"/>
      <c r="H182" s="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25">
      <c r="A183" t="str">
        <f t="shared" si="7"/>
        <v>32801</v>
      </c>
      <c r="B183" s="34">
        <v>101</v>
      </c>
      <c r="C183" s="31" t="str">
        <f t="shared" si="8"/>
        <v>32081</v>
      </c>
      <c r="D183" s="31" t="s">
        <v>17</v>
      </c>
      <c r="E183" s="34" t="str">
        <f>"3729"</f>
        <v>3729</v>
      </c>
      <c r="F183" s="31" t="s">
        <v>739</v>
      </c>
      <c r="G183" s="1"/>
      <c r="H183" s="1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25">
      <c r="A184" t="str">
        <f t="shared" si="7"/>
        <v>32801</v>
      </c>
      <c r="B184" s="34">
        <v>101</v>
      </c>
      <c r="C184" s="31" t="str">
        <f t="shared" si="8"/>
        <v>32081</v>
      </c>
      <c r="D184" s="31" t="s">
        <v>17</v>
      </c>
      <c r="E184" s="34" t="str">
        <f>"3007"</f>
        <v>3007</v>
      </c>
      <c r="F184" s="31" t="s">
        <v>764</v>
      </c>
      <c r="G184" s="1"/>
      <c r="H184" s="1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x14ac:dyDescent="0.25">
      <c r="A185" t="str">
        <f t="shared" si="7"/>
        <v>32801</v>
      </c>
      <c r="B185" s="34">
        <v>101</v>
      </c>
      <c r="C185" s="31" t="str">
        <f t="shared" si="8"/>
        <v>32081</v>
      </c>
      <c r="D185" s="31" t="s">
        <v>17</v>
      </c>
      <c r="E185" s="34" t="str">
        <f>"2056"</f>
        <v>2056</v>
      </c>
      <c r="F185" s="31" t="s">
        <v>832</v>
      </c>
      <c r="G185" s="1"/>
      <c r="H185" s="1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t="str">
        <f t="shared" si="7"/>
        <v>32801</v>
      </c>
      <c r="B186" s="34">
        <v>101</v>
      </c>
      <c r="C186" s="31" t="str">
        <f t="shared" si="8"/>
        <v>32081</v>
      </c>
      <c r="D186" s="31" t="s">
        <v>17</v>
      </c>
      <c r="E186" s="34" t="str">
        <f>"2258"</f>
        <v>2258</v>
      </c>
      <c r="F186" s="31" t="s">
        <v>856</v>
      </c>
      <c r="G186" s="1"/>
      <c r="H186" s="1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t="str">
        <f t="shared" si="7"/>
        <v>32801</v>
      </c>
      <c r="B187" s="34">
        <v>101</v>
      </c>
      <c r="C187" s="31" t="str">
        <f t="shared" si="8"/>
        <v>32081</v>
      </c>
      <c r="D187" s="31" t="s">
        <v>17</v>
      </c>
      <c r="E187" s="34" t="str">
        <f>"3506"</f>
        <v>3506</v>
      </c>
      <c r="F187" s="31" t="s">
        <v>866</v>
      </c>
      <c r="G187" s="1"/>
      <c r="H187" s="1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5">
      <c r="A188" t="str">
        <f t="shared" si="7"/>
        <v>32801</v>
      </c>
      <c r="B188" s="34">
        <v>101</v>
      </c>
      <c r="C188" s="31" t="str">
        <f t="shared" si="8"/>
        <v>32081</v>
      </c>
      <c r="D188" s="31" t="s">
        <v>17</v>
      </c>
      <c r="E188" s="34" t="str">
        <f>"2111"</f>
        <v>2111</v>
      </c>
      <c r="F188" s="31" t="s">
        <v>895</v>
      </c>
      <c r="G188" s="1"/>
      <c r="H188" s="1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x14ac:dyDescent="0.25">
      <c r="A189" t="str">
        <f t="shared" si="7"/>
        <v>32801</v>
      </c>
      <c r="B189" s="34">
        <v>101</v>
      </c>
      <c r="C189" s="31" t="str">
        <f t="shared" si="8"/>
        <v>32081</v>
      </c>
      <c r="D189" s="31" t="s">
        <v>17</v>
      </c>
      <c r="E189" s="34" t="str">
        <f>"2172"</f>
        <v>2172</v>
      </c>
      <c r="F189" s="31" t="s">
        <v>1033</v>
      </c>
      <c r="G189" s="1"/>
      <c r="H189" s="1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5">
      <c r="A190" t="str">
        <f t="shared" si="7"/>
        <v>32801</v>
      </c>
      <c r="B190" s="34">
        <v>101</v>
      </c>
      <c r="C190" s="31" t="str">
        <f t="shared" si="8"/>
        <v>32081</v>
      </c>
      <c r="D190" s="31" t="s">
        <v>17</v>
      </c>
      <c r="E190" s="34" t="str">
        <f>"2401"</f>
        <v>2401</v>
      </c>
      <c r="F190" s="31" t="s">
        <v>1041</v>
      </c>
      <c r="G190" s="1"/>
      <c r="H190" s="1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5">
      <c r="A191" t="str">
        <f t="shared" si="7"/>
        <v>32801</v>
      </c>
      <c r="B191" s="34">
        <v>101</v>
      </c>
      <c r="C191" s="31" t="str">
        <f t="shared" si="8"/>
        <v>32081</v>
      </c>
      <c r="D191" s="31" t="s">
        <v>17</v>
      </c>
      <c r="E191" s="34" t="str">
        <f>"2952"</f>
        <v>2952</v>
      </c>
      <c r="F191" s="31" t="s">
        <v>1053</v>
      </c>
      <c r="G191" s="1"/>
      <c r="H191" s="1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x14ac:dyDescent="0.25">
      <c r="A192" t="str">
        <f t="shared" si="7"/>
        <v>32801</v>
      </c>
      <c r="B192" s="34">
        <v>101</v>
      </c>
      <c r="C192" s="31" t="str">
        <f t="shared" si="8"/>
        <v>32081</v>
      </c>
      <c r="D192" s="31" t="s">
        <v>17</v>
      </c>
      <c r="E192" s="34" t="str">
        <f>"2951"</f>
        <v>2951</v>
      </c>
      <c r="F192" s="31" t="s">
        <v>1058</v>
      </c>
      <c r="G192" s="1"/>
      <c r="H192" s="1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t="str">
        <f t="shared" si="7"/>
        <v>32801</v>
      </c>
      <c r="B193" s="34">
        <v>101</v>
      </c>
      <c r="C193" s="31" t="str">
        <f t="shared" si="8"/>
        <v>32081</v>
      </c>
      <c r="D193" s="31" t="s">
        <v>17</v>
      </c>
      <c r="E193" s="34" t="str">
        <f>"3190"</f>
        <v>3190</v>
      </c>
      <c r="F193" s="31" t="s">
        <v>1066</v>
      </c>
      <c r="G193" s="1"/>
      <c r="H193" s="1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t="str">
        <f t="shared" si="7"/>
        <v>32801</v>
      </c>
      <c r="B194" s="34">
        <v>101</v>
      </c>
      <c r="C194" s="31" t="str">
        <f t="shared" si="8"/>
        <v>32081</v>
      </c>
      <c r="D194" s="31" t="s">
        <v>17</v>
      </c>
      <c r="E194" s="34" t="str">
        <f>"3719"</f>
        <v>3719</v>
      </c>
      <c r="F194" s="31" t="s">
        <v>1073</v>
      </c>
      <c r="G194" s="1"/>
      <c r="H194" s="1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x14ac:dyDescent="0.25">
      <c r="A195" t="str">
        <f t="shared" si="7"/>
        <v>32801</v>
      </c>
      <c r="B195" s="34">
        <v>101</v>
      </c>
      <c r="C195" s="31" t="str">
        <f t="shared" si="8"/>
        <v>32081</v>
      </c>
      <c r="D195" s="31" t="s">
        <v>17</v>
      </c>
      <c r="E195" s="34" t="str">
        <f>"3718"</f>
        <v>3718</v>
      </c>
      <c r="F195" s="31" t="s">
        <v>1075</v>
      </c>
      <c r="G195" s="1"/>
      <c r="H195" s="1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x14ac:dyDescent="0.25">
      <c r="A196" t="str">
        <f t="shared" si="7"/>
        <v>32801</v>
      </c>
      <c r="B196" s="34">
        <v>101</v>
      </c>
      <c r="C196" s="31" t="str">
        <f t="shared" si="8"/>
        <v>32081</v>
      </c>
      <c r="D196" s="31" t="s">
        <v>17</v>
      </c>
      <c r="E196" s="34" t="str">
        <f>"2708"</f>
        <v>2708</v>
      </c>
      <c r="F196" s="31" t="s">
        <v>1103</v>
      </c>
      <c r="G196" s="1"/>
      <c r="H196" s="1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x14ac:dyDescent="0.25">
      <c r="A197" t="str">
        <f t="shared" si="7"/>
        <v>32801</v>
      </c>
      <c r="B197" s="34">
        <v>101</v>
      </c>
      <c r="C197" s="31" t="str">
        <f t="shared" si="8"/>
        <v>32081</v>
      </c>
      <c r="D197" s="31" t="s">
        <v>17</v>
      </c>
      <c r="E197" s="34" t="str">
        <f>"4389"</f>
        <v>4389</v>
      </c>
      <c r="F197" s="31" t="s">
        <v>1222</v>
      </c>
      <c r="G197" s="1"/>
      <c r="H197" s="1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x14ac:dyDescent="0.25">
      <c r="A198" t="str">
        <f t="shared" si="7"/>
        <v>32801</v>
      </c>
      <c r="B198" s="34">
        <v>101</v>
      </c>
      <c r="C198" s="31" t="str">
        <f t="shared" si="8"/>
        <v>32081</v>
      </c>
      <c r="D198" s="31" t="s">
        <v>17</v>
      </c>
      <c r="E198" s="34" t="str">
        <f>"4035"</f>
        <v>4035</v>
      </c>
      <c r="F198" s="31" t="s">
        <v>1264</v>
      </c>
      <c r="G198" s="1"/>
      <c r="H198" s="1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x14ac:dyDescent="0.25">
      <c r="A199" t="str">
        <f t="shared" ref="A199:A244" si="9">"32801"</f>
        <v>32801</v>
      </c>
      <c r="B199" s="34">
        <v>101</v>
      </c>
      <c r="C199" s="31" t="str">
        <f t="shared" si="8"/>
        <v>32081</v>
      </c>
      <c r="D199" s="31" t="s">
        <v>17</v>
      </c>
      <c r="E199" s="34" t="str">
        <f>"2106"</f>
        <v>2106</v>
      </c>
      <c r="F199" s="31" t="s">
        <v>1305</v>
      </c>
      <c r="G199" s="1"/>
      <c r="H199" s="1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t="str">
        <f t="shared" si="9"/>
        <v>32801</v>
      </c>
      <c r="B200" s="34">
        <v>101</v>
      </c>
      <c r="C200" s="31" t="str">
        <f t="shared" si="8"/>
        <v>32081</v>
      </c>
      <c r="D200" s="31" t="s">
        <v>17</v>
      </c>
      <c r="E200" s="34" t="str">
        <f>"5250"</f>
        <v>5250</v>
      </c>
      <c r="F200" s="31" t="s">
        <v>1373</v>
      </c>
      <c r="G200" s="1"/>
      <c r="H200" s="1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t="str">
        <f t="shared" si="9"/>
        <v>32801</v>
      </c>
      <c r="B201" s="34">
        <v>101</v>
      </c>
      <c r="C201" s="31" t="str">
        <f t="shared" si="8"/>
        <v>32081</v>
      </c>
      <c r="D201" s="31" t="s">
        <v>17</v>
      </c>
      <c r="E201" s="34" t="str">
        <f>"1567"</f>
        <v>1567</v>
      </c>
      <c r="F201" s="31" t="s">
        <v>2072</v>
      </c>
      <c r="G201" s="1"/>
      <c r="H201" s="1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x14ac:dyDescent="0.25">
      <c r="A202" t="str">
        <f t="shared" si="9"/>
        <v>32801</v>
      </c>
      <c r="B202" s="34">
        <v>101</v>
      </c>
      <c r="C202" s="31" t="str">
        <f t="shared" si="8"/>
        <v>32081</v>
      </c>
      <c r="D202" s="31" t="s">
        <v>17</v>
      </c>
      <c r="E202" s="34" t="str">
        <f>"2096"</f>
        <v>2096</v>
      </c>
      <c r="F202" s="31" t="s">
        <v>1513</v>
      </c>
      <c r="G202" s="1"/>
      <c r="H202" s="1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x14ac:dyDescent="0.25">
      <c r="A203" t="str">
        <f t="shared" si="9"/>
        <v>32801</v>
      </c>
      <c r="B203" s="34">
        <v>101</v>
      </c>
      <c r="C203" s="31" t="str">
        <f t="shared" si="8"/>
        <v>32081</v>
      </c>
      <c r="D203" s="31" t="s">
        <v>17</v>
      </c>
      <c r="E203" s="34" t="str">
        <f>"2950"</f>
        <v>2950</v>
      </c>
      <c r="F203" s="31" t="s">
        <v>1529</v>
      </c>
      <c r="G203" s="1"/>
      <c r="H203" s="1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x14ac:dyDescent="0.25">
      <c r="A204" t="str">
        <f t="shared" si="9"/>
        <v>32801</v>
      </c>
      <c r="B204" s="34">
        <v>101</v>
      </c>
      <c r="C204" s="31" t="str">
        <f t="shared" si="8"/>
        <v>32081</v>
      </c>
      <c r="D204" s="31" t="s">
        <v>17</v>
      </c>
      <c r="E204" s="34" t="str">
        <f>"2479"</f>
        <v>2479</v>
      </c>
      <c r="F204" s="31" t="s">
        <v>1553</v>
      </c>
      <c r="G204" s="1"/>
      <c r="H204" s="1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x14ac:dyDescent="0.25">
      <c r="A205" t="str">
        <f t="shared" si="9"/>
        <v>32801</v>
      </c>
      <c r="B205" s="34">
        <v>101</v>
      </c>
      <c r="C205" s="31" t="str">
        <f t="shared" si="8"/>
        <v>32081</v>
      </c>
      <c r="D205" s="31" t="s">
        <v>17</v>
      </c>
      <c r="E205" s="34" t="str">
        <f>"2086"</f>
        <v>2086</v>
      </c>
      <c r="F205" s="31" t="s">
        <v>1555</v>
      </c>
      <c r="G205" s="1"/>
      <c r="H205" s="1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x14ac:dyDescent="0.25">
      <c r="A206" t="str">
        <f t="shared" si="9"/>
        <v>32801</v>
      </c>
      <c r="B206" s="34">
        <v>101</v>
      </c>
      <c r="C206" s="31" t="str">
        <f t="shared" si="8"/>
        <v>32081</v>
      </c>
      <c r="D206" s="31" t="s">
        <v>17</v>
      </c>
      <c r="E206" s="34" t="str">
        <f>"3356"</f>
        <v>3356</v>
      </c>
      <c r="F206" s="31" t="s">
        <v>1574</v>
      </c>
      <c r="G206" s="1"/>
      <c r="H206" s="1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x14ac:dyDescent="0.25">
      <c r="A207" t="str">
        <f t="shared" si="9"/>
        <v>32801</v>
      </c>
      <c r="B207" s="34">
        <v>101</v>
      </c>
      <c r="C207" s="31" t="str">
        <f t="shared" si="8"/>
        <v>32081</v>
      </c>
      <c r="D207" s="31" t="s">
        <v>17</v>
      </c>
      <c r="E207" s="34" t="str">
        <f>"3413"</f>
        <v>3413</v>
      </c>
      <c r="F207" s="31" t="s">
        <v>1583</v>
      </c>
      <c r="G207" s="1"/>
      <c r="H207" s="1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x14ac:dyDescent="0.25">
      <c r="A208" t="str">
        <f t="shared" si="9"/>
        <v>32801</v>
      </c>
      <c r="B208" s="34">
        <v>101</v>
      </c>
      <c r="C208" s="31" t="str">
        <f t="shared" si="8"/>
        <v>32081</v>
      </c>
      <c r="D208" s="31" t="s">
        <v>17</v>
      </c>
      <c r="E208" s="34" t="str">
        <f>"3189"</f>
        <v>3189</v>
      </c>
      <c r="F208" s="31" t="s">
        <v>1627</v>
      </c>
      <c r="G208" s="1"/>
      <c r="H208" s="1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5">
      <c r="A209" t="str">
        <f t="shared" si="9"/>
        <v>32801</v>
      </c>
      <c r="B209" s="34">
        <v>101</v>
      </c>
      <c r="C209" s="31" t="str">
        <f t="shared" si="8"/>
        <v>32081</v>
      </c>
      <c r="D209" s="31" t="s">
        <v>17</v>
      </c>
      <c r="E209" s="34" t="str">
        <f>"3257"</f>
        <v>3257</v>
      </c>
      <c r="F209" s="31" t="s">
        <v>1631</v>
      </c>
      <c r="G209" s="1"/>
      <c r="H209" s="1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t="str">
        <f t="shared" si="9"/>
        <v>32801</v>
      </c>
      <c r="B210" s="34">
        <v>101</v>
      </c>
      <c r="C210" s="31" t="str">
        <f t="shared" si="8"/>
        <v>32081</v>
      </c>
      <c r="D210" s="31" t="s">
        <v>17</v>
      </c>
      <c r="E210" s="34" t="str">
        <f>"2110"</f>
        <v>2110</v>
      </c>
      <c r="F210" s="31" t="s">
        <v>1636</v>
      </c>
      <c r="G210" s="1"/>
      <c r="H210" s="1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5">
      <c r="A211" t="str">
        <f t="shared" si="9"/>
        <v>32801</v>
      </c>
      <c r="B211" s="34">
        <v>101</v>
      </c>
      <c r="C211" s="31" t="str">
        <f t="shared" si="8"/>
        <v>32081</v>
      </c>
      <c r="D211" s="31" t="s">
        <v>17</v>
      </c>
      <c r="E211" s="34" t="str">
        <f>"4191"</f>
        <v>4191</v>
      </c>
      <c r="F211" s="31" t="s">
        <v>1704</v>
      </c>
      <c r="G211" s="1"/>
      <c r="H211" s="1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x14ac:dyDescent="0.25">
      <c r="A212" t="str">
        <f t="shared" si="9"/>
        <v>32801</v>
      </c>
      <c r="B212" s="34">
        <v>101</v>
      </c>
      <c r="C212" s="31" t="str">
        <f t="shared" si="8"/>
        <v>32081</v>
      </c>
      <c r="D212" s="31" t="s">
        <v>17</v>
      </c>
      <c r="E212" s="34" t="str">
        <f>"5361"</f>
        <v>5361</v>
      </c>
      <c r="F212" s="31" t="s">
        <v>1705</v>
      </c>
      <c r="G212" s="1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x14ac:dyDescent="0.25">
      <c r="A213" t="str">
        <f t="shared" si="9"/>
        <v>32801</v>
      </c>
      <c r="B213" s="34">
        <v>101</v>
      </c>
      <c r="C213" s="31" t="str">
        <f t="shared" si="8"/>
        <v>32081</v>
      </c>
      <c r="D213" s="31" t="s">
        <v>17</v>
      </c>
      <c r="E213" s="34" t="str">
        <f>"2108"</f>
        <v>2108</v>
      </c>
      <c r="F213" s="31" t="s">
        <v>1730</v>
      </c>
      <c r="G213" s="1"/>
      <c r="H213" s="1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x14ac:dyDescent="0.25">
      <c r="A214" t="str">
        <f t="shared" si="9"/>
        <v>32801</v>
      </c>
      <c r="B214" s="34">
        <v>101</v>
      </c>
      <c r="C214" s="31" t="str">
        <f t="shared" si="8"/>
        <v>32081</v>
      </c>
      <c r="D214" s="31" t="s">
        <v>17</v>
      </c>
      <c r="E214" s="34" t="str">
        <f>"5301"</f>
        <v>5301</v>
      </c>
      <c r="F214" s="31" t="s">
        <v>1785</v>
      </c>
      <c r="G214" s="1"/>
      <c r="H214" s="1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x14ac:dyDescent="0.25">
      <c r="A215" t="str">
        <f t="shared" si="9"/>
        <v>32801</v>
      </c>
      <c r="B215" s="34">
        <v>101</v>
      </c>
      <c r="C215" s="31" t="str">
        <f t="shared" si="8"/>
        <v>32081</v>
      </c>
      <c r="D215" s="31" t="s">
        <v>17</v>
      </c>
      <c r="E215" s="34" t="str">
        <f>"3063"</f>
        <v>3063</v>
      </c>
      <c r="F215" s="31" t="s">
        <v>1922</v>
      </c>
      <c r="G215" s="1"/>
      <c r="H215" s="1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5">
      <c r="A216" t="str">
        <f t="shared" si="9"/>
        <v>32801</v>
      </c>
      <c r="B216" s="34">
        <v>101</v>
      </c>
      <c r="C216" s="31" t="str">
        <f t="shared" si="8"/>
        <v>32081</v>
      </c>
      <c r="D216" s="31" t="s">
        <v>17</v>
      </c>
      <c r="E216" s="34" t="str">
        <f>"2191"</f>
        <v>2191</v>
      </c>
      <c r="F216" s="31" t="s">
        <v>1935</v>
      </c>
      <c r="G216" s="1"/>
      <c r="H216" s="1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t="str">
        <f t="shared" si="9"/>
        <v>32801</v>
      </c>
      <c r="B217" s="34">
        <v>101</v>
      </c>
      <c r="C217" s="31" t="str">
        <f t="shared" si="8"/>
        <v>32081</v>
      </c>
      <c r="D217" s="31" t="s">
        <v>17</v>
      </c>
      <c r="E217" s="34" t="str">
        <f>"2109"</f>
        <v>2109</v>
      </c>
      <c r="F217" s="31" t="s">
        <v>1950</v>
      </c>
      <c r="G217" s="1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t="str">
        <f t="shared" si="9"/>
        <v>32801</v>
      </c>
      <c r="B218" s="34">
        <v>101</v>
      </c>
      <c r="C218" s="31" t="str">
        <f t="shared" si="8"/>
        <v>32081</v>
      </c>
      <c r="D218" s="31" t="s">
        <v>17</v>
      </c>
      <c r="E218" s="34" t="str">
        <f>"2296"</f>
        <v>2296</v>
      </c>
      <c r="F218" s="31" t="s">
        <v>1956</v>
      </c>
      <c r="G218" s="1"/>
      <c r="H218" s="1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x14ac:dyDescent="0.25">
      <c r="A219" t="str">
        <f t="shared" si="9"/>
        <v>32801</v>
      </c>
      <c r="B219" s="34">
        <v>101</v>
      </c>
      <c r="C219" s="31" t="str">
        <f t="shared" si="8"/>
        <v>32081</v>
      </c>
      <c r="D219" s="31" t="s">
        <v>17</v>
      </c>
      <c r="E219" s="34" t="str">
        <f>"4192"</f>
        <v>4192</v>
      </c>
      <c r="F219" s="31" t="s">
        <v>1974</v>
      </c>
      <c r="G219" s="1"/>
      <c r="H219" s="1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x14ac:dyDescent="0.25">
      <c r="A220" t="str">
        <f t="shared" si="9"/>
        <v>32801</v>
      </c>
      <c r="B220" s="33">
        <v>101</v>
      </c>
      <c r="C220" s="35">
        <v>22008</v>
      </c>
      <c r="D220" t="s">
        <v>1710</v>
      </c>
      <c r="E220" s="36">
        <v>3050</v>
      </c>
      <c r="F220" t="s">
        <v>1711</v>
      </c>
      <c r="G220" s="1"/>
      <c r="H220" s="1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x14ac:dyDescent="0.25">
      <c r="A221" t="str">
        <f t="shared" si="9"/>
        <v>32801</v>
      </c>
      <c r="B221" s="33">
        <v>101</v>
      </c>
      <c r="C221" s="35">
        <v>22008</v>
      </c>
      <c r="D221" t="s">
        <v>1710</v>
      </c>
      <c r="E221" s="36">
        <v>2186</v>
      </c>
      <c r="F221" t="s">
        <v>1712</v>
      </c>
      <c r="G221" s="1"/>
      <c r="H221" s="1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x14ac:dyDescent="0.25">
      <c r="A222" t="str">
        <f t="shared" si="9"/>
        <v>32801</v>
      </c>
      <c r="B222" s="33">
        <v>101</v>
      </c>
      <c r="C222" s="35">
        <v>38322</v>
      </c>
      <c r="D222" t="s">
        <v>1718</v>
      </c>
      <c r="E222" s="36">
        <v>3069</v>
      </c>
      <c r="F222" t="s">
        <v>2150</v>
      </c>
      <c r="G222" s="1"/>
      <c r="H222" s="1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x14ac:dyDescent="0.25">
      <c r="A223" t="str">
        <f t="shared" si="9"/>
        <v>32801</v>
      </c>
      <c r="B223" s="33">
        <v>101</v>
      </c>
      <c r="C223" s="35">
        <v>38304</v>
      </c>
      <c r="D223" t="s">
        <v>2151</v>
      </c>
      <c r="E223" s="36">
        <v>2115</v>
      </c>
      <c r="F223" t="s">
        <v>2152</v>
      </c>
      <c r="G223" s="1"/>
      <c r="H223" s="1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x14ac:dyDescent="0.25">
      <c r="A224" t="str">
        <f t="shared" si="9"/>
        <v>32801</v>
      </c>
      <c r="B224" s="33">
        <v>101</v>
      </c>
      <c r="C224" s="35">
        <v>33202</v>
      </c>
      <c r="D224" t="s">
        <v>2153</v>
      </c>
      <c r="E224" s="36">
        <v>4394</v>
      </c>
      <c r="F224" t="s">
        <v>2154</v>
      </c>
      <c r="G224" s="1"/>
      <c r="H224" s="1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x14ac:dyDescent="0.25">
      <c r="A225" t="str">
        <f t="shared" si="9"/>
        <v>32801</v>
      </c>
      <c r="B225" s="34">
        <v>101</v>
      </c>
      <c r="C225" s="35">
        <v>38265</v>
      </c>
      <c r="D225" s="2" t="s">
        <v>1775</v>
      </c>
      <c r="E225" s="36">
        <v>2052</v>
      </c>
      <c r="F225" s="2" t="s">
        <v>1776</v>
      </c>
      <c r="G225" s="1"/>
      <c r="H225" s="1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x14ac:dyDescent="0.25">
      <c r="A226" t="str">
        <f t="shared" si="9"/>
        <v>32801</v>
      </c>
      <c r="B226" s="34">
        <v>101</v>
      </c>
      <c r="C226" s="35">
        <v>38265</v>
      </c>
      <c r="D226" s="2" t="s">
        <v>1775</v>
      </c>
      <c r="E226" s="36">
        <v>3418</v>
      </c>
      <c r="F226" s="2" t="s">
        <v>1777</v>
      </c>
      <c r="G226" s="1"/>
      <c r="H226" s="1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x14ac:dyDescent="0.25">
      <c r="A227" t="str">
        <f t="shared" si="9"/>
        <v>32801</v>
      </c>
      <c r="B227" s="33">
        <v>101</v>
      </c>
      <c r="C227" s="35">
        <v>33070</v>
      </c>
      <c r="D227" t="s">
        <v>1404</v>
      </c>
      <c r="E227" s="33" t="str">
        <f>"5223"</f>
        <v>5223</v>
      </c>
      <c r="F227" t="s">
        <v>1405</v>
      </c>
      <c r="G227" s="1"/>
      <c r="H227" s="1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x14ac:dyDescent="0.25">
      <c r="A228" t="str">
        <f t="shared" si="9"/>
        <v>32801</v>
      </c>
      <c r="B228" s="33">
        <v>101</v>
      </c>
      <c r="C228" s="35">
        <v>33070</v>
      </c>
      <c r="D228" t="s">
        <v>1404</v>
      </c>
      <c r="E228" s="36">
        <v>2405</v>
      </c>
      <c r="F228" t="s">
        <v>1845</v>
      </c>
      <c r="G228" s="1"/>
      <c r="H228" s="1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5">
      <c r="A229" t="str">
        <f t="shared" si="9"/>
        <v>32801</v>
      </c>
      <c r="B229" s="34">
        <v>101</v>
      </c>
      <c r="C229" s="35">
        <v>1109</v>
      </c>
      <c r="D229" s="2" t="s">
        <v>2066</v>
      </c>
      <c r="E229" s="36">
        <v>3075</v>
      </c>
      <c r="F229" t="s">
        <v>2155</v>
      </c>
      <c r="G229" s="1"/>
      <c r="H229" s="1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5">
      <c r="A230" t="str">
        <f t="shared" si="9"/>
        <v>32801</v>
      </c>
      <c r="B230" s="33">
        <v>101</v>
      </c>
      <c r="C230" s="35">
        <v>33049</v>
      </c>
      <c r="D230" t="s">
        <v>2156</v>
      </c>
      <c r="E230" s="36">
        <v>2549</v>
      </c>
      <c r="F230" t="s">
        <v>1900</v>
      </c>
      <c r="G230" s="1"/>
      <c r="H230" s="1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5">
      <c r="A231" t="str">
        <f t="shared" si="9"/>
        <v>32801</v>
      </c>
      <c r="B231" s="33">
        <v>101</v>
      </c>
      <c r="C231" s="35">
        <v>33049</v>
      </c>
      <c r="D231" t="s">
        <v>2156</v>
      </c>
      <c r="E231" s="36">
        <v>5461</v>
      </c>
      <c r="F231" t="s">
        <v>1901</v>
      </c>
      <c r="G231" s="1"/>
      <c r="H231" s="1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5">
      <c r="A232" t="str">
        <f t="shared" si="9"/>
        <v>32801</v>
      </c>
      <c r="B232" s="33">
        <v>101</v>
      </c>
      <c r="C232" s="35">
        <v>33049</v>
      </c>
      <c r="D232" t="s">
        <v>2156</v>
      </c>
      <c r="E232" s="36">
        <v>2550</v>
      </c>
      <c r="F232" t="s">
        <v>1902</v>
      </c>
      <c r="G232" s="1"/>
      <c r="H232" s="1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x14ac:dyDescent="0.25">
      <c r="A233" t="str">
        <f t="shared" si="9"/>
        <v>32801</v>
      </c>
      <c r="B233" s="33">
        <v>101</v>
      </c>
      <c r="C233" s="35">
        <v>33049</v>
      </c>
      <c r="D233" t="s">
        <v>2156</v>
      </c>
      <c r="E233" s="36">
        <v>4232</v>
      </c>
      <c r="F233" t="s">
        <v>1903</v>
      </c>
      <c r="G233" s="1"/>
      <c r="H233" s="11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x14ac:dyDescent="0.25">
      <c r="A234" t="str">
        <f t="shared" si="9"/>
        <v>32801</v>
      </c>
      <c r="B234" s="33">
        <v>101</v>
      </c>
      <c r="C234" t="str">
        <f t="shared" ref="C234:C243" si="10">"32363"</f>
        <v>32363</v>
      </c>
      <c r="D234" t="s">
        <v>305</v>
      </c>
      <c r="E234" s="33" t="str">
        <f>"3538"</f>
        <v>3538</v>
      </c>
      <c r="F234" t="s">
        <v>306</v>
      </c>
      <c r="G234" s="1"/>
      <c r="H234" s="11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x14ac:dyDescent="0.25">
      <c r="A235" t="str">
        <f t="shared" si="9"/>
        <v>32801</v>
      </c>
      <c r="B235" s="33">
        <v>101</v>
      </c>
      <c r="C235" t="str">
        <f t="shared" si="10"/>
        <v>32363</v>
      </c>
      <c r="D235" t="s">
        <v>305</v>
      </c>
      <c r="E235" s="33" t="str">
        <f>"1628"</f>
        <v>1628</v>
      </c>
      <c r="F235" t="s">
        <v>510</v>
      </c>
      <c r="G235" s="1"/>
      <c r="H235" s="1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x14ac:dyDescent="0.25">
      <c r="A236" t="str">
        <f t="shared" si="9"/>
        <v>32801</v>
      </c>
      <c r="B236" s="33">
        <v>101</v>
      </c>
      <c r="C236" t="str">
        <f t="shared" si="10"/>
        <v>32363</v>
      </c>
      <c r="D236" t="s">
        <v>305</v>
      </c>
      <c r="E236" s="33" t="str">
        <f>"2711"</f>
        <v>2711</v>
      </c>
      <c r="F236" t="s">
        <v>1208</v>
      </c>
      <c r="G236" s="1"/>
      <c r="H236" s="1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x14ac:dyDescent="0.25">
      <c r="A237" t="str">
        <f t="shared" si="9"/>
        <v>32801</v>
      </c>
      <c r="B237" s="33">
        <v>101</v>
      </c>
      <c r="C237" t="str">
        <f t="shared" si="10"/>
        <v>32363</v>
      </c>
      <c r="D237" t="s">
        <v>305</v>
      </c>
      <c r="E237" s="33" t="str">
        <f>"3196"</f>
        <v>3196</v>
      </c>
      <c r="F237" t="s">
        <v>1288</v>
      </c>
      <c r="G237" s="1"/>
      <c r="H237" s="1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x14ac:dyDescent="0.25">
      <c r="A238" t="str">
        <f t="shared" si="9"/>
        <v>32801</v>
      </c>
      <c r="B238" s="33">
        <v>101</v>
      </c>
      <c r="C238" t="str">
        <f t="shared" si="10"/>
        <v>32363</v>
      </c>
      <c r="D238" t="s">
        <v>305</v>
      </c>
      <c r="E238" s="33" t="str">
        <f>"3129"</f>
        <v>3129</v>
      </c>
      <c r="F238" t="s">
        <v>1384</v>
      </c>
      <c r="G238" s="1"/>
      <c r="H238" s="11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x14ac:dyDescent="0.25">
      <c r="A239" t="str">
        <f t="shared" si="9"/>
        <v>32801</v>
      </c>
      <c r="B239" s="33">
        <v>101</v>
      </c>
      <c r="C239" t="str">
        <f t="shared" si="10"/>
        <v>32363</v>
      </c>
      <c r="D239" t="s">
        <v>305</v>
      </c>
      <c r="E239" s="33" t="str">
        <f>"3194"</f>
        <v>3194</v>
      </c>
      <c r="F239" t="s">
        <v>1425</v>
      </c>
      <c r="G239" s="1"/>
      <c r="H239" s="1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x14ac:dyDescent="0.25">
      <c r="A240" t="str">
        <f t="shared" si="9"/>
        <v>32801</v>
      </c>
      <c r="B240" s="33">
        <v>101</v>
      </c>
      <c r="C240" t="str">
        <f t="shared" si="10"/>
        <v>32363</v>
      </c>
      <c r="D240" t="s">
        <v>305</v>
      </c>
      <c r="E240" s="33" t="str">
        <f>"2956"</f>
        <v>2956</v>
      </c>
      <c r="F240" t="s">
        <v>1625</v>
      </c>
      <c r="G240" s="1"/>
      <c r="H240" s="1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x14ac:dyDescent="0.25">
      <c r="A241" t="str">
        <f t="shared" si="9"/>
        <v>32801</v>
      </c>
      <c r="B241" s="33">
        <v>101</v>
      </c>
      <c r="C241" t="str">
        <f t="shared" si="10"/>
        <v>32363</v>
      </c>
      <c r="D241" t="s">
        <v>305</v>
      </c>
      <c r="E241" s="33" t="str">
        <f>"1838"</f>
        <v>1838</v>
      </c>
      <c r="F241" t="s">
        <v>1706</v>
      </c>
      <c r="G241" s="1"/>
      <c r="H241" s="1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x14ac:dyDescent="0.25">
      <c r="A242" t="str">
        <f t="shared" si="9"/>
        <v>32801</v>
      </c>
      <c r="B242" s="33">
        <v>101</v>
      </c>
      <c r="C242" t="str">
        <f t="shared" si="10"/>
        <v>32363</v>
      </c>
      <c r="D242" t="s">
        <v>305</v>
      </c>
      <c r="E242" s="33" t="str">
        <f>"1842"</f>
        <v>1842</v>
      </c>
      <c r="F242" t="s">
        <v>1709</v>
      </c>
      <c r="G242" s="1"/>
      <c r="H242" s="1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x14ac:dyDescent="0.25">
      <c r="A243" t="str">
        <f t="shared" si="9"/>
        <v>32801</v>
      </c>
      <c r="B243" s="33">
        <v>101</v>
      </c>
      <c r="C243" t="str">
        <f t="shared" si="10"/>
        <v>32363</v>
      </c>
      <c r="D243" t="s">
        <v>305</v>
      </c>
      <c r="E243" s="33" t="str">
        <f>"3195"</f>
        <v>3195</v>
      </c>
      <c r="F243" t="s">
        <v>1912</v>
      </c>
      <c r="G243" s="1"/>
      <c r="H243" s="1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x14ac:dyDescent="0.25">
      <c r="A244" t="str">
        <f t="shared" si="9"/>
        <v>32801</v>
      </c>
      <c r="B244" s="34">
        <v>101</v>
      </c>
      <c r="C244" s="35">
        <v>22200</v>
      </c>
      <c r="D244" s="2" t="s">
        <v>1943</v>
      </c>
      <c r="E244" s="36">
        <v>3290</v>
      </c>
      <c r="F244" s="2" t="s">
        <v>2157</v>
      </c>
      <c r="G244" s="1"/>
      <c r="H244" s="1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x14ac:dyDescent="0.25">
      <c r="A245" t="str">
        <f t="shared" ref="A245:A308" si="11">"39801"</f>
        <v>39801</v>
      </c>
      <c r="B245" s="33">
        <v>105</v>
      </c>
      <c r="C245" s="35">
        <v>20203</v>
      </c>
      <c r="D245" t="s">
        <v>2158</v>
      </c>
      <c r="E245" s="36">
        <v>3392</v>
      </c>
      <c r="F245" t="s">
        <v>2159</v>
      </c>
      <c r="G245" s="1"/>
      <c r="H245" s="1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x14ac:dyDescent="0.25">
      <c r="A246" t="str">
        <f t="shared" si="11"/>
        <v>39801</v>
      </c>
      <c r="B246" s="33">
        <v>105</v>
      </c>
      <c r="C246" s="35">
        <v>19404</v>
      </c>
      <c r="D246" t="s">
        <v>370</v>
      </c>
      <c r="E246" s="36">
        <v>2328</v>
      </c>
      <c r="F246" t="s">
        <v>371</v>
      </c>
      <c r="G246" s="1"/>
      <c r="H246" s="1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x14ac:dyDescent="0.25">
      <c r="A247" t="str">
        <f t="shared" si="11"/>
        <v>39801</v>
      </c>
      <c r="B247" s="34">
        <v>105</v>
      </c>
      <c r="C247" s="35">
        <v>19404</v>
      </c>
      <c r="D247" s="2" t="s">
        <v>370</v>
      </c>
      <c r="E247" s="36">
        <v>2329</v>
      </c>
      <c r="F247" s="2" t="s">
        <v>372</v>
      </c>
      <c r="G247" s="1"/>
      <c r="H247" s="1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x14ac:dyDescent="0.25">
      <c r="A248" t="str">
        <f t="shared" si="11"/>
        <v>39801</v>
      </c>
      <c r="B248" s="34">
        <v>105</v>
      </c>
      <c r="C248" s="35">
        <v>19404</v>
      </c>
      <c r="D248" s="2" t="s">
        <v>370</v>
      </c>
      <c r="E248" s="36">
        <v>1987</v>
      </c>
      <c r="F248" s="2" t="s">
        <v>1764</v>
      </c>
      <c r="G248" s="1"/>
      <c r="H248" s="1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x14ac:dyDescent="0.25">
      <c r="A249" t="str">
        <f t="shared" si="11"/>
        <v>39801</v>
      </c>
      <c r="B249" s="34">
        <v>105</v>
      </c>
      <c r="C249" s="35">
        <v>19404</v>
      </c>
      <c r="D249" s="2" t="s">
        <v>370</v>
      </c>
      <c r="E249" s="36">
        <v>2570</v>
      </c>
      <c r="F249" s="2" t="s">
        <v>1882</v>
      </c>
      <c r="G249" s="1"/>
      <c r="H249" s="1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x14ac:dyDescent="0.25">
      <c r="A250" t="str">
        <f t="shared" si="11"/>
        <v>39801</v>
      </c>
      <c r="B250" s="33">
        <v>105</v>
      </c>
      <c r="C250" s="35">
        <v>19007</v>
      </c>
      <c r="D250" t="s">
        <v>2160</v>
      </c>
      <c r="E250" s="36">
        <v>2077</v>
      </c>
      <c r="F250" t="s">
        <v>2161</v>
      </c>
      <c r="G250" s="1"/>
      <c r="H250" s="1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x14ac:dyDescent="0.25">
      <c r="A251" t="str">
        <f t="shared" si="11"/>
        <v>39801</v>
      </c>
      <c r="B251" s="34">
        <v>105</v>
      </c>
      <c r="C251" s="31" t="str">
        <f>"39090"</f>
        <v>39090</v>
      </c>
      <c r="D251" s="31" t="s">
        <v>533</v>
      </c>
      <c r="E251" s="34" t="str">
        <f>"4055"</f>
        <v>4055</v>
      </c>
      <c r="F251" s="31" t="s">
        <v>534</v>
      </c>
      <c r="G251" s="1"/>
      <c r="H251" s="1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5">
      <c r="A252" t="str">
        <f t="shared" si="11"/>
        <v>39801</v>
      </c>
      <c r="B252" s="34">
        <v>105</v>
      </c>
      <c r="C252" s="31" t="str">
        <f>"39090"</f>
        <v>39090</v>
      </c>
      <c r="D252" s="31" t="s">
        <v>533</v>
      </c>
      <c r="E252" s="34" t="str">
        <f>"4487"</f>
        <v>4487</v>
      </c>
      <c r="F252" s="31" t="s">
        <v>535</v>
      </c>
      <c r="G252" s="1"/>
      <c r="H252" s="1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5">
      <c r="A253" t="str">
        <f t="shared" si="11"/>
        <v>39801</v>
      </c>
      <c r="B253" s="34">
        <v>105</v>
      </c>
      <c r="C253" s="31" t="str">
        <f>"39090"</f>
        <v>39090</v>
      </c>
      <c r="D253" s="31" t="s">
        <v>533</v>
      </c>
      <c r="E253" s="34" t="str">
        <f>"2344"</f>
        <v>2344</v>
      </c>
      <c r="F253" s="31" t="s">
        <v>536</v>
      </c>
      <c r="G253" s="1"/>
      <c r="H253" s="1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5">
      <c r="A254" t="str">
        <f t="shared" si="11"/>
        <v>39801</v>
      </c>
      <c r="B254" s="34">
        <v>105</v>
      </c>
      <c r="C254" s="31" t="str">
        <f>"39090"</f>
        <v>39090</v>
      </c>
      <c r="D254" s="31" t="s">
        <v>533</v>
      </c>
      <c r="E254" s="34" t="str">
        <f>"2530"</f>
        <v>2530</v>
      </c>
      <c r="F254" s="31" t="s">
        <v>1255</v>
      </c>
      <c r="G254" s="1"/>
      <c r="H254" s="1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t="str">
        <f t="shared" si="11"/>
        <v>39801</v>
      </c>
      <c r="B255" s="34">
        <v>105</v>
      </c>
      <c r="C255" s="31" t="str">
        <f>"39090"</f>
        <v>39090</v>
      </c>
      <c r="D255" s="31" t="s">
        <v>533</v>
      </c>
      <c r="E255" s="34" t="str">
        <f>"2821"</f>
        <v>2821</v>
      </c>
      <c r="F255" s="31" t="s">
        <v>1782</v>
      </c>
      <c r="G255" s="1"/>
      <c r="H255" s="1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x14ac:dyDescent="0.25">
      <c r="A256" t="str">
        <f t="shared" si="11"/>
        <v>39801</v>
      </c>
      <c r="B256" s="34">
        <v>105</v>
      </c>
      <c r="C256" s="34" t="str">
        <f>"19028"</f>
        <v>19028</v>
      </c>
      <c r="D256" s="2" t="s">
        <v>2162</v>
      </c>
      <c r="E256" s="34">
        <v>3554</v>
      </c>
      <c r="F256" s="2" t="s">
        <v>2163</v>
      </c>
      <c r="G256" s="1"/>
      <c r="H256" s="1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x14ac:dyDescent="0.25">
      <c r="A257" t="str">
        <f t="shared" si="11"/>
        <v>39801</v>
      </c>
      <c r="B257" s="34">
        <v>105</v>
      </c>
      <c r="C257" s="31" t="str">
        <f>"19401"</f>
        <v>19401</v>
      </c>
      <c r="D257" s="31" t="s">
        <v>567</v>
      </c>
      <c r="E257" s="34" t="str">
        <f>"2996"</f>
        <v>2996</v>
      </c>
      <c r="F257" s="31" t="s">
        <v>568</v>
      </c>
      <c r="G257" s="1"/>
      <c r="H257" s="1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x14ac:dyDescent="0.25">
      <c r="A258" t="str">
        <f t="shared" si="11"/>
        <v>39801</v>
      </c>
      <c r="B258" s="34">
        <v>105</v>
      </c>
      <c r="C258" s="31" t="str">
        <f>"19401"</f>
        <v>19401</v>
      </c>
      <c r="D258" s="31" t="s">
        <v>567</v>
      </c>
      <c r="E258" s="34" t="str">
        <f>"2741"</f>
        <v>2741</v>
      </c>
      <c r="F258" s="31" t="s">
        <v>1056</v>
      </c>
      <c r="G258" s="1"/>
      <c r="H258" s="1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x14ac:dyDescent="0.25">
      <c r="A259" t="str">
        <f t="shared" si="11"/>
        <v>39801</v>
      </c>
      <c r="B259" s="34">
        <v>105</v>
      </c>
      <c r="C259" s="31" t="str">
        <f>"19401"</f>
        <v>19401</v>
      </c>
      <c r="D259" s="31" t="s">
        <v>567</v>
      </c>
      <c r="E259" s="34" t="str">
        <f>"2453"</f>
        <v>2453</v>
      </c>
      <c r="F259" s="31" t="s">
        <v>1223</v>
      </c>
      <c r="G259" s="1"/>
      <c r="H259" s="1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x14ac:dyDescent="0.25">
      <c r="A260" t="str">
        <f t="shared" si="11"/>
        <v>39801</v>
      </c>
      <c r="B260" s="34">
        <v>105</v>
      </c>
      <c r="C260" s="31" t="str">
        <f>"19401"</f>
        <v>19401</v>
      </c>
      <c r="D260" s="31" t="s">
        <v>567</v>
      </c>
      <c r="E260" s="34" t="str">
        <f>"3596"</f>
        <v>3596</v>
      </c>
      <c r="F260" s="31" t="s">
        <v>1262</v>
      </c>
      <c r="G260" s="1"/>
      <c r="H260" s="1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x14ac:dyDescent="0.25">
      <c r="A261" t="str">
        <f t="shared" si="11"/>
        <v>39801</v>
      </c>
      <c r="B261" s="34">
        <v>105</v>
      </c>
      <c r="C261" s="31" t="str">
        <f>"19401"</f>
        <v>19401</v>
      </c>
      <c r="D261" s="31" t="s">
        <v>567</v>
      </c>
      <c r="E261" s="34" t="str">
        <f>"4411"</f>
        <v>4411</v>
      </c>
      <c r="F261" s="31" t="s">
        <v>1847</v>
      </c>
      <c r="G261" s="1"/>
      <c r="H261" s="1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5">
      <c r="A262" t="str">
        <f t="shared" si="11"/>
        <v>39801</v>
      </c>
      <c r="B262" s="33">
        <v>105</v>
      </c>
      <c r="C262" s="35">
        <v>20404</v>
      </c>
      <c r="D262" t="s">
        <v>718</v>
      </c>
      <c r="E262" s="36">
        <v>2856</v>
      </c>
      <c r="F262" t="s">
        <v>719</v>
      </c>
      <c r="G262" s="1"/>
      <c r="H262" s="1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5">
      <c r="A263" t="str">
        <f t="shared" si="11"/>
        <v>39801</v>
      </c>
      <c r="B263" s="33">
        <v>105</v>
      </c>
      <c r="C263" s="35">
        <v>20404</v>
      </c>
      <c r="D263" t="s">
        <v>718</v>
      </c>
      <c r="E263" s="36">
        <v>3393</v>
      </c>
      <c r="F263" t="s">
        <v>720</v>
      </c>
      <c r="G263" s="1"/>
      <c r="H263" s="1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5">
      <c r="A264" t="str">
        <f t="shared" si="11"/>
        <v>39801</v>
      </c>
      <c r="B264" s="33">
        <v>105</v>
      </c>
      <c r="C264" s="35">
        <v>20404</v>
      </c>
      <c r="D264" t="s">
        <v>718</v>
      </c>
      <c r="E264" s="36">
        <v>2677</v>
      </c>
      <c r="F264" t="s">
        <v>721</v>
      </c>
      <c r="G264" s="1"/>
      <c r="H264" s="1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t="str">
        <f t="shared" si="11"/>
        <v>39801</v>
      </c>
      <c r="B265" s="33">
        <v>105</v>
      </c>
      <c r="C265" s="35">
        <v>20404</v>
      </c>
      <c r="D265" t="s">
        <v>718</v>
      </c>
      <c r="E265" s="33" t="str">
        <f>"5618"</f>
        <v>5618</v>
      </c>
      <c r="F265" t="s">
        <v>2164</v>
      </c>
      <c r="G265" s="1"/>
      <c r="H265" s="1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x14ac:dyDescent="0.25">
      <c r="A266" t="str">
        <f t="shared" si="11"/>
        <v>39801</v>
      </c>
      <c r="B266" s="34">
        <v>105</v>
      </c>
      <c r="C266" s="35">
        <v>39200</v>
      </c>
      <c r="D266" s="31" t="s">
        <v>423</v>
      </c>
      <c r="E266" s="36">
        <v>1776</v>
      </c>
      <c r="F266" s="31" t="s">
        <v>424</v>
      </c>
      <c r="G266" s="1"/>
      <c r="H266" s="1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x14ac:dyDescent="0.25">
      <c r="A267" t="str">
        <f t="shared" si="11"/>
        <v>39801</v>
      </c>
      <c r="B267" s="34">
        <v>105</v>
      </c>
      <c r="C267" s="35">
        <v>39200</v>
      </c>
      <c r="D267" s="31" t="s">
        <v>423</v>
      </c>
      <c r="E267" s="36">
        <v>2555</v>
      </c>
      <c r="F267" s="31" t="s">
        <v>731</v>
      </c>
      <c r="G267" s="1"/>
      <c r="H267" s="1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x14ac:dyDescent="0.25">
      <c r="A268" t="str">
        <f t="shared" si="11"/>
        <v>39801</v>
      </c>
      <c r="B268" s="34">
        <v>105</v>
      </c>
      <c r="C268" s="35">
        <v>39200</v>
      </c>
      <c r="D268" s="31" t="s">
        <v>423</v>
      </c>
      <c r="E268" s="36">
        <v>3071</v>
      </c>
      <c r="F268" s="31" t="s">
        <v>732</v>
      </c>
      <c r="G268" s="1"/>
      <c r="H268" s="1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x14ac:dyDescent="0.25">
      <c r="A269" t="str">
        <f t="shared" si="11"/>
        <v>39801</v>
      </c>
      <c r="B269" s="34">
        <v>105</v>
      </c>
      <c r="C269" s="35">
        <v>39200</v>
      </c>
      <c r="D269" s="31" t="s">
        <v>423</v>
      </c>
      <c r="E269" s="36">
        <v>2345</v>
      </c>
      <c r="F269" s="31" t="s">
        <v>1151</v>
      </c>
      <c r="G269" s="1"/>
      <c r="H269" s="1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x14ac:dyDescent="0.25">
      <c r="A270" t="str">
        <f t="shared" si="11"/>
        <v>39801</v>
      </c>
      <c r="B270" s="34">
        <v>105</v>
      </c>
      <c r="C270" s="35">
        <v>39200</v>
      </c>
      <c r="D270" s="31" t="s">
        <v>423</v>
      </c>
      <c r="E270" s="36">
        <v>3013</v>
      </c>
      <c r="F270" s="31" t="s">
        <v>1673</v>
      </c>
      <c r="G270" s="11"/>
      <c r="H270" s="11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x14ac:dyDescent="0.25">
      <c r="A271" t="str">
        <f t="shared" si="11"/>
        <v>39801</v>
      </c>
      <c r="B271" s="34">
        <v>105</v>
      </c>
      <c r="C271" s="35">
        <v>39200</v>
      </c>
      <c r="D271" s="31" t="s">
        <v>423</v>
      </c>
      <c r="E271" s="36">
        <v>2756</v>
      </c>
      <c r="F271" s="31" t="s">
        <v>1788</v>
      </c>
      <c r="G271" s="1"/>
      <c r="H271" s="1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x14ac:dyDescent="0.25">
      <c r="A272" t="str">
        <f t="shared" si="11"/>
        <v>39801</v>
      </c>
      <c r="B272" s="33">
        <v>105</v>
      </c>
      <c r="C272" s="35">
        <v>39204</v>
      </c>
      <c r="D272" t="s">
        <v>733</v>
      </c>
      <c r="E272" s="36">
        <v>3314</v>
      </c>
      <c r="F272" t="s">
        <v>734</v>
      </c>
      <c r="G272" s="1"/>
      <c r="H272" s="1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x14ac:dyDescent="0.25">
      <c r="A273" t="str">
        <f t="shared" si="11"/>
        <v>39801</v>
      </c>
      <c r="B273" s="33">
        <v>105</v>
      </c>
      <c r="C273" s="35">
        <v>39204</v>
      </c>
      <c r="D273" t="s">
        <v>733</v>
      </c>
      <c r="E273" s="36">
        <v>2531</v>
      </c>
      <c r="F273" t="s">
        <v>735</v>
      </c>
      <c r="G273" s="1"/>
      <c r="H273" s="1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x14ac:dyDescent="0.25">
      <c r="A274" t="str">
        <f t="shared" si="11"/>
        <v>39801</v>
      </c>
      <c r="B274" s="33">
        <v>105</v>
      </c>
      <c r="C274" s="35">
        <v>39204</v>
      </c>
      <c r="D274" t="s">
        <v>733</v>
      </c>
      <c r="E274" s="36">
        <v>4535</v>
      </c>
      <c r="F274" t="s">
        <v>1555</v>
      </c>
      <c r="G274" s="1"/>
      <c r="H274" s="1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x14ac:dyDescent="0.25">
      <c r="A275" t="str">
        <f t="shared" si="11"/>
        <v>39801</v>
      </c>
      <c r="B275" s="33">
        <v>105</v>
      </c>
      <c r="C275" s="35">
        <v>39203</v>
      </c>
      <c r="D275" t="s">
        <v>807</v>
      </c>
      <c r="E275" s="36">
        <v>4559</v>
      </c>
      <c r="F275" t="s">
        <v>808</v>
      </c>
      <c r="G275" s="1"/>
      <c r="H275" s="1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x14ac:dyDescent="0.25">
      <c r="A276" t="str">
        <f t="shared" si="11"/>
        <v>39801</v>
      </c>
      <c r="B276" s="33">
        <v>105</v>
      </c>
      <c r="C276" s="35">
        <v>39203</v>
      </c>
      <c r="D276" t="s">
        <v>807</v>
      </c>
      <c r="E276" s="36">
        <v>2718</v>
      </c>
      <c r="F276" t="s">
        <v>809</v>
      </c>
      <c r="G276" s="1"/>
      <c r="H276" s="1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x14ac:dyDescent="0.25">
      <c r="A277" t="str">
        <f t="shared" si="11"/>
        <v>39801</v>
      </c>
      <c r="B277" s="33">
        <v>105</v>
      </c>
      <c r="C277" s="35">
        <v>39203</v>
      </c>
      <c r="D277" t="s">
        <v>807</v>
      </c>
      <c r="E277" s="36">
        <v>3072</v>
      </c>
      <c r="F277" t="s">
        <v>1124</v>
      </c>
      <c r="G277" s="1"/>
      <c r="H277" s="1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x14ac:dyDescent="0.25">
      <c r="A278" t="str">
        <f t="shared" si="11"/>
        <v>39801</v>
      </c>
      <c r="B278" s="33">
        <v>105</v>
      </c>
      <c r="C278" s="35">
        <v>39203</v>
      </c>
      <c r="D278" t="s">
        <v>807</v>
      </c>
      <c r="E278" s="36">
        <v>3073</v>
      </c>
      <c r="F278" t="s">
        <v>1796</v>
      </c>
      <c r="G278" s="1"/>
      <c r="H278" s="1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x14ac:dyDescent="0.25">
      <c r="A279" t="str">
        <f t="shared" si="11"/>
        <v>39801</v>
      </c>
      <c r="B279" s="33">
        <v>105</v>
      </c>
      <c r="C279" s="35">
        <v>19403</v>
      </c>
      <c r="D279" t="s">
        <v>960</v>
      </c>
      <c r="E279" s="36">
        <v>2569</v>
      </c>
      <c r="F279" t="s">
        <v>961</v>
      </c>
      <c r="G279" s="1"/>
      <c r="H279" s="1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x14ac:dyDescent="0.25">
      <c r="A280" t="str">
        <f t="shared" si="11"/>
        <v>39801</v>
      </c>
      <c r="B280" s="33">
        <v>105</v>
      </c>
      <c r="C280" s="35">
        <v>19403</v>
      </c>
      <c r="D280" t="s">
        <v>960</v>
      </c>
      <c r="E280" s="36">
        <v>2766</v>
      </c>
      <c r="F280" t="s">
        <v>962</v>
      </c>
      <c r="G280" s="1"/>
      <c r="H280" s="1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t="str">
        <f t="shared" si="11"/>
        <v>39801</v>
      </c>
      <c r="B281" s="34">
        <v>105</v>
      </c>
      <c r="C281" s="35">
        <v>39120</v>
      </c>
      <c r="D281" s="31" t="s">
        <v>84</v>
      </c>
      <c r="E281" s="36">
        <v>3070</v>
      </c>
      <c r="F281" s="31" t="s">
        <v>85</v>
      </c>
      <c r="G281" s="1"/>
      <c r="H281" s="1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t="str">
        <f t="shared" si="11"/>
        <v>39801</v>
      </c>
      <c r="B282" s="34">
        <v>105</v>
      </c>
      <c r="C282" s="35">
        <v>39120</v>
      </c>
      <c r="D282" s="31" t="s">
        <v>84</v>
      </c>
      <c r="E282" s="36">
        <v>5289</v>
      </c>
      <c r="F282" s="31" t="s">
        <v>1101</v>
      </c>
      <c r="G282" s="1"/>
      <c r="H282" s="1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x14ac:dyDescent="0.25">
      <c r="A283" t="str">
        <f t="shared" si="11"/>
        <v>39801</v>
      </c>
      <c r="B283" s="34">
        <v>105</v>
      </c>
      <c r="C283" s="31" t="str">
        <f>"39209"</f>
        <v>39209</v>
      </c>
      <c r="D283" s="31" t="s">
        <v>776</v>
      </c>
      <c r="E283" s="34" t="str">
        <f>"2506"</f>
        <v>2506</v>
      </c>
      <c r="F283" s="31" t="s">
        <v>777</v>
      </c>
      <c r="G283" s="1"/>
      <c r="H283" s="1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x14ac:dyDescent="0.25">
      <c r="A284" t="str">
        <f t="shared" si="11"/>
        <v>39801</v>
      </c>
      <c r="B284" s="34">
        <v>105</v>
      </c>
      <c r="C284" s="31" t="str">
        <f>"39209"</f>
        <v>39209</v>
      </c>
      <c r="D284" s="31" t="s">
        <v>776</v>
      </c>
      <c r="E284" s="34" t="str">
        <f>"2389"</f>
        <v>2389</v>
      </c>
      <c r="F284" s="31" t="s">
        <v>1236</v>
      </c>
      <c r="G284" s="1"/>
      <c r="H284" s="1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x14ac:dyDescent="0.25">
      <c r="A285" t="str">
        <f t="shared" si="11"/>
        <v>39801</v>
      </c>
      <c r="B285" s="34">
        <v>105</v>
      </c>
      <c r="C285" s="31" t="str">
        <f>"39209"</f>
        <v>39209</v>
      </c>
      <c r="D285" s="31" t="s">
        <v>776</v>
      </c>
      <c r="E285" s="34" t="str">
        <f>"2532"</f>
        <v>2532</v>
      </c>
      <c r="F285" s="31" t="s">
        <v>1933</v>
      </c>
      <c r="G285" s="1"/>
      <c r="H285" s="1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x14ac:dyDescent="0.25">
      <c r="A286" t="str">
        <f t="shared" si="11"/>
        <v>39801</v>
      </c>
      <c r="B286" s="33">
        <v>105</v>
      </c>
      <c r="C286" s="35">
        <v>39003</v>
      </c>
      <c r="D286" t="s">
        <v>1268</v>
      </c>
      <c r="E286" s="36">
        <v>5451</v>
      </c>
      <c r="F286" t="s">
        <v>1269</v>
      </c>
      <c r="G286" s="1"/>
      <c r="H286" s="1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x14ac:dyDescent="0.25">
      <c r="A287" t="str">
        <f t="shared" si="11"/>
        <v>39801</v>
      </c>
      <c r="B287" s="33">
        <v>105</v>
      </c>
      <c r="C287" s="35">
        <v>39003</v>
      </c>
      <c r="D287" t="s">
        <v>1268</v>
      </c>
      <c r="E287" s="36">
        <v>2591</v>
      </c>
      <c r="F287" t="s">
        <v>1270</v>
      </c>
      <c r="G287" s="1"/>
      <c r="H287" s="1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x14ac:dyDescent="0.25">
      <c r="A288" t="str">
        <f t="shared" si="11"/>
        <v>39801</v>
      </c>
      <c r="B288" s="33">
        <v>105</v>
      </c>
      <c r="C288" s="35">
        <v>39003</v>
      </c>
      <c r="D288" t="s">
        <v>1268</v>
      </c>
      <c r="E288" s="36">
        <v>2898</v>
      </c>
      <c r="F288" t="s">
        <v>1271</v>
      </c>
      <c r="G288" s="1"/>
      <c r="H288" s="1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x14ac:dyDescent="0.25">
      <c r="A289" t="str">
        <f t="shared" si="11"/>
        <v>39801</v>
      </c>
      <c r="B289" s="34">
        <v>105</v>
      </c>
      <c r="C289" s="31" t="str">
        <f>"13160"</f>
        <v>13160</v>
      </c>
      <c r="D289" s="31" t="s">
        <v>1506</v>
      </c>
      <c r="E289" s="34" t="str">
        <f>"3090"</f>
        <v>3090</v>
      </c>
      <c r="F289" s="31" t="s">
        <v>1507</v>
      </c>
      <c r="G289" s="1"/>
      <c r="H289" s="1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x14ac:dyDescent="0.25">
      <c r="A290" t="str">
        <f t="shared" si="11"/>
        <v>39801</v>
      </c>
      <c r="B290" s="34">
        <v>105</v>
      </c>
      <c r="C290" s="31" t="str">
        <f>"13160"</f>
        <v>13160</v>
      </c>
      <c r="D290" s="31" t="s">
        <v>1506</v>
      </c>
      <c r="E290" s="34" t="str">
        <f>"3516"</f>
        <v>3516</v>
      </c>
      <c r="F290" s="31" t="s">
        <v>1568</v>
      </c>
      <c r="G290" s="1"/>
      <c r="H290" s="1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x14ac:dyDescent="0.25">
      <c r="A291" t="str">
        <f t="shared" si="11"/>
        <v>39801</v>
      </c>
      <c r="B291" s="34">
        <v>105</v>
      </c>
      <c r="C291" s="31" t="str">
        <f>"13160"</f>
        <v>13160</v>
      </c>
      <c r="D291" s="31" t="s">
        <v>1506</v>
      </c>
      <c r="E291" s="34" t="str">
        <f>"5388"</f>
        <v>5388</v>
      </c>
      <c r="F291" s="31" t="s">
        <v>1569</v>
      </c>
      <c r="G291" s="1"/>
      <c r="H291" s="1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x14ac:dyDescent="0.25">
      <c r="A292" t="str">
        <f t="shared" si="11"/>
        <v>39801</v>
      </c>
      <c r="B292" s="34">
        <v>105</v>
      </c>
      <c r="C292" s="31" t="str">
        <f>"13160"</f>
        <v>13160</v>
      </c>
      <c r="D292" s="31" t="s">
        <v>1506</v>
      </c>
      <c r="E292" s="34" t="str">
        <f>"3620"</f>
        <v>3620</v>
      </c>
      <c r="F292" s="31" t="s">
        <v>1570</v>
      </c>
      <c r="G292" s="1"/>
      <c r="H292" s="1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x14ac:dyDescent="0.25">
      <c r="A293" t="str">
        <f t="shared" si="11"/>
        <v>39801</v>
      </c>
      <c r="B293" s="33">
        <v>105</v>
      </c>
      <c r="C293" s="35">
        <v>39119</v>
      </c>
      <c r="D293" t="s">
        <v>902</v>
      </c>
      <c r="E293" s="36">
        <v>5383</v>
      </c>
      <c r="F293" t="s">
        <v>903</v>
      </c>
      <c r="G293" s="1"/>
      <c r="H293" s="1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x14ac:dyDescent="0.25">
      <c r="A294" t="str">
        <f t="shared" si="11"/>
        <v>39801</v>
      </c>
      <c r="B294" s="33">
        <v>105</v>
      </c>
      <c r="C294" s="35">
        <v>39119</v>
      </c>
      <c r="D294" t="s">
        <v>902</v>
      </c>
      <c r="E294" s="36">
        <v>4272</v>
      </c>
      <c r="F294" t="s">
        <v>2165</v>
      </c>
      <c r="G294" s="1"/>
      <c r="H294" s="1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x14ac:dyDescent="0.25">
      <c r="A295" t="str">
        <f t="shared" si="11"/>
        <v>39801</v>
      </c>
      <c r="B295" s="34">
        <v>105</v>
      </c>
      <c r="C295" s="35">
        <v>39119</v>
      </c>
      <c r="D295" s="2" t="s">
        <v>902</v>
      </c>
      <c r="E295" s="36">
        <v>2388</v>
      </c>
      <c r="F295" s="2" t="s">
        <v>1612</v>
      </c>
      <c r="G295" s="1"/>
      <c r="H295" s="1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x14ac:dyDescent="0.25">
      <c r="A296" t="str">
        <f t="shared" si="11"/>
        <v>39801</v>
      </c>
      <c r="B296" s="34">
        <v>105</v>
      </c>
      <c r="C296" s="35">
        <v>39119</v>
      </c>
      <c r="D296" s="2" t="s">
        <v>902</v>
      </c>
      <c r="E296" s="36">
        <v>5231</v>
      </c>
      <c r="F296" s="2" t="s">
        <v>1613</v>
      </c>
      <c r="G296" s="1"/>
      <c r="H296" s="1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x14ac:dyDescent="0.25">
      <c r="A297" t="str">
        <f t="shared" si="11"/>
        <v>39801</v>
      </c>
      <c r="B297" s="34">
        <v>105</v>
      </c>
      <c r="C297" s="35">
        <v>39119</v>
      </c>
      <c r="D297" s="2" t="s">
        <v>902</v>
      </c>
      <c r="E297" s="36">
        <v>5384</v>
      </c>
      <c r="F297" s="2" t="s">
        <v>1614</v>
      </c>
      <c r="G297" s="1"/>
      <c r="H297" s="1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x14ac:dyDescent="0.25">
      <c r="A298" t="str">
        <f t="shared" si="11"/>
        <v>39801</v>
      </c>
      <c r="B298" s="34">
        <v>105</v>
      </c>
      <c r="C298" s="35">
        <v>39119</v>
      </c>
      <c r="D298" s="2" t="s">
        <v>902</v>
      </c>
      <c r="E298" s="36">
        <v>5385</v>
      </c>
      <c r="F298" s="2" t="s">
        <v>1615</v>
      </c>
      <c r="G298" s="1"/>
      <c r="H298" s="1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x14ac:dyDescent="0.25">
      <c r="A299" t="str">
        <f t="shared" si="11"/>
        <v>39801</v>
      </c>
      <c r="B299" s="33">
        <v>105</v>
      </c>
      <c r="C299" s="35">
        <v>39201</v>
      </c>
      <c r="D299" t="s">
        <v>350</v>
      </c>
      <c r="E299" s="36">
        <v>4000</v>
      </c>
      <c r="F299" t="s">
        <v>351</v>
      </c>
      <c r="G299" s="1"/>
      <c r="H299" s="1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x14ac:dyDescent="0.25">
      <c r="A300" t="str">
        <f t="shared" si="11"/>
        <v>39801</v>
      </c>
      <c r="B300" s="33">
        <v>105</v>
      </c>
      <c r="C300" s="35">
        <v>39201</v>
      </c>
      <c r="D300" t="s">
        <v>350</v>
      </c>
      <c r="E300" s="36">
        <v>3313</v>
      </c>
      <c r="F300" t="s">
        <v>779</v>
      </c>
      <c r="G300" s="1"/>
      <c r="H300" s="1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x14ac:dyDescent="0.25">
      <c r="A301" t="str">
        <f t="shared" si="11"/>
        <v>39801</v>
      </c>
      <c r="B301" s="33">
        <v>105</v>
      </c>
      <c r="C301" s="35">
        <v>39201</v>
      </c>
      <c r="D301" t="s">
        <v>350</v>
      </c>
      <c r="E301" s="36">
        <v>2469</v>
      </c>
      <c r="F301" t="s">
        <v>1399</v>
      </c>
      <c r="G301" s="1"/>
      <c r="H301" s="1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x14ac:dyDescent="0.25">
      <c r="A302" t="str">
        <f t="shared" si="11"/>
        <v>39801</v>
      </c>
      <c r="B302" s="33">
        <v>105</v>
      </c>
      <c r="C302" s="35">
        <v>39201</v>
      </c>
      <c r="D302" t="s">
        <v>350</v>
      </c>
      <c r="E302" s="36">
        <v>4497</v>
      </c>
      <c r="F302" t="s">
        <v>1448</v>
      </c>
      <c r="G302" s="1"/>
      <c r="H302" s="1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x14ac:dyDescent="0.25">
      <c r="A303" t="str">
        <f t="shared" si="11"/>
        <v>39801</v>
      </c>
      <c r="B303" s="33">
        <v>105</v>
      </c>
      <c r="C303" s="35">
        <v>39201</v>
      </c>
      <c r="D303" t="s">
        <v>350</v>
      </c>
      <c r="E303" s="36">
        <v>5049</v>
      </c>
      <c r="F303" t="s">
        <v>1651</v>
      </c>
      <c r="G303" s="1"/>
      <c r="H303" s="1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x14ac:dyDescent="0.25">
      <c r="A304" t="str">
        <f t="shared" si="11"/>
        <v>39801</v>
      </c>
      <c r="B304" s="33">
        <v>105</v>
      </c>
      <c r="C304" s="35">
        <v>39201</v>
      </c>
      <c r="D304" t="s">
        <v>350</v>
      </c>
      <c r="E304" s="36">
        <v>5137</v>
      </c>
      <c r="F304" t="s">
        <v>2166</v>
      </c>
      <c r="G304" s="1"/>
      <c r="H304" s="1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x14ac:dyDescent="0.25">
      <c r="A305" t="str">
        <f t="shared" si="11"/>
        <v>39801</v>
      </c>
      <c r="B305" s="33">
        <v>105</v>
      </c>
      <c r="C305" s="35">
        <v>39201</v>
      </c>
      <c r="D305" t="s">
        <v>350</v>
      </c>
      <c r="E305" s="36">
        <v>2959</v>
      </c>
      <c r="F305" t="s">
        <v>1754</v>
      </c>
      <c r="G305" s="1"/>
      <c r="H305" s="1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x14ac:dyDescent="0.25">
      <c r="A306" t="str">
        <f t="shared" si="11"/>
        <v>39801</v>
      </c>
      <c r="B306" s="33">
        <v>105</v>
      </c>
      <c r="C306" s="35">
        <v>39201</v>
      </c>
      <c r="D306" t="s">
        <v>350</v>
      </c>
      <c r="E306" s="37">
        <v>2717</v>
      </c>
      <c r="F306" s="2" t="s">
        <v>1890</v>
      </c>
      <c r="G306" s="1"/>
      <c r="H306" s="1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x14ac:dyDescent="0.25">
      <c r="A307" t="str">
        <f t="shared" si="11"/>
        <v>39801</v>
      </c>
      <c r="B307" s="33">
        <v>105</v>
      </c>
      <c r="C307" s="35">
        <v>19400</v>
      </c>
      <c r="D307" t="s">
        <v>2167</v>
      </c>
      <c r="E307" s="36">
        <v>2514</v>
      </c>
      <c r="F307" t="s">
        <v>2168</v>
      </c>
      <c r="G307" s="1"/>
      <c r="H307" s="1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x14ac:dyDescent="0.25">
      <c r="A308" t="str">
        <f t="shared" si="11"/>
        <v>39801</v>
      </c>
      <c r="B308" s="34">
        <v>105</v>
      </c>
      <c r="C308" s="31" t="str">
        <f t="shared" ref="C308:C315" si="12">"39202"</f>
        <v>39202</v>
      </c>
      <c r="D308" s="31" t="s">
        <v>413</v>
      </c>
      <c r="E308" s="34" t="str">
        <f>"1508"</f>
        <v>1508</v>
      </c>
      <c r="F308" s="31" t="s">
        <v>414</v>
      </c>
      <c r="G308" s="1"/>
      <c r="H308" s="1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x14ac:dyDescent="0.25">
      <c r="A309" t="str">
        <f t="shared" ref="A309:A369" si="13">"39801"</f>
        <v>39801</v>
      </c>
      <c r="B309" s="34">
        <v>105</v>
      </c>
      <c r="C309" s="31" t="str">
        <f t="shared" si="12"/>
        <v>39202</v>
      </c>
      <c r="D309" s="31" t="s">
        <v>413</v>
      </c>
      <c r="E309" s="34" t="str">
        <f>"2608"</f>
        <v>2608</v>
      </c>
      <c r="F309" s="31" t="s">
        <v>685</v>
      </c>
      <c r="G309" s="1"/>
      <c r="H309" s="1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x14ac:dyDescent="0.25">
      <c r="A310" t="str">
        <f t="shared" si="13"/>
        <v>39801</v>
      </c>
      <c r="B310" s="34">
        <v>105</v>
      </c>
      <c r="C310" s="31" t="str">
        <f t="shared" si="12"/>
        <v>39202</v>
      </c>
      <c r="D310" s="31" t="s">
        <v>413</v>
      </c>
      <c r="E310" s="34" t="str">
        <f>"4106"</f>
        <v>4106</v>
      </c>
      <c r="F310" s="31" t="s">
        <v>958</v>
      </c>
      <c r="G310" s="1"/>
      <c r="H310" s="1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x14ac:dyDescent="0.25">
      <c r="A311" t="str">
        <f t="shared" si="13"/>
        <v>39801</v>
      </c>
      <c r="B311" s="34">
        <v>105</v>
      </c>
      <c r="C311" s="31" t="str">
        <f t="shared" si="12"/>
        <v>39202</v>
      </c>
      <c r="D311" s="31" t="s">
        <v>413</v>
      </c>
      <c r="E311" s="34" t="str">
        <f>"2635"</f>
        <v>2635</v>
      </c>
      <c r="F311" s="31" t="s">
        <v>1057</v>
      </c>
      <c r="G311" s="1"/>
      <c r="H311" s="1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x14ac:dyDescent="0.25">
      <c r="A312" t="str">
        <f t="shared" si="13"/>
        <v>39801</v>
      </c>
      <c r="B312" s="34">
        <v>105</v>
      </c>
      <c r="C312" s="31" t="str">
        <f t="shared" si="12"/>
        <v>39202</v>
      </c>
      <c r="D312" s="31" t="s">
        <v>413</v>
      </c>
      <c r="E312" s="34" t="str">
        <f>"5262"</f>
        <v>5262</v>
      </c>
      <c r="F312" s="31" t="s">
        <v>2001</v>
      </c>
      <c r="G312" s="1"/>
      <c r="H312" s="1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x14ac:dyDescent="0.25">
      <c r="A313" t="str">
        <f t="shared" si="13"/>
        <v>39801</v>
      </c>
      <c r="B313" s="34">
        <v>105</v>
      </c>
      <c r="C313" s="31" t="str">
        <f t="shared" si="12"/>
        <v>39202</v>
      </c>
      <c r="D313" s="31" t="s">
        <v>413</v>
      </c>
      <c r="E313" s="34" t="str">
        <f>"2900"</f>
        <v>2900</v>
      </c>
      <c r="F313" s="31" t="s">
        <v>1812</v>
      </c>
      <c r="G313" s="1"/>
      <c r="H313" s="1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x14ac:dyDescent="0.25">
      <c r="A314" t="str">
        <f t="shared" si="13"/>
        <v>39801</v>
      </c>
      <c r="B314" s="34">
        <v>105</v>
      </c>
      <c r="C314" s="31" t="str">
        <f t="shared" si="12"/>
        <v>39202</v>
      </c>
      <c r="D314" s="31" t="s">
        <v>413</v>
      </c>
      <c r="E314" s="34" t="str">
        <f>"2264"</f>
        <v>2264</v>
      </c>
      <c r="F314" s="31" t="s">
        <v>1813</v>
      </c>
      <c r="G314" s="1"/>
      <c r="H314" s="1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x14ac:dyDescent="0.25">
      <c r="A315" t="str">
        <f t="shared" si="13"/>
        <v>39801</v>
      </c>
      <c r="B315" s="34">
        <v>105</v>
      </c>
      <c r="C315" s="31" t="str">
        <f t="shared" si="12"/>
        <v>39202</v>
      </c>
      <c r="D315" s="31" t="s">
        <v>413</v>
      </c>
      <c r="E315" s="34" t="str">
        <f>"4588"</f>
        <v>4588</v>
      </c>
      <c r="F315" s="31" t="s">
        <v>1846</v>
      </c>
      <c r="G315" s="1"/>
      <c r="H315" s="1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x14ac:dyDescent="0.25">
      <c r="A316" t="str">
        <f t="shared" si="13"/>
        <v>39801</v>
      </c>
      <c r="B316" s="33">
        <v>105</v>
      </c>
      <c r="C316" s="35">
        <v>39002</v>
      </c>
      <c r="D316" t="s">
        <v>2169</v>
      </c>
      <c r="E316" s="36">
        <v>2714</v>
      </c>
      <c r="F316" t="s">
        <v>2170</v>
      </c>
      <c r="G316" s="1"/>
      <c r="H316" s="1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x14ac:dyDescent="0.25">
      <c r="A317" t="str">
        <f t="shared" si="13"/>
        <v>39801</v>
      </c>
      <c r="B317" s="34">
        <v>105</v>
      </c>
      <c r="C317" s="31" t="str">
        <f t="shared" ref="C317:C322" si="14">"13073"</f>
        <v>13073</v>
      </c>
      <c r="D317" s="31" t="s">
        <v>1144</v>
      </c>
      <c r="E317" s="34" t="str">
        <f>"3152"</f>
        <v>3152</v>
      </c>
      <c r="F317" s="31" t="s">
        <v>1145</v>
      </c>
      <c r="G317" s="1"/>
      <c r="H317" s="1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x14ac:dyDescent="0.25">
      <c r="A318" t="str">
        <f t="shared" si="13"/>
        <v>39801</v>
      </c>
      <c r="B318" s="34">
        <v>105</v>
      </c>
      <c r="C318" s="31" t="str">
        <f t="shared" si="14"/>
        <v>13073</v>
      </c>
      <c r="D318" s="31" t="s">
        <v>1144</v>
      </c>
      <c r="E318" s="34" t="str">
        <f>"4222"</f>
        <v>4222</v>
      </c>
      <c r="F318" s="31" t="s">
        <v>1226</v>
      </c>
      <c r="G318" s="1"/>
      <c r="H318" s="1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x14ac:dyDescent="0.25">
      <c r="A319" t="str">
        <f t="shared" si="13"/>
        <v>39801</v>
      </c>
      <c r="B319" s="34">
        <v>105</v>
      </c>
      <c r="C319" s="31" t="str">
        <f t="shared" si="14"/>
        <v>13073</v>
      </c>
      <c r="D319" s="31" t="s">
        <v>1144</v>
      </c>
      <c r="E319" s="34" t="str">
        <f>"4490"</f>
        <v>4490</v>
      </c>
      <c r="F319" s="31" t="s">
        <v>1575</v>
      </c>
      <c r="G319" s="1"/>
      <c r="H319" s="1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x14ac:dyDescent="0.25">
      <c r="A320" t="str">
        <f t="shared" si="13"/>
        <v>39801</v>
      </c>
      <c r="B320" s="34">
        <v>105</v>
      </c>
      <c r="C320" s="31" t="str">
        <f t="shared" si="14"/>
        <v>13073</v>
      </c>
      <c r="D320" s="31" t="s">
        <v>1144</v>
      </c>
      <c r="E320" s="34" t="str">
        <f>"1835"</f>
        <v>1835</v>
      </c>
      <c r="F320" s="31" t="s">
        <v>1619</v>
      </c>
      <c r="G320" s="1"/>
      <c r="H320" s="1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x14ac:dyDescent="0.25">
      <c r="A321" t="str">
        <f t="shared" si="13"/>
        <v>39801</v>
      </c>
      <c r="B321" s="34">
        <v>105</v>
      </c>
      <c r="C321" s="31" t="str">
        <f t="shared" si="14"/>
        <v>13073</v>
      </c>
      <c r="D321" s="31" t="s">
        <v>1144</v>
      </c>
      <c r="E321" s="34" t="str">
        <f>"4254"</f>
        <v>4254</v>
      </c>
      <c r="F321" s="31" t="s">
        <v>1871</v>
      </c>
      <c r="G321" s="1"/>
      <c r="H321" s="1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x14ac:dyDescent="0.25">
      <c r="A322" t="str">
        <f t="shared" si="13"/>
        <v>39801</v>
      </c>
      <c r="B322" s="34">
        <v>105</v>
      </c>
      <c r="C322" s="31" t="str">
        <f t="shared" si="14"/>
        <v>13073</v>
      </c>
      <c r="D322" s="31" t="s">
        <v>1144</v>
      </c>
      <c r="E322" s="34" t="str">
        <f>"5144"</f>
        <v>5144</v>
      </c>
      <c r="F322" s="31" t="s">
        <v>1872</v>
      </c>
      <c r="G322" s="1"/>
      <c r="H322" s="1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x14ac:dyDescent="0.25">
      <c r="A323" t="str">
        <f t="shared" si="13"/>
        <v>39801</v>
      </c>
      <c r="B323" s="33">
        <v>105</v>
      </c>
      <c r="C323" s="35">
        <v>39207</v>
      </c>
      <c r="D323" t="s">
        <v>20</v>
      </c>
      <c r="E323" s="36">
        <v>4518</v>
      </c>
      <c r="F323" t="s">
        <v>18</v>
      </c>
      <c r="G323" s="1"/>
      <c r="H323" s="1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x14ac:dyDescent="0.25">
      <c r="A324" t="str">
        <f t="shared" si="13"/>
        <v>39801</v>
      </c>
      <c r="B324" s="33">
        <v>105</v>
      </c>
      <c r="C324" s="35">
        <v>39207</v>
      </c>
      <c r="D324" t="s">
        <v>20</v>
      </c>
      <c r="E324" s="36">
        <v>5544</v>
      </c>
      <c r="F324" t="s">
        <v>227</v>
      </c>
      <c r="G324" s="1"/>
      <c r="H324" s="1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x14ac:dyDescent="0.25">
      <c r="A325" t="str">
        <f t="shared" si="13"/>
        <v>39801</v>
      </c>
      <c r="B325" s="33">
        <v>105</v>
      </c>
      <c r="C325" s="35">
        <v>39207</v>
      </c>
      <c r="D325" t="s">
        <v>20</v>
      </c>
      <c r="E325" s="36">
        <v>4022</v>
      </c>
      <c r="F325" s="2" t="s">
        <v>1400</v>
      </c>
      <c r="G325" s="1"/>
      <c r="H325" s="1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x14ac:dyDescent="0.25">
      <c r="A326" t="str">
        <f t="shared" si="13"/>
        <v>39801</v>
      </c>
      <c r="B326" s="33">
        <v>105</v>
      </c>
      <c r="C326" s="35">
        <v>39207</v>
      </c>
      <c r="D326" t="s">
        <v>20</v>
      </c>
      <c r="E326" s="36">
        <v>2757</v>
      </c>
      <c r="F326" t="s">
        <v>1596</v>
      </c>
      <c r="G326" s="1"/>
      <c r="H326" s="1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x14ac:dyDescent="0.25">
      <c r="A327" t="str">
        <f t="shared" si="13"/>
        <v>39801</v>
      </c>
      <c r="B327" s="33">
        <v>105</v>
      </c>
      <c r="C327" s="35">
        <v>39207</v>
      </c>
      <c r="D327" t="s">
        <v>20</v>
      </c>
      <c r="E327" s="36">
        <v>5543</v>
      </c>
      <c r="F327" t="s">
        <v>2073</v>
      </c>
      <c r="G327" s="1"/>
      <c r="H327" s="1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x14ac:dyDescent="0.25">
      <c r="A328" t="str">
        <f t="shared" si="13"/>
        <v>39801</v>
      </c>
      <c r="B328" s="33">
        <v>105</v>
      </c>
      <c r="C328" s="35">
        <v>39207</v>
      </c>
      <c r="D328" t="s">
        <v>20</v>
      </c>
      <c r="E328" s="36">
        <v>3141</v>
      </c>
      <c r="F328" s="2" t="s">
        <v>1883</v>
      </c>
      <c r="G328" s="1"/>
      <c r="H328" s="1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x14ac:dyDescent="0.25">
      <c r="A329" t="str">
        <f t="shared" si="13"/>
        <v>39801</v>
      </c>
      <c r="B329" s="33">
        <v>105</v>
      </c>
      <c r="C329" s="35">
        <v>39207</v>
      </c>
      <c r="D329" t="s">
        <v>20</v>
      </c>
      <c r="E329" s="36">
        <v>2131</v>
      </c>
      <c r="F329" t="s">
        <v>1884</v>
      </c>
      <c r="G329" s="1"/>
      <c r="H329" s="1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x14ac:dyDescent="0.25">
      <c r="A330" t="str">
        <f t="shared" si="13"/>
        <v>39801</v>
      </c>
      <c r="B330" s="33">
        <v>105</v>
      </c>
      <c r="C330" t="str">
        <f t="shared" ref="C330:C338" si="15">"39208"</f>
        <v>39208</v>
      </c>
      <c r="D330" t="s">
        <v>29</v>
      </c>
      <c r="E330" s="33" t="str">
        <f>"2822"</f>
        <v>2822</v>
      </c>
      <c r="F330" t="s">
        <v>30</v>
      </c>
      <c r="G330" s="1"/>
      <c r="H330" s="1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x14ac:dyDescent="0.25">
      <c r="A331" t="str">
        <f t="shared" si="13"/>
        <v>39801</v>
      </c>
      <c r="B331" s="33">
        <v>105</v>
      </c>
      <c r="C331" t="str">
        <f t="shared" si="15"/>
        <v>39208</v>
      </c>
      <c r="D331" t="s">
        <v>29</v>
      </c>
      <c r="E331" s="33" t="str">
        <f>"3699"</f>
        <v>3699</v>
      </c>
      <c r="F331" t="s">
        <v>67</v>
      </c>
      <c r="G331" s="1"/>
      <c r="H331" s="1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x14ac:dyDescent="0.25">
      <c r="A332" t="str">
        <f t="shared" si="13"/>
        <v>39801</v>
      </c>
      <c r="B332" s="33">
        <v>105</v>
      </c>
      <c r="C332" t="str">
        <f t="shared" si="15"/>
        <v>39208</v>
      </c>
      <c r="D332" t="s">
        <v>29</v>
      </c>
      <c r="E332" s="33" t="str">
        <f>"4448"</f>
        <v>4448</v>
      </c>
      <c r="F332" t="s">
        <v>429</v>
      </c>
      <c r="G332" s="1"/>
      <c r="H332" s="1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x14ac:dyDescent="0.25">
      <c r="A333" t="str">
        <f t="shared" si="13"/>
        <v>39801</v>
      </c>
      <c r="B333" s="33">
        <v>105</v>
      </c>
      <c r="C333" t="str">
        <f t="shared" si="15"/>
        <v>39208</v>
      </c>
      <c r="D333" t="s">
        <v>29</v>
      </c>
      <c r="E333" s="33" t="str">
        <f>"2758"</f>
        <v>2758</v>
      </c>
      <c r="F333" t="s">
        <v>1252</v>
      </c>
      <c r="G333" s="1"/>
      <c r="H333" s="1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x14ac:dyDescent="0.25">
      <c r="A334" t="str">
        <f t="shared" si="13"/>
        <v>39801</v>
      </c>
      <c r="B334" s="33">
        <v>105</v>
      </c>
      <c r="C334" t="str">
        <f t="shared" si="15"/>
        <v>39208</v>
      </c>
      <c r="D334" t="s">
        <v>29</v>
      </c>
      <c r="E334" s="33" t="str">
        <f>"3207"</f>
        <v>3207</v>
      </c>
      <c r="F334" t="s">
        <v>1747</v>
      </c>
      <c r="G334" s="1"/>
      <c r="H334" s="1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x14ac:dyDescent="0.25">
      <c r="A335" t="str">
        <f t="shared" si="13"/>
        <v>39801</v>
      </c>
      <c r="B335" s="33">
        <v>105</v>
      </c>
      <c r="C335" t="str">
        <f t="shared" si="15"/>
        <v>39208</v>
      </c>
      <c r="D335" t="s">
        <v>29</v>
      </c>
      <c r="E335" s="33" t="str">
        <f>"3074"</f>
        <v>3074</v>
      </c>
      <c r="F335" t="s">
        <v>1912</v>
      </c>
      <c r="G335" s="1"/>
      <c r="H335" s="1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x14ac:dyDescent="0.25">
      <c r="A336" t="str">
        <f t="shared" si="13"/>
        <v>39801</v>
      </c>
      <c r="B336" s="33">
        <v>105</v>
      </c>
      <c r="C336" t="str">
        <f t="shared" si="15"/>
        <v>39208</v>
      </c>
      <c r="D336" t="s">
        <v>29</v>
      </c>
      <c r="E336" s="33" t="str">
        <f>"4040"</f>
        <v>4040</v>
      </c>
      <c r="F336" t="s">
        <v>1913</v>
      </c>
      <c r="G336" s="1"/>
      <c r="H336" s="1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x14ac:dyDescent="0.25">
      <c r="A337" t="str">
        <f t="shared" si="13"/>
        <v>39801</v>
      </c>
      <c r="B337" s="33">
        <v>105</v>
      </c>
      <c r="C337" t="str">
        <f t="shared" si="15"/>
        <v>39208</v>
      </c>
      <c r="D337" t="s">
        <v>29</v>
      </c>
      <c r="E337" s="33" t="str">
        <f>"4506"</f>
        <v>4506</v>
      </c>
      <c r="F337" t="s">
        <v>1914</v>
      </c>
      <c r="G337" s="1"/>
      <c r="H337" s="1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x14ac:dyDescent="0.25">
      <c r="A338" t="str">
        <f t="shared" si="13"/>
        <v>39801</v>
      </c>
      <c r="B338" s="33">
        <v>105</v>
      </c>
      <c r="C338" t="str">
        <f t="shared" si="15"/>
        <v>39208</v>
      </c>
      <c r="D338" t="s">
        <v>29</v>
      </c>
      <c r="E338" s="33" t="str">
        <f>"2505"</f>
        <v>2505</v>
      </c>
      <c r="F338" t="s">
        <v>1942</v>
      </c>
      <c r="G338" s="1"/>
      <c r="H338" s="1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x14ac:dyDescent="0.25">
      <c r="A339" t="str">
        <f t="shared" si="13"/>
        <v>39801</v>
      </c>
      <c r="B339" s="33">
        <v>105</v>
      </c>
      <c r="C339" t="str">
        <f>"39901"</f>
        <v>39901</v>
      </c>
      <c r="D339" t="s">
        <v>2171</v>
      </c>
      <c r="E339" s="33" t="str">
        <f>"5550"</f>
        <v>5550</v>
      </c>
      <c r="F339" t="s">
        <v>2172</v>
      </c>
      <c r="G339" s="1"/>
      <c r="H339" s="1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x14ac:dyDescent="0.25">
      <c r="A340" t="str">
        <f t="shared" si="13"/>
        <v>39801</v>
      </c>
      <c r="B340" s="34">
        <v>105</v>
      </c>
      <c r="C340" s="31" t="str">
        <f t="shared" ref="C340:C365" si="16">"39007"</f>
        <v>39007</v>
      </c>
      <c r="D340" s="31" t="s">
        <v>23</v>
      </c>
      <c r="E340" s="34" t="str">
        <f>"2592"</f>
        <v>2592</v>
      </c>
      <c r="F340" s="31" t="s">
        <v>22</v>
      </c>
      <c r="G340" s="1"/>
      <c r="H340" s="1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x14ac:dyDescent="0.25">
      <c r="A341" t="str">
        <f t="shared" si="13"/>
        <v>39801</v>
      </c>
      <c r="B341" s="34">
        <v>105</v>
      </c>
      <c r="C341" s="31" t="str">
        <f t="shared" si="16"/>
        <v>39007</v>
      </c>
      <c r="D341" s="31" t="s">
        <v>23</v>
      </c>
      <c r="E341" s="34" t="str">
        <f>"3138"</f>
        <v>3138</v>
      </c>
      <c r="F341" s="31" t="s">
        <v>111</v>
      </c>
      <c r="G341" s="1"/>
      <c r="H341" s="1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x14ac:dyDescent="0.25">
      <c r="A342" t="str">
        <f t="shared" si="13"/>
        <v>39801</v>
      </c>
      <c r="B342" s="34">
        <v>105</v>
      </c>
      <c r="C342" s="31" t="str">
        <f t="shared" si="16"/>
        <v>39007</v>
      </c>
      <c r="D342" s="31" t="s">
        <v>23</v>
      </c>
      <c r="E342" s="34" t="str">
        <f>"2116"</f>
        <v>2116</v>
      </c>
      <c r="F342" s="31" t="s">
        <v>477</v>
      </c>
      <c r="G342" s="1"/>
      <c r="H342" s="1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x14ac:dyDescent="0.25">
      <c r="A343" t="str">
        <f t="shared" si="13"/>
        <v>39801</v>
      </c>
      <c r="B343" s="34">
        <v>105</v>
      </c>
      <c r="C343" s="31" t="str">
        <f t="shared" si="16"/>
        <v>39007</v>
      </c>
      <c r="D343" s="31" t="s">
        <v>23</v>
      </c>
      <c r="E343" s="34" t="str">
        <f>"3023"</f>
        <v>3023</v>
      </c>
      <c r="F343" s="31" t="s">
        <v>506</v>
      </c>
      <c r="G343" s="1"/>
      <c r="H343" s="1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x14ac:dyDescent="0.25">
      <c r="A344" t="str">
        <f t="shared" si="13"/>
        <v>39801</v>
      </c>
      <c r="B344" s="34">
        <v>105</v>
      </c>
      <c r="C344" s="31" t="str">
        <f t="shared" si="16"/>
        <v>39007</v>
      </c>
      <c r="D344" s="31" t="s">
        <v>23</v>
      </c>
      <c r="E344" s="34" t="str">
        <f>"3206"</f>
        <v>3206</v>
      </c>
      <c r="F344" s="31" t="s">
        <v>559</v>
      </c>
      <c r="G344" s="1"/>
      <c r="H344" s="1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x14ac:dyDescent="0.25">
      <c r="A345" t="str">
        <f t="shared" si="13"/>
        <v>39801</v>
      </c>
      <c r="B345" s="34">
        <v>105</v>
      </c>
      <c r="C345" s="31" t="str">
        <f t="shared" si="16"/>
        <v>39007</v>
      </c>
      <c r="D345" s="31" t="s">
        <v>23</v>
      </c>
      <c r="E345" s="34" t="str">
        <f>"2410"</f>
        <v>2410</v>
      </c>
      <c r="F345" s="31" t="s">
        <v>663</v>
      </c>
      <c r="G345" s="1"/>
      <c r="H345" s="1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x14ac:dyDescent="0.25">
      <c r="A346" t="str">
        <f t="shared" si="13"/>
        <v>39801</v>
      </c>
      <c r="B346" s="34">
        <v>105</v>
      </c>
      <c r="C346" s="31" t="str">
        <f t="shared" si="16"/>
        <v>39007</v>
      </c>
      <c r="D346" s="31" t="s">
        <v>23</v>
      </c>
      <c r="E346" s="34" t="str">
        <f>"2176"</f>
        <v>2176</v>
      </c>
      <c r="F346" s="31" t="s">
        <v>685</v>
      </c>
      <c r="G346" s="1"/>
      <c r="H346" s="1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x14ac:dyDescent="0.25">
      <c r="A347" t="str">
        <f t="shared" si="13"/>
        <v>39801</v>
      </c>
      <c r="B347" s="34">
        <v>105</v>
      </c>
      <c r="C347" s="31" t="str">
        <f t="shared" si="16"/>
        <v>39007</v>
      </c>
      <c r="D347" s="31" t="s">
        <v>23</v>
      </c>
      <c r="E347" s="34" t="str">
        <f>"2818"</f>
        <v>2818</v>
      </c>
      <c r="F347" s="31" t="s">
        <v>706</v>
      </c>
      <c r="G347" s="1"/>
      <c r="H347" s="1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x14ac:dyDescent="0.25">
      <c r="A348" t="str">
        <f t="shared" si="13"/>
        <v>39801</v>
      </c>
      <c r="B348" s="34">
        <v>105</v>
      </c>
      <c r="C348" s="31" t="str">
        <f t="shared" si="16"/>
        <v>39007</v>
      </c>
      <c r="D348" s="31" t="s">
        <v>23</v>
      </c>
      <c r="E348" s="34" t="str">
        <f>"2715"</f>
        <v>2715</v>
      </c>
      <c r="F348" s="31" t="s">
        <v>840</v>
      </c>
      <c r="G348" s="1"/>
      <c r="H348" s="1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x14ac:dyDescent="0.25">
      <c r="A349" t="str">
        <f t="shared" si="13"/>
        <v>39801</v>
      </c>
      <c r="B349" s="34">
        <v>105</v>
      </c>
      <c r="C349" s="31" t="str">
        <f t="shared" si="16"/>
        <v>39007</v>
      </c>
      <c r="D349" s="31" t="s">
        <v>23</v>
      </c>
      <c r="E349" s="34" t="str">
        <f>"4092"</f>
        <v>4092</v>
      </c>
      <c r="F349" s="31" t="s">
        <v>1999</v>
      </c>
      <c r="G349" s="1"/>
      <c r="H349" s="1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x14ac:dyDescent="0.25">
      <c r="A350" t="str">
        <f t="shared" si="13"/>
        <v>39801</v>
      </c>
      <c r="B350" s="34">
        <v>105</v>
      </c>
      <c r="C350" s="31" t="str">
        <f t="shared" si="16"/>
        <v>39007</v>
      </c>
      <c r="D350" s="31" t="s">
        <v>23</v>
      </c>
      <c r="E350" s="34" t="str">
        <f>"3615"</f>
        <v>3615</v>
      </c>
      <c r="F350" s="31" t="s">
        <v>1034</v>
      </c>
      <c r="G350" s="1"/>
      <c r="H350" s="1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x14ac:dyDescent="0.25">
      <c r="A351" t="str">
        <f t="shared" si="13"/>
        <v>39801</v>
      </c>
      <c r="B351" s="34">
        <v>105</v>
      </c>
      <c r="C351" s="31" t="str">
        <f t="shared" si="16"/>
        <v>39007</v>
      </c>
      <c r="D351" s="31" t="s">
        <v>23</v>
      </c>
      <c r="E351" s="34" t="str">
        <f>"3817"</f>
        <v>3817</v>
      </c>
      <c r="F351" s="31" t="s">
        <v>1134</v>
      </c>
      <c r="G351" s="1"/>
      <c r="H351" s="1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x14ac:dyDescent="0.25">
      <c r="A352" t="str">
        <f t="shared" si="13"/>
        <v>39801</v>
      </c>
      <c r="B352" s="34">
        <v>105</v>
      </c>
      <c r="C352" s="31" t="str">
        <f t="shared" si="16"/>
        <v>39007</v>
      </c>
      <c r="D352" s="31" t="s">
        <v>23</v>
      </c>
      <c r="E352" s="34" t="str">
        <f>"2899"</f>
        <v>2899</v>
      </c>
      <c r="F352" s="31" t="s">
        <v>1152</v>
      </c>
      <c r="G352" s="1"/>
      <c r="H352" s="1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x14ac:dyDescent="0.25">
      <c r="A353" t="str">
        <f t="shared" si="13"/>
        <v>39801</v>
      </c>
      <c r="B353" s="34">
        <v>105</v>
      </c>
      <c r="C353" s="31" t="str">
        <f t="shared" si="16"/>
        <v>39007</v>
      </c>
      <c r="D353" s="31" t="s">
        <v>23</v>
      </c>
      <c r="E353" s="34" t="str">
        <f>"2177"</f>
        <v>2177</v>
      </c>
      <c r="F353" s="31" t="s">
        <v>1161</v>
      </c>
      <c r="G353" s="1"/>
      <c r="H353" s="1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x14ac:dyDescent="0.25">
      <c r="A354" t="str">
        <f t="shared" si="13"/>
        <v>39801</v>
      </c>
      <c r="B354" s="34">
        <v>105</v>
      </c>
      <c r="C354" s="31" t="str">
        <f t="shared" si="16"/>
        <v>39007</v>
      </c>
      <c r="D354" s="31" t="s">
        <v>23</v>
      </c>
      <c r="E354" s="34" t="str">
        <f>"2819"</f>
        <v>2819</v>
      </c>
      <c r="F354" s="31" t="s">
        <v>1297</v>
      </c>
      <c r="G354" s="1"/>
      <c r="H354" s="1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x14ac:dyDescent="0.25">
      <c r="A355" t="str">
        <f t="shared" si="13"/>
        <v>39801</v>
      </c>
      <c r="B355" s="34">
        <v>105</v>
      </c>
      <c r="C355" s="31" t="str">
        <f t="shared" si="16"/>
        <v>39007</v>
      </c>
      <c r="D355" s="31" t="s">
        <v>23</v>
      </c>
      <c r="E355" s="34" t="str">
        <f>"2433"</f>
        <v>2433</v>
      </c>
      <c r="F355" s="31" t="s">
        <v>1529</v>
      </c>
      <c r="G355" s="1"/>
      <c r="H355" s="1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x14ac:dyDescent="0.25">
      <c r="A356" t="str">
        <f t="shared" si="13"/>
        <v>39801</v>
      </c>
      <c r="B356" s="34">
        <v>105</v>
      </c>
      <c r="C356" s="31" t="str">
        <f t="shared" si="16"/>
        <v>39007</v>
      </c>
      <c r="D356" s="31" t="s">
        <v>23</v>
      </c>
      <c r="E356" s="34">
        <v>5264</v>
      </c>
      <c r="F356" s="31" t="s">
        <v>2007</v>
      </c>
      <c r="G356" s="1"/>
      <c r="H356" s="1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x14ac:dyDescent="0.25">
      <c r="A357" t="str">
        <f t="shared" si="13"/>
        <v>39801</v>
      </c>
      <c r="B357" s="34">
        <v>105</v>
      </c>
      <c r="C357" s="31" t="str">
        <f t="shared" si="16"/>
        <v>39007</v>
      </c>
      <c r="D357" s="31" t="s">
        <v>23</v>
      </c>
      <c r="E357" s="34" t="str">
        <f>"3264"</f>
        <v>3264</v>
      </c>
      <c r="F357" s="31" t="s">
        <v>1546</v>
      </c>
      <c r="G357" s="1"/>
      <c r="H357" s="1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x14ac:dyDescent="0.25">
      <c r="A358" t="str">
        <f t="shared" si="13"/>
        <v>39801</v>
      </c>
      <c r="B358" s="34">
        <v>105</v>
      </c>
      <c r="C358" s="31" t="str">
        <f t="shared" si="16"/>
        <v>39007</v>
      </c>
      <c r="D358" s="31" t="s">
        <v>23</v>
      </c>
      <c r="E358" s="34" t="str">
        <f>"2529"</f>
        <v>2529</v>
      </c>
      <c r="F358" s="31" t="s">
        <v>1556</v>
      </c>
      <c r="G358" s="1"/>
      <c r="H358" s="1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x14ac:dyDescent="0.25">
      <c r="A359" t="str">
        <f t="shared" si="13"/>
        <v>39801</v>
      </c>
      <c r="B359" s="34">
        <v>105</v>
      </c>
      <c r="C359" s="31" t="str">
        <f t="shared" si="16"/>
        <v>39007</v>
      </c>
      <c r="D359" s="31" t="s">
        <v>23</v>
      </c>
      <c r="E359" s="34" t="str">
        <f>"4093"</f>
        <v>4093</v>
      </c>
      <c r="F359" s="31" t="s">
        <v>1721</v>
      </c>
      <c r="G359" s="1"/>
      <c r="H359" s="1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x14ac:dyDescent="0.25">
      <c r="A360" t="str">
        <f t="shared" si="13"/>
        <v>39801</v>
      </c>
      <c r="B360" s="34">
        <v>105</v>
      </c>
      <c r="C360" s="31" t="str">
        <f t="shared" si="16"/>
        <v>39007</v>
      </c>
      <c r="D360" s="31" t="s">
        <v>23</v>
      </c>
      <c r="E360" s="34" t="str">
        <f>"2314"</f>
        <v>2314</v>
      </c>
      <c r="F360" s="31" t="s">
        <v>1893</v>
      </c>
      <c r="G360" s="1"/>
      <c r="H360" s="1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x14ac:dyDescent="0.25">
      <c r="A361" t="str">
        <f t="shared" si="13"/>
        <v>39801</v>
      </c>
      <c r="B361" s="34">
        <v>105</v>
      </c>
      <c r="C361" s="31" t="str">
        <f t="shared" si="16"/>
        <v>39007</v>
      </c>
      <c r="D361" s="31" t="s">
        <v>23</v>
      </c>
      <c r="E361" s="34" t="str">
        <f>"3312"</f>
        <v>3312</v>
      </c>
      <c r="F361" s="31" t="s">
        <v>1937</v>
      </c>
      <c r="G361" s="1"/>
      <c r="H361" s="1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x14ac:dyDescent="0.25">
      <c r="A362" t="str">
        <f t="shared" si="13"/>
        <v>39801</v>
      </c>
      <c r="B362" s="34">
        <v>105</v>
      </c>
      <c r="C362" s="31" t="str">
        <f t="shared" si="16"/>
        <v>39007</v>
      </c>
      <c r="D362" s="31" t="s">
        <v>23</v>
      </c>
      <c r="E362" s="34" t="str">
        <f>"3368"</f>
        <v>3368</v>
      </c>
      <c r="F362" s="31" t="s">
        <v>1957</v>
      </c>
      <c r="G362" s="1"/>
      <c r="H362" s="1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x14ac:dyDescent="0.25">
      <c r="A363" t="str">
        <f t="shared" si="13"/>
        <v>39801</v>
      </c>
      <c r="B363" s="34">
        <v>105</v>
      </c>
      <c r="C363" s="31" t="str">
        <f t="shared" si="16"/>
        <v>39007</v>
      </c>
      <c r="D363" s="31" t="s">
        <v>23</v>
      </c>
      <c r="E363" s="34" t="str">
        <f>"5153"</f>
        <v>5153</v>
      </c>
      <c r="F363" s="31" t="s">
        <v>1979</v>
      </c>
      <c r="G363" s="1"/>
      <c r="H363" s="1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x14ac:dyDescent="0.25">
      <c r="A364" t="str">
        <f t="shared" si="13"/>
        <v>39801</v>
      </c>
      <c r="B364" s="34">
        <v>105</v>
      </c>
      <c r="C364" s="31" t="str">
        <f t="shared" si="16"/>
        <v>39007</v>
      </c>
      <c r="D364" s="31" t="s">
        <v>23</v>
      </c>
      <c r="E364" s="34">
        <v>5224</v>
      </c>
      <c r="F364" s="31" t="s">
        <v>2012</v>
      </c>
      <c r="G364" s="1"/>
      <c r="H364" s="1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x14ac:dyDescent="0.25">
      <c r="A365" t="str">
        <f t="shared" si="13"/>
        <v>39801</v>
      </c>
      <c r="B365" s="34">
        <v>105</v>
      </c>
      <c r="C365" s="31" t="str">
        <f t="shared" si="16"/>
        <v>39007</v>
      </c>
      <c r="D365" s="31" t="s">
        <v>23</v>
      </c>
      <c r="E365" s="34">
        <v>4020</v>
      </c>
      <c r="F365" s="38" t="s">
        <v>2013</v>
      </c>
      <c r="G365" s="1"/>
      <c r="H365" s="1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x14ac:dyDescent="0.25">
      <c r="A366" t="str">
        <f t="shared" si="13"/>
        <v>39801</v>
      </c>
      <c r="B366" s="34">
        <v>105</v>
      </c>
      <c r="C366" s="35">
        <v>39205</v>
      </c>
      <c r="D366" s="2" t="s">
        <v>823</v>
      </c>
      <c r="E366" s="36">
        <v>2783</v>
      </c>
      <c r="F366" s="2" t="s">
        <v>824</v>
      </c>
      <c r="G366" s="1"/>
      <c r="H366" s="1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x14ac:dyDescent="0.25">
      <c r="A367" t="str">
        <f t="shared" si="13"/>
        <v>39801</v>
      </c>
      <c r="B367" s="34">
        <v>105</v>
      </c>
      <c r="C367" s="35">
        <v>39205</v>
      </c>
      <c r="D367" s="2" t="s">
        <v>823</v>
      </c>
      <c r="E367" s="36">
        <v>2240</v>
      </c>
      <c r="F367" s="2" t="s">
        <v>1986</v>
      </c>
      <c r="G367" s="1"/>
      <c r="H367" s="1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x14ac:dyDescent="0.25">
      <c r="A368" t="str">
        <f t="shared" si="13"/>
        <v>39801</v>
      </c>
      <c r="B368" s="34">
        <v>105</v>
      </c>
      <c r="C368" s="35">
        <v>39205</v>
      </c>
      <c r="D368" s="2" t="s">
        <v>823</v>
      </c>
      <c r="E368" s="36">
        <v>4221</v>
      </c>
      <c r="F368" s="2" t="s">
        <v>1987</v>
      </c>
      <c r="G368" s="1"/>
      <c r="H368" s="1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x14ac:dyDescent="0.25">
      <c r="A369" t="str">
        <f t="shared" si="13"/>
        <v>39801</v>
      </c>
      <c r="B369" s="34">
        <v>105</v>
      </c>
      <c r="C369" s="35">
        <v>39205</v>
      </c>
      <c r="D369" s="2" t="s">
        <v>823</v>
      </c>
      <c r="E369" s="36">
        <v>4481</v>
      </c>
      <c r="F369" s="2" t="s">
        <v>1988</v>
      </c>
      <c r="G369" s="1"/>
      <c r="H369" s="1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x14ac:dyDescent="0.25">
      <c r="A370" t="str">
        <f t="shared" ref="A370:A433" si="17">"06801"</f>
        <v>06801</v>
      </c>
      <c r="B370" s="39">
        <v>112</v>
      </c>
      <c r="C370" s="40" t="str">
        <f t="shared" ref="C370:C387" si="18">"06119"</f>
        <v>06119</v>
      </c>
      <c r="D370" s="40" t="s">
        <v>54</v>
      </c>
      <c r="E370" s="39" t="str">
        <f>"2671"</f>
        <v>2671</v>
      </c>
      <c r="F370" s="40" t="s">
        <v>55</v>
      </c>
      <c r="G370" s="1"/>
      <c r="H370" s="1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x14ac:dyDescent="0.25">
      <c r="A371" t="str">
        <f t="shared" si="17"/>
        <v>06801</v>
      </c>
      <c r="B371" s="39">
        <v>112</v>
      </c>
      <c r="C371" s="40" t="str">
        <f t="shared" si="18"/>
        <v>06119</v>
      </c>
      <c r="D371" s="40" t="s">
        <v>54</v>
      </c>
      <c r="E371" s="39" t="str">
        <f>"2415"</f>
        <v>2415</v>
      </c>
      <c r="F371" s="40" t="s">
        <v>118</v>
      </c>
      <c r="G371" s="1"/>
      <c r="H371" s="1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x14ac:dyDescent="0.25">
      <c r="A372" t="str">
        <f t="shared" si="17"/>
        <v>06801</v>
      </c>
      <c r="B372" s="39">
        <v>112</v>
      </c>
      <c r="C372" s="40" t="str">
        <f t="shared" si="18"/>
        <v>06119</v>
      </c>
      <c r="D372" s="40" t="s">
        <v>54</v>
      </c>
      <c r="E372" s="39" t="str">
        <f>"1836"</f>
        <v>1836</v>
      </c>
      <c r="F372" s="40" t="s">
        <v>226</v>
      </c>
      <c r="G372" s="1"/>
      <c r="H372" s="1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x14ac:dyDescent="0.25">
      <c r="A373" t="str">
        <f t="shared" si="17"/>
        <v>06801</v>
      </c>
      <c r="B373" s="39">
        <v>112</v>
      </c>
      <c r="C373" s="40" t="str">
        <f t="shared" si="18"/>
        <v>06119</v>
      </c>
      <c r="D373" s="40" t="s">
        <v>54</v>
      </c>
      <c r="E373" s="39" t="str">
        <f>"4352"</f>
        <v>4352</v>
      </c>
      <c r="F373" s="40" t="s">
        <v>246</v>
      </c>
      <c r="G373" s="1"/>
      <c r="H373" s="1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x14ac:dyDescent="0.25">
      <c r="A374" t="str">
        <f t="shared" si="17"/>
        <v>06801</v>
      </c>
      <c r="B374" s="39">
        <v>112</v>
      </c>
      <c r="C374" s="40" t="str">
        <f t="shared" si="18"/>
        <v>06119</v>
      </c>
      <c r="D374" s="40" t="s">
        <v>54</v>
      </c>
      <c r="E374" s="39" t="str">
        <f>"5133"</f>
        <v>5133</v>
      </c>
      <c r="F374" s="40" t="s">
        <v>356</v>
      </c>
      <c r="G374" s="1"/>
      <c r="H374" s="1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x14ac:dyDescent="0.25">
      <c r="A375" t="str">
        <f t="shared" si="17"/>
        <v>06801</v>
      </c>
      <c r="B375" s="39">
        <v>112</v>
      </c>
      <c r="C375" s="40" t="str">
        <f t="shared" si="18"/>
        <v>06119</v>
      </c>
      <c r="D375" s="40" t="s">
        <v>54</v>
      </c>
      <c r="E375" s="39" t="str">
        <f>"5089"</f>
        <v>5089</v>
      </c>
      <c r="F375" s="40" t="s">
        <v>478</v>
      </c>
      <c r="G375" s="1"/>
      <c r="H375" s="1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x14ac:dyDescent="0.25">
      <c r="A376" t="str">
        <f t="shared" si="17"/>
        <v>06801</v>
      </c>
      <c r="B376" s="39">
        <v>112</v>
      </c>
      <c r="C376" s="40" t="str">
        <f t="shared" si="18"/>
        <v>06119</v>
      </c>
      <c r="D376" s="40" t="s">
        <v>54</v>
      </c>
      <c r="E376" s="39" t="str">
        <f>"5090"</f>
        <v>5090</v>
      </c>
      <c r="F376" s="40" t="s">
        <v>479</v>
      </c>
      <c r="G376" s="1"/>
      <c r="H376" s="1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x14ac:dyDescent="0.25">
      <c r="A377" t="str">
        <f t="shared" si="17"/>
        <v>06801</v>
      </c>
      <c r="B377" s="39">
        <v>112</v>
      </c>
      <c r="C377" s="40" t="str">
        <f t="shared" si="18"/>
        <v>06119</v>
      </c>
      <c r="D377" s="40" t="s">
        <v>54</v>
      </c>
      <c r="E377" s="39" t="str">
        <f>"3018"</f>
        <v>3018</v>
      </c>
      <c r="F377" s="40" t="s">
        <v>715</v>
      </c>
      <c r="G377" s="1"/>
      <c r="H377" s="1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x14ac:dyDescent="0.25">
      <c r="A378" t="str">
        <f t="shared" si="17"/>
        <v>06801</v>
      </c>
      <c r="B378" s="39">
        <v>112</v>
      </c>
      <c r="C378" s="40" t="str">
        <f t="shared" si="18"/>
        <v>06119</v>
      </c>
      <c r="D378" s="40" t="s">
        <v>54</v>
      </c>
      <c r="E378" s="39" t="str">
        <f>"1875"</f>
        <v>1875</v>
      </c>
      <c r="F378" s="40" t="s">
        <v>837</v>
      </c>
      <c r="G378" s="1"/>
      <c r="H378" s="1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x14ac:dyDescent="0.25">
      <c r="A379" t="str">
        <f t="shared" si="17"/>
        <v>06801</v>
      </c>
      <c r="B379" s="39">
        <v>112</v>
      </c>
      <c r="C379" s="40" t="str">
        <f t="shared" si="18"/>
        <v>06119</v>
      </c>
      <c r="D379" s="40" t="s">
        <v>54</v>
      </c>
      <c r="E379" s="39" t="str">
        <f>"3545"</f>
        <v>3545</v>
      </c>
      <c r="F379" s="40" t="s">
        <v>1021</v>
      </c>
      <c r="G379" s="1"/>
      <c r="H379" s="1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x14ac:dyDescent="0.25">
      <c r="A380" t="str">
        <f t="shared" si="17"/>
        <v>06801</v>
      </c>
      <c r="B380" s="39">
        <v>112</v>
      </c>
      <c r="C380" s="40" t="str">
        <f t="shared" si="18"/>
        <v>06119</v>
      </c>
      <c r="D380" s="40" t="s">
        <v>54</v>
      </c>
      <c r="E380" s="33" t="str">
        <f>"4144"</f>
        <v>4144</v>
      </c>
      <c r="F380" t="s">
        <v>2107</v>
      </c>
      <c r="G380" s="1"/>
      <c r="H380" s="1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x14ac:dyDescent="0.25">
      <c r="A381" t="str">
        <f t="shared" si="17"/>
        <v>06801</v>
      </c>
      <c r="B381" s="39">
        <v>112</v>
      </c>
      <c r="C381" s="40" t="str">
        <f t="shared" si="18"/>
        <v>06119</v>
      </c>
      <c r="D381" s="40" t="s">
        <v>54</v>
      </c>
      <c r="E381" s="39" t="str">
        <f>"3997"</f>
        <v>3997</v>
      </c>
      <c r="F381" s="40" t="s">
        <v>1454</v>
      </c>
      <c r="G381" s="1"/>
      <c r="H381" s="1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x14ac:dyDescent="0.25">
      <c r="A382" t="str">
        <f t="shared" si="17"/>
        <v>06801</v>
      </c>
      <c r="B382" s="39">
        <v>112</v>
      </c>
      <c r="C382" s="40" t="str">
        <f t="shared" si="18"/>
        <v>06119</v>
      </c>
      <c r="D382" s="40" t="s">
        <v>54</v>
      </c>
      <c r="E382" s="39" t="str">
        <f>"3996"</f>
        <v>3996</v>
      </c>
      <c r="F382" s="40" t="s">
        <v>1455</v>
      </c>
      <c r="G382" s="1"/>
      <c r="H382" s="1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x14ac:dyDescent="0.25">
      <c r="A383" t="str">
        <f t="shared" si="17"/>
        <v>06801</v>
      </c>
      <c r="B383" s="39">
        <v>112</v>
      </c>
      <c r="C383" s="40" t="str">
        <f t="shared" si="18"/>
        <v>06119</v>
      </c>
      <c r="D383" s="40" t="s">
        <v>54</v>
      </c>
      <c r="E383" s="39" t="str">
        <f>"4104"</f>
        <v>4104</v>
      </c>
      <c r="F383" s="40" t="s">
        <v>1469</v>
      </c>
      <c r="G383" s="1"/>
      <c r="H383" s="1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x14ac:dyDescent="0.25">
      <c r="A384" t="str">
        <f t="shared" si="17"/>
        <v>06801</v>
      </c>
      <c r="B384" s="39">
        <v>112</v>
      </c>
      <c r="C384" s="40" t="str">
        <f t="shared" si="18"/>
        <v>06119</v>
      </c>
      <c r="D384" s="40" t="s">
        <v>54</v>
      </c>
      <c r="E384" s="39" t="str">
        <f>"4450"</f>
        <v>4450</v>
      </c>
      <c r="F384" s="40" t="s">
        <v>1746</v>
      </c>
      <c r="G384" s="1"/>
      <c r="H384" s="1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x14ac:dyDescent="0.25">
      <c r="A385" t="str">
        <f t="shared" si="17"/>
        <v>06801</v>
      </c>
      <c r="B385" s="39">
        <v>112</v>
      </c>
      <c r="C385" s="40" t="str">
        <f t="shared" si="18"/>
        <v>06119</v>
      </c>
      <c r="D385" s="40" t="s">
        <v>54</v>
      </c>
      <c r="E385" s="39" t="str">
        <f>"5131"</f>
        <v>5131</v>
      </c>
      <c r="F385" s="40" t="s">
        <v>1823</v>
      </c>
      <c r="G385" s="1"/>
      <c r="H385" s="1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x14ac:dyDescent="0.25">
      <c r="A386" t="str">
        <f t="shared" si="17"/>
        <v>06801</v>
      </c>
      <c r="B386" s="39">
        <v>112</v>
      </c>
      <c r="C386" s="40" t="str">
        <f t="shared" si="18"/>
        <v>06119</v>
      </c>
      <c r="D386" s="40" t="s">
        <v>54</v>
      </c>
      <c r="E386" s="39" t="str">
        <f>"5132"</f>
        <v>5132</v>
      </c>
      <c r="F386" s="40" t="s">
        <v>1824</v>
      </c>
      <c r="G386" s="1"/>
      <c r="H386" s="1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x14ac:dyDescent="0.25">
      <c r="A387" t="str">
        <f t="shared" si="17"/>
        <v>06801</v>
      </c>
      <c r="B387" s="39">
        <v>112</v>
      </c>
      <c r="C387" s="40" t="str">
        <f t="shared" si="18"/>
        <v>06119</v>
      </c>
      <c r="D387" s="40" t="s">
        <v>54</v>
      </c>
      <c r="E387" s="39" t="str">
        <f>"2910"</f>
        <v>2910</v>
      </c>
      <c r="F387" s="40" t="s">
        <v>1978</v>
      </c>
      <c r="G387" s="1"/>
      <c r="H387" s="1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x14ac:dyDescent="0.25">
      <c r="A388" t="str">
        <f t="shared" si="17"/>
        <v>06801</v>
      </c>
      <c r="B388" s="34">
        <v>112</v>
      </c>
      <c r="C388" s="31" t="str">
        <f t="shared" ref="C388:C399" si="19">"06117"</f>
        <v>06117</v>
      </c>
      <c r="D388" s="31" t="s">
        <v>228</v>
      </c>
      <c r="E388" s="34" t="str">
        <f>"4567"</f>
        <v>4567</v>
      </c>
      <c r="F388" s="31" t="s">
        <v>229</v>
      </c>
      <c r="G388" s="1"/>
      <c r="H388" s="1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x14ac:dyDescent="0.25">
      <c r="A389" t="str">
        <f t="shared" si="17"/>
        <v>06801</v>
      </c>
      <c r="B389" s="41">
        <v>112</v>
      </c>
      <c r="C389" s="18" t="str">
        <f t="shared" si="19"/>
        <v>06117</v>
      </c>
      <c r="D389" s="18" t="s">
        <v>228</v>
      </c>
      <c r="E389" s="41" t="str">
        <f>"5533"</f>
        <v>5533</v>
      </c>
      <c r="F389" s="18" t="s">
        <v>505</v>
      </c>
      <c r="G389" s="1"/>
      <c r="H389" s="1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x14ac:dyDescent="0.25">
      <c r="A390" t="str">
        <f t="shared" si="17"/>
        <v>06801</v>
      </c>
      <c r="B390" s="34">
        <v>112</v>
      </c>
      <c r="C390" s="31" t="str">
        <f t="shared" si="19"/>
        <v>06117</v>
      </c>
      <c r="D390" s="31" t="s">
        <v>228</v>
      </c>
      <c r="E390" s="34" t="str">
        <f>"4182"</f>
        <v>4182</v>
      </c>
      <c r="F390" s="31" t="s">
        <v>2173</v>
      </c>
      <c r="G390" s="1"/>
      <c r="H390" s="1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x14ac:dyDescent="0.25">
      <c r="A391" t="str">
        <f t="shared" si="17"/>
        <v>06801</v>
      </c>
      <c r="B391" s="34">
        <v>112</v>
      </c>
      <c r="C391" s="31" t="str">
        <f t="shared" si="19"/>
        <v>06117</v>
      </c>
      <c r="D391" s="31" t="s">
        <v>228</v>
      </c>
      <c r="E391" s="34" t="str">
        <f>"5158"</f>
        <v>5158</v>
      </c>
      <c r="F391" s="31" t="s">
        <v>743</v>
      </c>
      <c r="G391" s="1"/>
      <c r="H391" s="1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x14ac:dyDescent="0.25">
      <c r="A392" t="str">
        <f t="shared" si="17"/>
        <v>06801</v>
      </c>
      <c r="B392" s="34">
        <v>112</v>
      </c>
      <c r="C392" s="31" t="str">
        <f t="shared" si="19"/>
        <v>06117</v>
      </c>
      <c r="D392" s="31" t="s">
        <v>228</v>
      </c>
      <c r="E392" s="34" t="str">
        <f>"5104"</f>
        <v>5104</v>
      </c>
      <c r="F392" s="31" t="s">
        <v>786</v>
      </c>
      <c r="G392" s="1"/>
      <c r="H392" s="1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x14ac:dyDescent="0.25">
      <c r="A393" t="str">
        <f t="shared" si="17"/>
        <v>06801</v>
      </c>
      <c r="B393" s="34">
        <v>112</v>
      </c>
      <c r="C393" s="31" t="str">
        <f t="shared" si="19"/>
        <v>06117</v>
      </c>
      <c r="D393" s="31" t="s">
        <v>228</v>
      </c>
      <c r="E393" s="34" t="str">
        <f>"2725"</f>
        <v>2725</v>
      </c>
      <c r="F393" s="31" t="s">
        <v>2174</v>
      </c>
      <c r="G393" s="1"/>
      <c r="H393" s="1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x14ac:dyDescent="0.25">
      <c r="A394" t="str">
        <f t="shared" si="17"/>
        <v>06801</v>
      </c>
      <c r="B394" s="34">
        <v>112</v>
      </c>
      <c r="C394" s="31" t="str">
        <f t="shared" si="19"/>
        <v>06117</v>
      </c>
      <c r="D394" s="31" t="s">
        <v>228</v>
      </c>
      <c r="E394" s="34" t="str">
        <f>"3474"</f>
        <v>3474</v>
      </c>
      <c r="F394" s="31" t="s">
        <v>979</v>
      </c>
      <c r="G394" s="1"/>
      <c r="H394" s="1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x14ac:dyDescent="0.25">
      <c r="A395" t="str">
        <f t="shared" si="17"/>
        <v>06801</v>
      </c>
      <c r="B395" s="34">
        <v>112</v>
      </c>
      <c r="C395" s="31" t="str">
        <f t="shared" si="19"/>
        <v>06117</v>
      </c>
      <c r="D395" s="31" t="s">
        <v>228</v>
      </c>
      <c r="E395" s="34" t="str">
        <f>"5054"</f>
        <v>5054</v>
      </c>
      <c r="F395" s="31" t="s">
        <v>1049</v>
      </c>
      <c r="G395" s="1"/>
      <c r="H395" s="1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x14ac:dyDescent="0.25">
      <c r="A396" t="str">
        <f t="shared" si="17"/>
        <v>06801</v>
      </c>
      <c r="B396" s="34">
        <v>112</v>
      </c>
      <c r="C396" s="31" t="str">
        <f t="shared" si="19"/>
        <v>06117</v>
      </c>
      <c r="D396" s="31" t="s">
        <v>228</v>
      </c>
      <c r="E396" s="34">
        <v>5534</v>
      </c>
      <c r="F396" s="31" t="s">
        <v>2074</v>
      </c>
      <c r="G396" s="1"/>
      <c r="H396" s="1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x14ac:dyDescent="0.25">
      <c r="A397" t="str">
        <f t="shared" si="17"/>
        <v>06801</v>
      </c>
      <c r="B397" s="34">
        <v>112</v>
      </c>
      <c r="C397" s="31" t="str">
        <f t="shared" si="19"/>
        <v>06117</v>
      </c>
      <c r="D397" s="31" t="s">
        <v>228</v>
      </c>
      <c r="E397" s="34" t="str">
        <f>"4563"</f>
        <v>4563</v>
      </c>
      <c r="F397" s="31" t="s">
        <v>2175</v>
      </c>
      <c r="G397" s="1"/>
      <c r="H397" s="1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x14ac:dyDescent="0.25">
      <c r="A398" t="str">
        <f t="shared" si="17"/>
        <v>06801</v>
      </c>
      <c r="B398" s="34">
        <v>112</v>
      </c>
      <c r="C398" s="31" t="str">
        <f t="shared" si="19"/>
        <v>06117</v>
      </c>
      <c r="D398" s="31" t="s">
        <v>228</v>
      </c>
      <c r="E398" s="34" t="str">
        <f>"4508"</f>
        <v>4508</v>
      </c>
      <c r="F398" s="31" t="s">
        <v>1670</v>
      </c>
      <c r="G398" s="1"/>
      <c r="H398" s="1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x14ac:dyDescent="0.25">
      <c r="A399" t="str">
        <f t="shared" si="17"/>
        <v>06801</v>
      </c>
      <c r="B399" s="34">
        <v>112</v>
      </c>
      <c r="C399" s="31" t="str">
        <f t="shared" si="19"/>
        <v>06117</v>
      </c>
      <c r="D399" s="31" t="s">
        <v>228</v>
      </c>
      <c r="E399" s="34" t="str">
        <f>"5309"</f>
        <v>5309</v>
      </c>
      <c r="F399" s="31" t="s">
        <v>1965</v>
      </c>
      <c r="G399" s="1"/>
      <c r="H399" s="1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x14ac:dyDescent="0.25">
      <c r="A400" t="str">
        <f t="shared" si="17"/>
        <v>06801</v>
      </c>
      <c r="B400" s="33">
        <v>112</v>
      </c>
      <c r="C400" s="35">
        <v>8401</v>
      </c>
      <c r="D400" t="s">
        <v>278</v>
      </c>
      <c r="E400" s="36">
        <v>2762</v>
      </c>
      <c r="F400" t="s">
        <v>279</v>
      </c>
      <c r="G400" s="1"/>
      <c r="H400" s="1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x14ac:dyDescent="0.25">
      <c r="A401" t="str">
        <f t="shared" si="17"/>
        <v>06801</v>
      </c>
      <c r="B401" s="33">
        <v>112</v>
      </c>
      <c r="C401" s="35">
        <v>8401</v>
      </c>
      <c r="D401" t="s">
        <v>278</v>
      </c>
      <c r="E401" s="36">
        <v>2281</v>
      </c>
      <c r="F401" t="s">
        <v>280</v>
      </c>
      <c r="G401" s="1"/>
      <c r="H401" s="1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x14ac:dyDescent="0.25">
      <c r="A402" t="str">
        <f t="shared" si="17"/>
        <v>06801</v>
      </c>
      <c r="B402" s="33">
        <v>112</v>
      </c>
      <c r="C402" s="35">
        <v>8401</v>
      </c>
      <c r="D402" t="s">
        <v>278</v>
      </c>
      <c r="E402" s="36">
        <v>3969</v>
      </c>
      <c r="F402" t="s">
        <v>281</v>
      </c>
      <c r="G402" s="1"/>
      <c r="H402" s="1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x14ac:dyDescent="0.25">
      <c r="A403" t="str">
        <f t="shared" si="17"/>
        <v>06801</v>
      </c>
      <c r="B403" s="33">
        <v>112</v>
      </c>
      <c r="C403" s="35">
        <v>20215</v>
      </c>
      <c r="D403" t="s">
        <v>2176</v>
      </c>
      <c r="E403" s="36">
        <v>2251</v>
      </c>
      <c r="F403" t="s">
        <v>2177</v>
      </c>
      <c r="G403" s="1"/>
      <c r="H403" s="1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x14ac:dyDescent="0.25">
      <c r="A404" t="str">
        <f t="shared" si="17"/>
        <v>06801</v>
      </c>
      <c r="B404" s="34">
        <v>112</v>
      </c>
      <c r="C404" s="31" t="str">
        <f t="shared" ref="C404:C440" si="20">"06114"</f>
        <v>06114</v>
      </c>
      <c r="D404" s="31" t="s">
        <v>5</v>
      </c>
      <c r="E404" s="34" t="str">
        <f>"1646"</f>
        <v>1646</v>
      </c>
      <c r="F404" s="31" t="s">
        <v>6</v>
      </c>
      <c r="G404" s="1"/>
      <c r="H404" s="1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x14ac:dyDescent="0.25">
      <c r="A405" t="str">
        <f t="shared" si="17"/>
        <v>06801</v>
      </c>
      <c r="B405" s="34">
        <v>112</v>
      </c>
      <c r="C405" s="31" t="str">
        <f t="shared" si="20"/>
        <v>06114</v>
      </c>
      <c r="D405" s="31" t="s">
        <v>5</v>
      </c>
      <c r="E405" s="34" t="str">
        <f>"4299"</f>
        <v>4299</v>
      </c>
      <c r="F405" s="31" t="s">
        <v>221</v>
      </c>
      <c r="G405" s="1"/>
      <c r="H405" s="1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x14ac:dyDescent="0.25">
      <c r="A406" t="str">
        <f t="shared" si="17"/>
        <v>06801</v>
      </c>
      <c r="B406" s="34">
        <v>112</v>
      </c>
      <c r="C406" s="31" t="str">
        <f t="shared" si="20"/>
        <v>06114</v>
      </c>
      <c r="D406" s="31" t="s">
        <v>5</v>
      </c>
      <c r="E406" s="34" t="str">
        <f>"3736"</f>
        <v>3736</v>
      </c>
      <c r="F406" s="31" t="s">
        <v>222</v>
      </c>
      <c r="G406" s="1"/>
      <c r="H406" s="1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x14ac:dyDescent="0.25">
      <c r="A407" t="str">
        <f t="shared" si="17"/>
        <v>06801</v>
      </c>
      <c r="B407" s="34">
        <v>112</v>
      </c>
      <c r="C407" s="31" t="str">
        <f t="shared" si="20"/>
        <v>06114</v>
      </c>
      <c r="D407" s="31" t="s">
        <v>5</v>
      </c>
      <c r="E407" s="34" t="str">
        <f>"3785"</f>
        <v>3785</v>
      </c>
      <c r="F407" s="31" t="s">
        <v>266</v>
      </c>
      <c r="G407" s="1"/>
      <c r="H407" s="1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x14ac:dyDescent="0.25">
      <c r="A408" t="str">
        <f t="shared" si="17"/>
        <v>06801</v>
      </c>
      <c r="B408" s="34">
        <v>112</v>
      </c>
      <c r="C408" s="31" t="str">
        <f t="shared" si="20"/>
        <v>06114</v>
      </c>
      <c r="D408" s="31" t="s">
        <v>5</v>
      </c>
      <c r="E408" s="34" t="str">
        <f>"4203"</f>
        <v>4203</v>
      </c>
      <c r="F408" s="31" t="s">
        <v>274</v>
      </c>
      <c r="G408" s="1"/>
      <c r="H408" s="1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x14ac:dyDescent="0.25">
      <c r="A409" t="str">
        <f t="shared" si="17"/>
        <v>06801</v>
      </c>
      <c r="B409" s="34">
        <v>112</v>
      </c>
      <c r="C409" s="31" t="str">
        <f t="shared" si="20"/>
        <v>06114</v>
      </c>
      <c r="D409" s="31" t="s">
        <v>5</v>
      </c>
      <c r="E409" s="34" t="str">
        <f>"4587"</f>
        <v>4587</v>
      </c>
      <c r="F409" s="31" t="s">
        <v>406</v>
      </c>
      <c r="G409" s="1"/>
      <c r="H409" s="1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x14ac:dyDescent="0.25">
      <c r="A410" t="str">
        <f t="shared" si="17"/>
        <v>06801</v>
      </c>
      <c r="B410" s="34">
        <v>112</v>
      </c>
      <c r="C410" s="31" t="str">
        <f t="shared" si="20"/>
        <v>06114</v>
      </c>
      <c r="D410" s="31" t="s">
        <v>5</v>
      </c>
      <c r="E410" s="34" t="str">
        <f>"3320"</f>
        <v>3320</v>
      </c>
      <c r="F410" s="31" t="s">
        <v>441</v>
      </c>
      <c r="G410" s="1"/>
      <c r="H410" s="1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x14ac:dyDescent="0.25">
      <c r="A411" t="str">
        <f t="shared" si="17"/>
        <v>06801</v>
      </c>
      <c r="B411" s="34">
        <v>112</v>
      </c>
      <c r="C411" s="31" t="str">
        <f t="shared" si="20"/>
        <v>06114</v>
      </c>
      <c r="D411" s="31" t="s">
        <v>5</v>
      </c>
      <c r="E411" s="34" t="str">
        <f>"3822"</f>
        <v>3822</v>
      </c>
      <c r="F411" s="31" t="s">
        <v>449</v>
      </c>
      <c r="G411" s="1"/>
      <c r="H411" s="1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x14ac:dyDescent="0.25">
      <c r="A412" t="str">
        <f t="shared" si="17"/>
        <v>06801</v>
      </c>
      <c r="B412" s="34">
        <v>112</v>
      </c>
      <c r="C412" s="31" t="str">
        <f t="shared" si="20"/>
        <v>06114</v>
      </c>
      <c r="D412" s="31" t="s">
        <v>5</v>
      </c>
      <c r="E412" s="34" t="str">
        <f>"3148"</f>
        <v>3148</v>
      </c>
      <c r="F412" s="31" t="s">
        <v>569</v>
      </c>
      <c r="G412" s="1"/>
      <c r="H412" s="1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x14ac:dyDescent="0.25">
      <c r="A413" t="str">
        <f t="shared" si="17"/>
        <v>06801</v>
      </c>
      <c r="B413" s="34">
        <v>112</v>
      </c>
      <c r="C413" s="31" t="str">
        <f t="shared" si="20"/>
        <v>06114</v>
      </c>
      <c r="D413" s="31" t="s">
        <v>5</v>
      </c>
      <c r="E413" s="33" t="str">
        <f>"5612"</f>
        <v>5612</v>
      </c>
      <c r="F413" t="s">
        <v>2178</v>
      </c>
      <c r="G413" s="1"/>
      <c r="H413" s="1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x14ac:dyDescent="0.25">
      <c r="A414" t="str">
        <f t="shared" si="17"/>
        <v>06801</v>
      </c>
      <c r="B414" s="34">
        <v>112</v>
      </c>
      <c r="C414" s="31" t="str">
        <f t="shared" si="20"/>
        <v>06114</v>
      </c>
      <c r="D414" s="31" t="s">
        <v>5</v>
      </c>
      <c r="E414" s="34" t="str">
        <f>"5136"</f>
        <v>5136</v>
      </c>
      <c r="F414" s="31" t="s">
        <v>586</v>
      </c>
      <c r="G414" s="1"/>
      <c r="H414" s="1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x14ac:dyDescent="0.25">
      <c r="A415" t="str">
        <f t="shared" si="17"/>
        <v>06801</v>
      </c>
      <c r="B415" s="34">
        <v>112</v>
      </c>
      <c r="C415" s="31" t="str">
        <f t="shared" si="20"/>
        <v>06114</v>
      </c>
      <c r="D415" s="31" t="s">
        <v>5</v>
      </c>
      <c r="E415" s="34" t="str">
        <f>"2724"</f>
        <v>2724</v>
      </c>
      <c r="F415" s="31" t="s">
        <v>603</v>
      </c>
      <c r="G415" s="1"/>
      <c r="H415" s="1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x14ac:dyDescent="0.25">
      <c r="A416" t="str">
        <f t="shared" si="17"/>
        <v>06801</v>
      </c>
      <c r="B416" s="34">
        <v>112</v>
      </c>
      <c r="C416" s="31" t="str">
        <f t="shared" si="20"/>
        <v>06114</v>
      </c>
      <c r="D416" s="31" t="s">
        <v>5</v>
      </c>
      <c r="E416" s="34" t="str">
        <f>"3971"</f>
        <v>3971</v>
      </c>
      <c r="F416" s="31" t="s">
        <v>636</v>
      </c>
      <c r="G416" s="1"/>
      <c r="H416" s="1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x14ac:dyDescent="0.25">
      <c r="A417" t="str">
        <f t="shared" si="17"/>
        <v>06801</v>
      </c>
      <c r="B417" s="34">
        <v>112</v>
      </c>
      <c r="C417" s="31" t="str">
        <f t="shared" si="20"/>
        <v>06114</v>
      </c>
      <c r="D417" s="31" t="s">
        <v>5</v>
      </c>
      <c r="E417" s="34" t="str">
        <f>"4499"</f>
        <v>4499</v>
      </c>
      <c r="F417" s="31" t="s">
        <v>642</v>
      </c>
      <c r="G417" s="1"/>
      <c r="H417" s="1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x14ac:dyDescent="0.25">
      <c r="A418" t="str">
        <f t="shared" si="17"/>
        <v>06801</v>
      </c>
      <c r="B418" s="34">
        <v>112</v>
      </c>
      <c r="C418" s="31" t="str">
        <f t="shared" si="20"/>
        <v>06114</v>
      </c>
      <c r="D418" s="31" t="s">
        <v>5</v>
      </c>
      <c r="E418" s="34" t="str">
        <f>"4498"</f>
        <v>4498</v>
      </c>
      <c r="F418" s="31" t="s">
        <v>675</v>
      </c>
      <c r="G418" s="1"/>
      <c r="H418" s="1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x14ac:dyDescent="0.25">
      <c r="A419" t="str">
        <f t="shared" si="17"/>
        <v>06801</v>
      </c>
      <c r="B419" s="34">
        <v>112</v>
      </c>
      <c r="C419" s="31" t="str">
        <f t="shared" si="20"/>
        <v>06114</v>
      </c>
      <c r="D419" s="31" t="s">
        <v>5</v>
      </c>
      <c r="E419" s="34" t="str">
        <f>"4380"</f>
        <v>4380</v>
      </c>
      <c r="F419" s="31" t="s">
        <v>774</v>
      </c>
      <c r="G419" s="1"/>
      <c r="H419" s="1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x14ac:dyDescent="0.25">
      <c r="A420" t="str">
        <f t="shared" si="17"/>
        <v>06801</v>
      </c>
      <c r="B420" s="34">
        <v>112</v>
      </c>
      <c r="C420" s="31" t="str">
        <f t="shared" si="20"/>
        <v>06114</v>
      </c>
      <c r="D420" s="31" t="s">
        <v>5</v>
      </c>
      <c r="E420" s="34" t="str">
        <f>"4163"</f>
        <v>4163</v>
      </c>
      <c r="F420" s="31" t="s">
        <v>793</v>
      </c>
      <c r="G420" s="1"/>
      <c r="H420" s="1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x14ac:dyDescent="0.25">
      <c r="A421" t="str">
        <f t="shared" si="17"/>
        <v>06801</v>
      </c>
      <c r="B421" s="34">
        <v>112</v>
      </c>
      <c r="C421" s="31" t="str">
        <f t="shared" si="20"/>
        <v>06114</v>
      </c>
      <c r="D421" s="31" t="s">
        <v>5</v>
      </c>
      <c r="E421" s="34" t="str">
        <f>"5310"</f>
        <v>5310</v>
      </c>
      <c r="F421" s="31" t="s">
        <v>2075</v>
      </c>
      <c r="G421" s="1"/>
      <c r="H421" s="1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x14ac:dyDescent="0.25">
      <c r="A422" t="str">
        <f t="shared" si="17"/>
        <v>06801</v>
      </c>
      <c r="B422" s="34">
        <v>112</v>
      </c>
      <c r="C422" s="31" t="str">
        <f t="shared" si="20"/>
        <v>06114</v>
      </c>
      <c r="D422" s="31" t="s">
        <v>5</v>
      </c>
      <c r="E422" s="34" t="str">
        <f>"4523"</f>
        <v>4523</v>
      </c>
      <c r="F422" s="31" t="s">
        <v>801</v>
      </c>
      <c r="G422" s="1"/>
      <c r="H422" s="1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x14ac:dyDescent="0.25">
      <c r="A423" t="str">
        <f t="shared" si="17"/>
        <v>06801</v>
      </c>
      <c r="B423" s="34">
        <v>112</v>
      </c>
      <c r="C423" s="31" t="str">
        <f t="shared" si="20"/>
        <v>06114</v>
      </c>
      <c r="D423" s="31" t="s">
        <v>5</v>
      </c>
      <c r="E423" s="34" t="str">
        <f>"1926"</f>
        <v>1926</v>
      </c>
      <c r="F423" s="31" t="s">
        <v>833</v>
      </c>
      <c r="G423" s="1"/>
      <c r="H423" s="1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x14ac:dyDescent="0.25">
      <c r="A424" t="str">
        <f t="shared" si="17"/>
        <v>06801</v>
      </c>
      <c r="B424" s="34">
        <v>112</v>
      </c>
      <c r="C424" s="31" t="str">
        <f t="shared" si="20"/>
        <v>06114</v>
      </c>
      <c r="D424" s="31" t="s">
        <v>5</v>
      </c>
      <c r="E424" s="34" t="str">
        <f>"4560"</f>
        <v>4560</v>
      </c>
      <c r="F424" s="31" t="s">
        <v>860</v>
      </c>
      <c r="G424" s="1"/>
      <c r="H424" s="1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x14ac:dyDescent="0.25">
      <c r="A425" t="str">
        <f t="shared" si="17"/>
        <v>06801</v>
      </c>
      <c r="B425" s="34">
        <v>112</v>
      </c>
      <c r="C425" s="31" t="str">
        <f t="shared" si="20"/>
        <v>06114</v>
      </c>
      <c r="D425" s="31" t="s">
        <v>5</v>
      </c>
      <c r="E425" s="34" t="str">
        <f>"3994"</f>
        <v>3994</v>
      </c>
      <c r="F425" s="31" t="s">
        <v>863</v>
      </c>
      <c r="G425" s="1"/>
      <c r="H425" s="1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x14ac:dyDescent="0.25">
      <c r="A426" t="str">
        <f t="shared" si="17"/>
        <v>06801</v>
      </c>
      <c r="B426" s="34">
        <v>112</v>
      </c>
      <c r="C426" s="31" t="str">
        <f t="shared" si="20"/>
        <v>06114</v>
      </c>
      <c r="D426" s="31" t="s">
        <v>5</v>
      </c>
      <c r="E426" s="34" t="str">
        <f>"4042"</f>
        <v>4042</v>
      </c>
      <c r="F426" s="31" t="s">
        <v>1026</v>
      </c>
      <c r="G426" s="1"/>
      <c r="H426" s="1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x14ac:dyDescent="0.25">
      <c r="A427" t="str">
        <f t="shared" si="17"/>
        <v>06801</v>
      </c>
      <c r="B427" s="34">
        <v>112</v>
      </c>
      <c r="C427" s="31" t="str">
        <f t="shared" si="20"/>
        <v>06114</v>
      </c>
      <c r="D427" s="31" t="s">
        <v>5</v>
      </c>
      <c r="E427" s="34" t="str">
        <f>"3618"</f>
        <v>3618</v>
      </c>
      <c r="F427" s="31" t="s">
        <v>1130</v>
      </c>
      <c r="G427" s="1"/>
      <c r="H427" s="1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x14ac:dyDescent="0.25">
      <c r="A428" t="str">
        <f t="shared" si="17"/>
        <v>06801</v>
      </c>
      <c r="B428" s="34">
        <v>112</v>
      </c>
      <c r="C428" s="31" t="str">
        <f t="shared" si="20"/>
        <v>06114</v>
      </c>
      <c r="D428" s="31" t="s">
        <v>5</v>
      </c>
      <c r="E428" s="34" t="str">
        <f>"2829"</f>
        <v>2829</v>
      </c>
      <c r="F428" s="31" t="s">
        <v>1204</v>
      </c>
      <c r="G428" s="1"/>
      <c r="H428" s="1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x14ac:dyDescent="0.25">
      <c r="A429" t="str">
        <f t="shared" si="17"/>
        <v>06801</v>
      </c>
      <c r="B429" s="34">
        <v>112</v>
      </c>
      <c r="C429" s="31" t="str">
        <f t="shared" si="20"/>
        <v>06114</v>
      </c>
      <c r="D429" s="31" t="s">
        <v>5</v>
      </c>
      <c r="E429" s="34" t="str">
        <f>"4162"</f>
        <v>4162</v>
      </c>
      <c r="F429" s="31" t="s">
        <v>1248</v>
      </c>
      <c r="G429" s="1"/>
      <c r="H429" s="1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x14ac:dyDescent="0.25">
      <c r="A430" t="str">
        <f t="shared" si="17"/>
        <v>06801</v>
      </c>
      <c r="B430" s="34">
        <v>112</v>
      </c>
      <c r="C430" s="31" t="str">
        <f t="shared" si="20"/>
        <v>06114</v>
      </c>
      <c r="D430" s="31" t="s">
        <v>5</v>
      </c>
      <c r="E430" s="34" t="str">
        <f>"2912"</f>
        <v>2912</v>
      </c>
      <c r="F430" s="31" t="s">
        <v>1388</v>
      </c>
      <c r="G430" s="1"/>
      <c r="H430" s="1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x14ac:dyDescent="0.25">
      <c r="A431" t="str">
        <f t="shared" si="17"/>
        <v>06801</v>
      </c>
      <c r="B431" s="34">
        <v>112</v>
      </c>
      <c r="C431" s="31" t="str">
        <f t="shared" si="20"/>
        <v>06114</v>
      </c>
      <c r="D431" s="31" t="s">
        <v>5</v>
      </c>
      <c r="E431" s="34" t="str">
        <f>"4209"</f>
        <v>4209</v>
      </c>
      <c r="F431" s="31" t="s">
        <v>1403</v>
      </c>
      <c r="G431" s="1"/>
      <c r="H431" s="1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x14ac:dyDescent="0.25">
      <c r="A432" t="str">
        <f t="shared" si="17"/>
        <v>06801</v>
      </c>
      <c r="B432" s="34">
        <v>112</v>
      </c>
      <c r="C432" s="31" t="str">
        <f t="shared" si="20"/>
        <v>06114</v>
      </c>
      <c r="D432" s="31" t="s">
        <v>5</v>
      </c>
      <c r="E432" s="34" t="str">
        <f>"4445"</f>
        <v>4445</v>
      </c>
      <c r="F432" s="31" t="s">
        <v>1448</v>
      </c>
      <c r="G432" s="1"/>
      <c r="H432" s="1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x14ac:dyDescent="0.25">
      <c r="A433" t="str">
        <f t="shared" si="17"/>
        <v>06801</v>
      </c>
      <c r="B433" s="34">
        <v>112</v>
      </c>
      <c r="C433" s="31" t="str">
        <f t="shared" si="20"/>
        <v>06114</v>
      </c>
      <c r="D433" s="31" t="s">
        <v>5</v>
      </c>
      <c r="E433" s="34" t="str">
        <f>"3995"</f>
        <v>3995</v>
      </c>
      <c r="F433" s="31" t="s">
        <v>1541</v>
      </c>
      <c r="G433" s="1"/>
      <c r="H433" s="1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x14ac:dyDescent="0.25">
      <c r="A434" t="str">
        <f t="shared" ref="A434:A497" si="21">"06801"</f>
        <v>06801</v>
      </c>
      <c r="B434" s="34">
        <v>112</v>
      </c>
      <c r="C434" s="31" t="str">
        <f t="shared" si="20"/>
        <v>06114</v>
      </c>
      <c r="D434" s="31" t="s">
        <v>5</v>
      </c>
      <c r="E434" s="34" t="str">
        <f>"4561"</f>
        <v>4561</v>
      </c>
      <c r="F434" s="31" t="s">
        <v>1629</v>
      </c>
      <c r="G434" s="1"/>
      <c r="H434" s="1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x14ac:dyDescent="0.25">
      <c r="A435" t="str">
        <f t="shared" si="21"/>
        <v>06801</v>
      </c>
      <c r="B435" s="34">
        <v>112</v>
      </c>
      <c r="C435" s="31" t="str">
        <f t="shared" si="20"/>
        <v>06114</v>
      </c>
      <c r="D435" s="31" t="s">
        <v>5</v>
      </c>
      <c r="E435" s="34" t="str">
        <f>"3149"</f>
        <v>3149</v>
      </c>
      <c r="F435" s="31" t="s">
        <v>1652</v>
      </c>
      <c r="G435" s="1"/>
      <c r="H435" s="1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x14ac:dyDescent="0.25">
      <c r="A436" t="str">
        <f t="shared" si="21"/>
        <v>06801</v>
      </c>
      <c r="B436" s="34">
        <v>112</v>
      </c>
      <c r="C436" s="31" t="str">
        <f t="shared" si="20"/>
        <v>06114</v>
      </c>
      <c r="D436" s="31" t="s">
        <v>5</v>
      </c>
      <c r="E436" s="34" t="str">
        <f>"3823"</f>
        <v>3823</v>
      </c>
      <c r="F436" s="31" t="s">
        <v>1658</v>
      </c>
      <c r="G436" s="1"/>
      <c r="H436" s="1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x14ac:dyDescent="0.25">
      <c r="A437" t="str">
        <f t="shared" si="21"/>
        <v>06801</v>
      </c>
      <c r="B437" s="34">
        <v>112</v>
      </c>
      <c r="C437" s="31" t="str">
        <f t="shared" si="20"/>
        <v>06114</v>
      </c>
      <c r="D437" s="31" t="s">
        <v>5</v>
      </c>
      <c r="E437" s="34" t="str">
        <f>"3970"</f>
        <v>3970</v>
      </c>
      <c r="F437" s="31" t="s">
        <v>1759</v>
      </c>
      <c r="G437" s="1"/>
      <c r="H437" s="1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x14ac:dyDescent="0.25">
      <c r="A438" t="str">
        <f t="shared" si="21"/>
        <v>06801</v>
      </c>
      <c r="B438" s="34">
        <v>112</v>
      </c>
      <c r="C438" s="31" t="str">
        <f t="shared" si="20"/>
        <v>06114</v>
      </c>
      <c r="D438" s="31" t="s">
        <v>5</v>
      </c>
      <c r="E438" s="34" t="str">
        <f>"5111"</f>
        <v>5111</v>
      </c>
      <c r="F438" s="31" t="s">
        <v>1836</v>
      </c>
      <c r="G438" s="1"/>
      <c r="H438" s="1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x14ac:dyDescent="0.25">
      <c r="A439" t="str">
        <f t="shared" si="21"/>
        <v>06801</v>
      </c>
      <c r="B439" s="34">
        <v>112</v>
      </c>
      <c r="C439" s="31" t="str">
        <f t="shared" si="20"/>
        <v>06114</v>
      </c>
      <c r="D439" s="31" t="s">
        <v>5</v>
      </c>
      <c r="E439" s="34" t="str">
        <f>"4051"</f>
        <v>4051</v>
      </c>
      <c r="F439" s="31" t="s">
        <v>1977</v>
      </c>
      <c r="G439" s="1"/>
      <c r="H439" s="1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x14ac:dyDescent="0.25">
      <c r="A440" t="str">
        <f t="shared" si="21"/>
        <v>06801</v>
      </c>
      <c r="B440" s="34">
        <v>112</v>
      </c>
      <c r="C440" s="31" t="str">
        <f t="shared" si="20"/>
        <v>06114</v>
      </c>
      <c r="D440" s="31" t="s">
        <v>5</v>
      </c>
      <c r="E440" s="34" t="str">
        <f>"4579"</f>
        <v>4579</v>
      </c>
      <c r="F440" s="31" t="s">
        <v>1985</v>
      </c>
      <c r="G440" s="1"/>
      <c r="H440" s="1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x14ac:dyDescent="0.25">
      <c r="A441" t="str">
        <f t="shared" si="21"/>
        <v>06801</v>
      </c>
      <c r="B441" s="34">
        <v>112</v>
      </c>
      <c r="C441" s="35">
        <v>20401</v>
      </c>
      <c r="D441" s="2" t="s">
        <v>713</v>
      </c>
      <c r="E441" s="36">
        <v>3047</v>
      </c>
      <c r="F441" s="2" t="s">
        <v>2179</v>
      </c>
      <c r="G441" s="1"/>
      <c r="H441" s="1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x14ac:dyDescent="0.25">
      <c r="A442" t="str">
        <f t="shared" si="21"/>
        <v>06801</v>
      </c>
      <c r="B442" s="33">
        <v>112</v>
      </c>
      <c r="C442" s="35">
        <v>6103</v>
      </c>
      <c r="D442" t="s">
        <v>2180</v>
      </c>
      <c r="E442" s="36">
        <v>2484</v>
      </c>
      <c r="F442" t="s">
        <v>2181</v>
      </c>
      <c r="G442" s="1"/>
      <c r="H442" s="1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x14ac:dyDescent="0.25">
      <c r="A443" t="str">
        <f t="shared" si="21"/>
        <v>06801</v>
      </c>
      <c r="B443" s="33">
        <v>112</v>
      </c>
      <c r="C443" t="str">
        <f>"06098"</f>
        <v>06098</v>
      </c>
      <c r="D443" t="s">
        <v>825</v>
      </c>
      <c r="E443" s="33" t="str">
        <f>"5311"</f>
        <v>5311</v>
      </c>
      <c r="F443" t="s">
        <v>826</v>
      </c>
      <c r="G443" s="1"/>
      <c r="H443" s="1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x14ac:dyDescent="0.25">
      <c r="A444" t="str">
        <f t="shared" si="21"/>
        <v>06801</v>
      </c>
      <c r="B444" s="33">
        <v>112</v>
      </c>
      <c r="C444" t="str">
        <f>"06098"</f>
        <v>06098</v>
      </c>
      <c r="D444" t="s">
        <v>825</v>
      </c>
      <c r="E444" s="33" t="str">
        <f>"4568"</f>
        <v>4568</v>
      </c>
      <c r="F444" t="s">
        <v>827</v>
      </c>
      <c r="G444" s="1"/>
      <c r="H444" s="1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x14ac:dyDescent="0.25">
      <c r="A445" t="str">
        <f t="shared" si="21"/>
        <v>06801</v>
      </c>
      <c r="B445" s="33">
        <v>112</v>
      </c>
      <c r="C445" t="str">
        <f>"06098"</f>
        <v>06098</v>
      </c>
      <c r="D445" t="s">
        <v>825</v>
      </c>
      <c r="E445" s="33" t="str">
        <f>"3319"</f>
        <v>3319</v>
      </c>
      <c r="F445" t="s">
        <v>828</v>
      </c>
      <c r="G445" s="1"/>
      <c r="H445" s="1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x14ac:dyDescent="0.25">
      <c r="A446" t="str">
        <f t="shared" si="21"/>
        <v>06801</v>
      </c>
      <c r="B446" s="33">
        <v>112</v>
      </c>
      <c r="C446" s="35">
        <v>8402</v>
      </c>
      <c r="D446" t="s">
        <v>2182</v>
      </c>
      <c r="E446" s="36">
        <v>2915</v>
      </c>
      <c r="F446" t="s">
        <v>2183</v>
      </c>
      <c r="G446" s="1"/>
      <c r="H446" s="1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x14ac:dyDescent="0.25">
      <c r="A447" t="str">
        <f t="shared" si="21"/>
        <v>06801</v>
      </c>
      <c r="B447" s="34">
        <v>112</v>
      </c>
      <c r="C447" s="31" t="str">
        <f t="shared" ref="C447:C457" si="22">"08458"</f>
        <v>08458</v>
      </c>
      <c r="D447" s="31" t="s">
        <v>114</v>
      </c>
      <c r="E447" s="34" t="str">
        <f>"3323"</f>
        <v>3323</v>
      </c>
      <c r="F447" s="31" t="s">
        <v>115</v>
      </c>
      <c r="G447" s="1"/>
      <c r="H447" s="1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x14ac:dyDescent="0.25">
      <c r="A448" t="str">
        <f t="shared" si="21"/>
        <v>06801</v>
      </c>
      <c r="B448" s="34">
        <v>112</v>
      </c>
      <c r="C448" s="31" t="str">
        <f t="shared" si="22"/>
        <v>08458</v>
      </c>
      <c r="D448" s="31" t="s">
        <v>114</v>
      </c>
      <c r="E448" s="34" t="str">
        <f>"3578"</f>
        <v>3578</v>
      </c>
      <c r="F448" s="31" t="s">
        <v>126</v>
      </c>
      <c r="G448" s="1"/>
      <c r="H448" s="1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x14ac:dyDescent="0.25">
      <c r="A449" t="str">
        <f t="shared" si="21"/>
        <v>06801</v>
      </c>
      <c r="B449" s="34">
        <v>112</v>
      </c>
      <c r="C449" s="31" t="str">
        <f t="shared" si="22"/>
        <v>08458</v>
      </c>
      <c r="D449" s="31" t="s">
        <v>114</v>
      </c>
      <c r="E449" s="34" t="str">
        <f>"3082"</f>
        <v>3082</v>
      </c>
      <c r="F449" s="31" t="s">
        <v>223</v>
      </c>
      <c r="G449" s="1"/>
      <c r="H449" s="1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x14ac:dyDescent="0.25">
      <c r="A450" t="str">
        <f t="shared" si="21"/>
        <v>06801</v>
      </c>
      <c r="B450" s="34">
        <v>112</v>
      </c>
      <c r="C450" s="31" t="str">
        <f t="shared" si="22"/>
        <v>08458</v>
      </c>
      <c r="D450" s="31" t="s">
        <v>114</v>
      </c>
      <c r="E450" s="34" t="str">
        <f>"2913"</f>
        <v>2913</v>
      </c>
      <c r="F450" s="31" t="s">
        <v>255</v>
      </c>
      <c r="G450" s="1"/>
      <c r="H450" s="1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x14ac:dyDescent="0.25">
      <c r="A451" t="str">
        <f t="shared" si="21"/>
        <v>06801</v>
      </c>
      <c r="B451" s="34">
        <v>112</v>
      </c>
      <c r="C451" s="31" t="str">
        <f t="shared" si="22"/>
        <v>08458</v>
      </c>
      <c r="D451" s="31" t="s">
        <v>114</v>
      </c>
      <c r="E451" s="34" t="str">
        <f>"2691"</f>
        <v>2691</v>
      </c>
      <c r="F451" s="31" t="s">
        <v>284</v>
      </c>
      <c r="G451" s="1"/>
      <c r="H451" s="1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x14ac:dyDescent="0.25">
      <c r="A452" t="str">
        <f t="shared" si="21"/>
        <v>06801</v>
      </c>
      <c r="B452" s="34">
        <v>112</v>
      </c>
      <c r="C452" s="31" t="str">
        <f t="shared" si="22"/>
        <v>08458</v>
      </c>
      <c r="D452" s="31" t="s">
        <v>114</v>
      </c>
      <c r="E452" s="34" t="str">
        <f>"3322"</f>
        <v>3322</v>
      </c>
      <c r="F452" s="31" t="s">
        <v>442</v>
      </c>
      <c r="G452" s="1"/>
      <c r="H452" s="1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x14ac:dyDescent="0.25">
      <c r="A453" t="str">
        <f t="shared" si="21"/>
        <v>06801</v>
      </c>
      <c r="B453" s="34">
        <v>112</v>
      </c>
      <c r="C453" s="31" t="str">
        <f t="shared" si="22"/>
        <v>08458</v>
      </c>
      <c r="D453" s="31" t="s">
        <v>114</v>
      </c>
      <c r="E453" s="34" t="str">
        <f>"2916"</f>
        <v>2916</v>
      </c>
      <c r="F453" s="31" t="s">
        <v>855</v>
      </c>
      <c r="G453" s="1"/>
      <c r="H453" s="1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x14ac:dyDescent="0.25">
      <c r="A454" t="str">
        <f t="shared" si="21"/>
        <v>06801</v>
      </c>
      <c r="B454" s="34">
        <v>112</v>
      </c>
      <c r="C454" s="31" t="str">
        <f t="shared" si="22"/>
        <v>08458</v>
      </c>
      <c r="D454" s="31" t="s">
        <v>114</v>
      </c>
      <c r="E454" s="34" t="str">
        <f>"2266"</f>
        <v>2266</v>
      </c>
      <c r="F454" s="31" t="s">
        <v>927</v>
      </c>
      <c r="G454" s="1"/>
      <c r="H454" s="1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x14ac:dyDescent="0.25">
      <c r="A455" t="str">
        <f t="shared" si="21"/>
        <v>06801</v>
      </c>
      <c r="B455" s="34">
        <v>112</v>
      </c>
      <c r="C455" s="31" t="str">
        <f t="shared" si="22"/>
        <v>08458</v>
      </c>
      <c r="D455" s="31" t="s">
        <v>114</v>
      </c>
      <c r="E455" s="34" t="str">
        <f>"1934"</f>
        <v>1934</v>
      </c>
      <c r="F455" s="31" t="s">
        <v>1080</v>
      </c>
      <c r="G455" s="1"/>
      <c r="H455" s="1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x14ac:dyDescent="0.25">
      <c r="A456" t="str">
        <f t="shared" si="21"/>
        <v>06801</v>
      </c>
      <c r="B456" s="34">
        <v>112</v>
      </c>
      <c r="C456" s="31" t="str">
        <f t="shared" si="22"/>
        <v>08458</v>
      </c>
      <c r="D456" s="31" t="s">
        <v>114</v>
      </c>
      <c r="E456" s="34" t="str">
        <f>"2596"</f>
        <v>2596</v>
      </c>
      <c r="F456" s="31" t="s">
        <v>1564</v>
      </c>
      <c r="G456" s="1"/>
      <c r="H456" s="1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x14ac:dyDescent="0.25">
      <c r="A457" t="str">
        <f t="shared" si="21"/>
        <v>06801</v>
      </c>
      <c r="B457" s="34">
        <v>112</v>
      </c>
      <c r="C457" s="31" t="str">
        <f t="shared" si="22"/>
        <v>08458</v>
      </c>
      <c r="D457" s="31" t="s">
        <v>114</v>
      </c>
      <c r="E457" s="34" t="str">
        <f>"2624"</f>
        <v>2624</v>
      </c>
      <c r="F457" s="31" t="s">
        <v>1879</v>
      </c>
      <c r="G457" s="1"/>
      <c r="H457" s="1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x14ac:dyDescent="0.25">
      <c r="A458" t="str">
        <f t="shared" si="21"/>
        <v>06801</v>
      </c>
      <c r="B458" s="33">
        <v>112</v>
      </c>
      <c r="C458" s="35">
        <v>20402</v>
      </c>
      <c r="D458" t="s">
        <v>2184</v>
      </c>
      <c r="E458" s="36">
        <v>3494</v>
      </c>
      <c r="F458" t="s">
        <v>2185</v>
      </c>
      <c r="G458" s="1"/>
      <c r="H458" s="1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x14ac:dyDescent="0.25">
      <c r="A459" t="str">
        <f t="shared" si="21"/>
        <v>06801</v>
      </c>
      <c r="B459" s="33">
        <v>112</v>
      </c>
      <c r="C459" s="35">
        <v>6101</v>
      </c>
      <c r="D459" t="s">
        <v>969</v>
      </c>
      <c r="E459" s="36">
        <v>2558</v>
      </c>
      <c r="F459" t="s">
        <v>970</v>
      </c>
      <c r="G459" s="1"/>
      <c r="H459" s="1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x14ac:dyDescent="0.25">
      <c r="A460" t="str">
        <f t="shared" si="21"/>
        <v>06801</v>
      </c>
      <c r="B460" s="34">
        <v>112</v>
      </c>
      <c r="C460" s="35">
        <v>6101</v>
      </c>
      <c r="D460" s="2" t="s">
        <v>969</v>
      </c>
      <c r="E460" s="36">
        <v>4431</v>
      </c>
      <c r="F460" s="2" t="s">
        <v>971</v>
      </c>
      <c r="G460" s="1"/>
      <c r="H460" s="1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x14ac:dyDescent="0.25">
      <c r="A461" t="str">
        <f t="shared" si="21"/>
        <v>06801</v>
      </c>
      <c r="B461" s="33">
        <v>112</v>
      </c>
      <c r="C461" s="35">
        <v>6101</v>
      </c>
      <c r="D461" t="s">
        <v>969</v>
      </c>
      <c r="E461" s="36">
        <v>5326</v>
      </c>
      <c r="F461" t="s">
        <v>972</v>
      </c>
      <c r="G461" s="1"/>
      <c r="H461" s="1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x14ac:dyDescent="0.25">
      <c r="A462" t="str">
        <f t="shared" si="21"/>
        <v>06801</v>
      </c>
      <c r="B462" s="33">
        <v>112</v>
      </c>
      <c r="C462" s="35">
        <v>6101</v>
      </c>
      <c r="D462" t="s">
        <v>969</v>
      </c>
      <c r="E462" s="36">
        <v>3371</v>
      </c>
      <c r="F462" t="s">
        <v>973</v>
      </c>
      <c r="G462" s="1"/>
      <c r="H462" s="1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x14ac:dyDescent="0.25">
      <c r="A463" t="str">
        <f t="shared" si="21"/>
        <v>06801</v>
      </c>
      <c r="B463" s="33">
        <v>112</v>
      </c>
      <c r="C463" t="str">
        <f t="shared" ref="C463:C477" si="23">"08122"</f>
        <v>08122</v>
      </c>
      <c r="D463" t="s">
        <v>206</v>
      </c>
      <c r="E463" s="33" t="str">
        <f>"2665"</f>
        <v>2665</v>
      </c>
      <c r="F463" t="s">
        <v>207</v>
      </c>
      <c r="G463" s="1"/>
      <c r="H463" s="1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x14ac:dyDescent="0.25">
      <c r="A464" t="str">
        <f t="shared" si="21"/>
        <v>06801</v>
      </c>
      <c r="B464" s="33">
        <v>112</v>
      </c>
      <c r="C464" t="str">
        <f t="shared" si="23"/>
        <v>08122</v>
      </c>
      <c r="D464" t="s">
        <v>206</v>
      </c>
      <c r="E464" s="33" t="str">
        <f>"3475"</f>
        <v>3475</v>
      </c>
      <c r="F464" t="s">
        <v>266</v>
      </c>
      <c r="G464" s="1"/>
      <c r="H464" s="1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x14ac:dyDescent="0.25">
      <c r="A465" t="str">
        <f t="shared" si="21"/>
        <v>06801</v>
      </c>
      <c r="B465" s="33">
        <v>112</v>
      </c>
      <c r="C465" t="str">
        <f t="shared" si="23"/>
        <v>08122</v>
      </c>
      <c r="D465" t="s">
        <v>206</v>
      </c>
      <c r="E465" s="33" t="str">
        <f>"3211"</f>
        <v>3211</v>
      </c>
      <c r="F465" t="s">
        <v>395</v>
      </c>
      <c r="G465" s="1"/>
      <c r="H465" s="1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x14ac:dyDescent="0.25">
      <c r="A466" t="str">
        <f t="shared" si="21"/>
        <v>06801</v>
      </c>
      <c r="B466" s="33">
        <v>112</v>
      </c>
      <c r="C466" t="str">
        <f t="shared" si="23"/>
        <v>08122</v>
      </c>
      <c r="D466" t="s">
        <v>206</v>
      </c>
      <c r="E466" s="33" t="str">
        <f>"2369"</f>
        <v>2369</v>
      </c>
      <c r="F466" t="s">
        <v>407</v>
      </c>
      <c r="G466" s="1"/>
      <c r="H466" s="1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x14ac:dyDescent="0.25">
      <c r="A467" t="str">
        <f t="shared" si="21"/>
        <v>06801</v>
      </c>
      <c r="B467" s="33">
        <v>112</v>
      </c>
      <c r="C467" t="str">
        <f t="shared" si="23"/>
        <v>08122</v>
      </c>
      <c r="D467" t="s">
        <v>206</v>
      </c>
      <c r="E467" s="33" t="str">
        <f>"5312"</f>
        <v>5312</v>
      </c>
      <c r="F467" t="s">
        <v>505</v>
      </c>
      <c r="G467" s="1"/>
      <c r="H467" s="1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x14ac:dyDescent="0.25">
      <c r="A468" t="str">
        <f t="shared" si="21"/>
        <v>06801</v>
      </c>
      <c r="B468" s="33">
        <v>112</v>
      </c>
      <c r="C468" t="str">
        <f t="shared" si="23"/>
        <v>08122</v>
      </c>
      <c r="D468" t="s">
        <v>206</v>
      </c>
      <c r="E468" s="33" t="str">
        <f>"2319"</f>
        <v>2319</v>
      </c>
      <c r="F468" t="s">
        <v>942</v>
      </c>
      <c r="G468" s="11"/>
      <c r="H468" s="11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x14ac:dyDescent="0.25">
      <c r="A469" t="str">
        <f t="shared" si="21"/>
        <v>06801</v>
      </c>
      <c r="B469" s="33">
        <v>112</v>
      </c>
      <c r="C469" t="str">
        <f t="shared" si="23"/>
        <v>08122</v>
      </c>
      <c r="D469" t="s">
        <v>206</v>
      </c>
      <c r="E469" s="33" t="str">
        <f>"3151"</f>
        <v>3151</v>
      </c>
      <c r="F469" t="s">
        <v>1127</v>
      </c>
      <c r="G469" s="1"/>
      <c r="H469" s="1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x14ac:dyDescent="0.25">
      <c r="A470" t="str">
        <f t="shared" si="21"/>
        <v>06801</v>
      </c>
      <c r="B470" s="33">
        <v>112</v>
      </c>
      <c r="C470" t="str">
        <f t="shared" si="23"/>
        <v>08122</v>
      </c>
      <c r="D470" t="s">
        <v>206</v>
      </c>
      <c r="E470" s="33" t="str">
        <f>"3658"</f>
        <v>3658</v>
      </c>
      <c r="F470" t="s">
        <v>1210</v>
      </c>
      <c r="G470" s="1"/>
      <c r="H470" s="1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x14ac:dyDescent="0.25">
      <c r="A471" t="str">
        <f t="shared" si="21"/>
        <v>06801</v>
      </c>
      <c r="B471" s="33">
        <v>112</v>
      </c>
      <c r="C471" t="str">
        <f t="shared" si="23"/>
        <v>08122</v>
      </c>
      <c r="D471" t="s">
        <v>206</v>
      </c>
      <c r="E471" s="33" t="str">
        <f>"2831"</f>
        <v>2831</v>
      </c>
      <c r="F471" t="s">
        <v>1218</v>
      </c>
      <c r="G471" s="1"/>
      <c r="H471" s="1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x14ac:dyDescent="0.25">
      <c r="A472" t="str">
        <f t="shared" si="21"/>
        <v>06801</v>
      </c>
      <c r="B472" s="33">
        <v>112</v>
      </c>
      <c r="C472" t="str">
        <f t="shared" si="23"/>
        <v>08122</v>
      </c>
      <c r="D472" t="s">
        <v>206</v>
      </c>
      <c r="E472" s="33" t="str">
        <f>"4574"</f>
        <v>4574</v>
      </c>
      <c r="F472" t="s">
        <v>1261</v>
      </c>
      <c r="G472" s="1"/>
      <c r="H472" s="1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x14ac:dyDescent="0.25">
      <c r="A473" t="str">
        <f t="shared" si="21"/>
        <v>06801</v>
      </c>
      <c r="B473" s="33">
        <v>112</v>
      </c>
      <c r="C473" t="str">
        <f t="shared" si="23"/>
        <v>08122</v>
      </c>
      <c r="D473" t="s">
        <v>206</v>
      </c>
      <c r="E473" s="33" t="str">
        <f>"2914"</f>
        <v>2914</v>
      </c>
      <c r="F473" t="s">
        <v>1321</v>
      </c>
      <c r="G473" s="1"/>
      <c r="H473" s="1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s="2" customFormat="1" x14ac:dyDescent="0.25">
      <c r="A474" s="2" t="str">
        <f t="shared" si="21"/>
        <v>06801</v>
      </c>
      <c r="B474" s="34">
        <v>112</v>
      </c>
      <c r="C474" s="2" t="str">
        <f t="shared" si="23"/>
        <v>08122</v>
      </c>
      <c r="D474" s="2" t="s">
        <v>206</v>
      </c>
      <c r="E474" s="34" t="str">
        <f>"2726"</f>
        <v>2726</v>
      </c>
      <c r="F474" s="2" t="s">
        <v>1363</v>
      </c>
      <c r="G474" s="11"/>
      <c r="H474" s="11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x14ac:dyDescent="0.25">
      <c r="A475" t="str">
        <f t="shared" si="21"/>
        <v>06801</v>
      </c>
      <c r="B475" s="33">
        <v>112</v>
      </c>
      <c r="C475" t="str">
        <f t="shared" si="23"/>
        <v>08122</v>
      </c>
      <c r="D475" t="s">
        <v>206</v>
      </c>
      <c r="E475" s="33" t="str">
        <f>"2416"</f>
        <v>2416</v>
      </c>
      <c r="F475" t="s">
        <v>1492</v>
      </c>
      <c r="G475" s="1"/>
      <c r="H475" s="1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x14ac:dyDescent="0.25">
      <c r="A476" t="str">
        <f t="shared" si="21"/>
        <v>06801</v>
      </c>
      <c r="B476" s="33">
        <v>112</v>
      </c>
      <c r="C476" t="str">
        <f t="shared" si="23"/>
        <v>08122</v>
      </c>
      <c r="D476" t="s">
        <v>206</v>
      </c>
      <c r="E476" s="33" t="str">
        <f>"3019"</f>
        <v>3019</v>
      </c>
      <c r="F476" t="s">
        <v>1544</v>
      </c>
      <c r="G476" s="1"/>
      <c r="H476" s="1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s="2" customFormat="1" x14ac:dyDescent="0.25">
      <c r="A477" t="str">
        <f t="shared" si="21"/>
        <v>06801</v>
      </c>
      <c r="B477" s="33">
        <v>112</v>
      </c>
      <c r="C477" t="str">
        <f t="shared" si="23"/>
        <v>08122</v>
      </c>
      <c r="D477" t="s">
        <v>206</v>
      </c>
      <c r="E477" s="33" t="str">
        <f>"2370"</f>
        <v>2370</v>
      </c>
      <c r="F477" t="s">
        <v>1579</v>
      </c>
      <c r="G477" s="1"/>
      <c r="H477" s="1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x14ac:dyDescent="0.25">
      <c r="A478" t="str">
        <f t="shared" si="21"/>
        <v>06801</v>
      </c>
      <c r="B478" s="33">
        <v>112</v>
      </c>
      <c r="C478" s="35">
        <v>20406</v>
      </c>
      <c r="D478" t="s">
        <v>466</v>
      </c>
      <c r="E478" s="36">
        <v>3643</v>
      </c>
      <c r="F478" t="s">
        <v>2186</v>
      </c>
      <c r="G478" s="1"/>
      <c r="H478" s="1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x14ac:dyDescent="0.25">
      <c r="A479" t="str">
        <f t="shared" si="21"/>
        <v>06801</v>
      </c>
      <c r="B479" s="34">
        <v>112</v>
      </c>
      <c r="C479" s="35">
        <v>30031</v>
      </c>
      <c r="D479" s="2" t="s">
        <v>1201</v>
      </c>
      <c r="E479" s="36">
        <v>3406</v>
      </c>
      <c r="F479" s="2" t="s">
        <v>2187</v>
      </c>
      <c r="G479" s="1"/>
      <c r="H479" s="1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x14ac:dyDescent="0.25">
      <c r="A480" t="str">
        <f t="shared" si="21"/>
        <v>06801</v>
      </c>
      <c r="B480" s="33">
        <v>112</v>
      </c>
      <c r="C480" s="35">
        <v>30029</v>
      </c>
      <c r="D480" t="s">
        <v>2188</v>
      </c>
      <c r="E480" s="36">
        <v>3459</v>
      </c>
      <c r="F480" t="s">
        <v>2189</v>
      </c>
      <c r="G480" s="1"/>
      <c r="H480" s="1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x14ac:dyDescent="0.25">
      <c r="A481" t="str">
        <f t="shared" si="21"/>
        <v>06801</v>
      </c>
      <c r="B481" s="33">
        <v>112</v>
      </c>
      <c r="C481" s="35">
        <v>25155</v>
      </c>
      <c r="D481" t="s">
        <v>1276</v>
      </c>
      <c r="E481" s="36">
        <v>2868</v>
      </c>
      <c r="F481" t="s">
        <v>1277</v>
      </c>
      <c r="G481" s="1"/>
      <c r="H481" s="1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x14ac:dyDescent="0.25">
      <c r="A482" t="str">
        <f t="shared" si="21"/>
        <v>06801</v>
      </c>
      <c r="B482" s="33">
        <v>112</v>
      </c>
      <c r="C482" s="35">
        <v>25155</v>
      </c>
      <c r="D482" t="s">
        <v>1276</v>
      </c>
      <c r="E482" s="36">
        <v>3295</v>
      </c>
      <c r="F482" t="s">
        <v>1278</v>
      </c>
      <c r="G482" s="1"/>
      <c r="H482" s="1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x14ac:dyDescent="0.25">
      <c r="A483" t="str">
        <f t="shared" si="21"/>
        <v>06801</v>
      </c>
      <c r="B483" s="33">
        <v>112</v>
      </c>
      <c r="C483" s="35">
        <v>25155</v>
      </c>
      <c r="D483" t="s">
        <v>1276</v>
      </c>
      <c r="E483" s="36">
        <v>3599</v>
      </c>
      <c r="F483" t="s">
        <v>1279</v>
      </c>
      <c r="G483" s="1"/>
      <c r="H483" s="1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x14ac:dyDescent="0.25">
      <c r="A484" t="str">
        <f t="shared" si="21"/>
        <v>06801</v>
      </c>
      <c r="B484" s="33">
        <v>112</v>
      </c>
      <c r="C484" s="35">
        <v>25101</v>
      </c>
      <c r="D484" t="s">
        <v>822</v>
      </c>
      <c r="E484" s="36">
        <v>2517</v>
      </c>
      <c r="F484" t="s">
        <v>2190</v>
      </c>
      <c r="G484" s="1"/>
      <c r="H484" s="1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x14ac:dyDescent="0.25">
      <c r="A485" t="str">
        <f t="shared" si="21"/>
        <v>06801</v>
      </c>
      <c r="B485" s="33">
        <v>112</v>
      </c>
      <c r="C485" s="35">
        <v>25101</v>
      </c>
      <c r="D485" t="s">
        <v>822</v>
      </c>
      <c r="E485" s="36">
        <v>4220</v>
      </c>
      <c r="F485" t="s">
        <v>862</v>
      </c>
      <c r="G485" s="1"/>
      <c r="H485" s="1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x14ac:dyDescent="0.25">
      <c r="A486" t="str">
        <f t="shared" si="21"/>
        <v>06801</v>
      </c>
      <c r="B486" s="33">
        <v>112</v>
      </c>
      <c r="C486" s="35">
        <v>25101</v>
      </c>
      <c r="D486" t="s">
        <v>822</v>
      </c>
      <c r="E486" s="36">
        <v>3531</v>
      </c>
      <c r="F486" t="s">
        <v>1074</v>
      </c>
      <c r="G486" s="1"/>
      <c r="H486" s="1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x14ac:dyDescent="0.25">
      <c r="A487" t="str">
        <f t="shared" si="21"/>
        <v>06801</v>
      </c>
      <c r="B487" s="33">
        <v>112</v>
      </c>
      <c r="C487" s="35">
        <v>25101</v>
      </c>
      <c r="D487" t="s">
        <v>822</v>
      </c>
      <c r="E487" s="33" t="str">
        <f>"5647"</f>
        <v>5647</v>
      </c>
      <c r="F487" t="s">
        <v>2191</v>
      </c>
      <c r="G487" s="1"/>
      <c r="H487" s="1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x14ac:dyDescent="0.25">
      <c r="A488" t="str">
        <f t="shared" si="21"/>
        <v>06801</v>
      </c>
      <c r="B488" s="33">
        <v>112</v>
      </c>
      <c r="C488" s="42">
        <v>25101</v>
      </c>
      <c r="D488" t="s">
        <v>822</v>
      </c>
      <c r="E488" s="43">
        <v>4039</v>
      </c>
      <c r="F488" t="s">
        <v>1346</v>
      </c>
      <c r="G488" s="1"/>
      <c r="H488" s="1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x14ac:dyDescent="0.25">
      <c r="A489" t="str">
        <f t="shared" si="21"/>
        <v>06801</v>
      </c>
      <c r="B489" s="33">
        <v>112</v>
      </c>
      <c r="C489" s="35">
        <v>34974</v>
      </c>
      <c r="D489" t="s">
        <v>2192</v>
      </c>
      <c r="E489" s="36">
        <v>3799</v>
      </c>
      <c r="F489" t="s">
        <v>2192</v>
      </c>
      <c r="G489" s="1"/>
      <c r="H489" s="1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x14ac:dyDescent="0.25">
      <c r="A490" t="str">
        <f t="shared" si="21"/>
        <v>06801</v>
      </c>
      <c r="B490" s="34">
        <v>112</v>
      </c>
      <c r="C490" s="31" t="str">
        <f>"06122"</f>
        <v>06122</v>
      </c>
      <c r="D490" s="31" t="s">
        <v>1525</v>
      </c>
      <c r="E490" s="34" t="str">
        <f>"2390"</f>
        <v>2390</v>
      </c>
      <c r="F490" s="31" t="s">
        <v>1526</v>
      </c>
      <c r="G490" s="1"/>
      <c r="H490" s="1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x14ac:dyDescent="0.25">
      <c r="A491" t="str">
        <f t="shared" si="21"/>
        <v>06801</v>
      </c>
      <c r="B491" s="34">
        <v>112</v>
      </c>
      <c r="C491" s="31" t="str">
        <f>"06122"</f>
        <v>06122</v>
      </c>
      <c r="D491" s="31" t="s">
        <v>1525</v>
      </c>
      <c r="E491" s="34" t="str">
        <f>"3321"</f>
        <v>3321</v>
      </c>
      <c r="F491" s="31" t="s">
        <v>1687</v>
      </c>
      <c r="G491" s="1"/>
      <c r="H491" s="1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x14ac:dyDescent="0.25">
      <c r="A492" t="str">
        <f t="shared" si="21"/>
        <v>06801</v>
      </c>
      <c r="B492" s="33">
        <v>112</v>
      </c>
      <c r="C492" t="str">
        <f>"06122"</f>
        <v>06122</v>
      </c>
      <c r="D492" t="s">
        <v>1525</v>
      </c>
      <c r="E492" s="33">
        <v>5518</v>
      </c>
      <c r="F492" t="s">
        <v>2193</v>
      </c>
      <c r="G492" s="1"/>
      <c r="H492" s="1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x14ac:dyDescent="0.25">
      <c r="A493" t="str">
        <f t="shared" si="21"/>
        <v>06801</v>
      </c>
      <c r="B493" s="34">
        <v>112</v>
      </c>
      <c r="C493" s="31" t="str">
        <f>"06122"</f>
        <v>06122</v>
      </c>
      <c r="D493" s="31" t="s">
        <v>1525</v>
      </c>
      <c r="E493" s="34" t="str">
        <f>"3786"</f>
        <v>3786</v>
      </c>
      <c r="F493" s="31" t="s">
        <v>1837</v>
      </c>
      <c r="G493" s="1"/>
      <c r="H493" s="1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x14ac:dyDescent="0.25">
      <c r="A494" t="str">
        <f t="shared" si="21"/>
        <v>06801</v>
      </c>
      <c r="B494" s="34">
        <v>112</v>
      </c>
      <c r="C494" s="31" t="str">
        <f>"06122"</f>
        <v>06122</v>
      </c>
      <c r="D494" s="31" t="s">
        <v>1525</v>
      </c>
      <c r="E494" s="34" t="str">
        <f>"3891"</f>
        <v>3891</v>
      </c>
      <c r="F494" s="31" t="s">
        <v>1858</v>
      </c>
      <c r="G494" s="1"/>
      <c r="H494" s="1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x14ac:dyDescent="0.25">
      <c r="A495" t="str">
        <f t="shared" si="21"/>
        <v>06801</v>
      </c>
      <c r="B495" s="33">
        <v>112</v>
      </c>
      <c r="C495" s="35">
        <v>20403</v>
      </c>
      <c r="D495" t="s">
        <v>1557</v>
      </c>
      <c r="E495" s="36">
        <v>3530</v>
      </c>
      <c r="F495" t="s">
        <v>2194</v>
      </c>
      <c r="G495" s="1"/>
      <c r="H495" s="1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x14ac:dyDescent="0.25">
      <c r="A496" t="str">
        <f t="shared" si="21"/>
        <v>06801</v>
      </c>
      <c r="B496" s="33">
        <v>112</v>
      </c>
      <c r="C496" s="35">
        <v>30002</v>
      </c>
      <c r="D496" t="s">
        <v>1662</v>
      </c>
      <c r="E496" s="36">
        <v>3405</v>
      </c>
      <c r="F496" t="s">
        <v>1663</v>
      </c>
      <c r="G496" s="1"/>
      <c r="H496" s="1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x14ac:dyDescent="0.25">
      <c r="A497" t="str">
        <f t="shared" si="21"/>
        <v>06801</v>
      </c>
      <c r="B497" s="34">
        <v>112</v>
      </c>
      <c r="C497" s="35">
        <v>30303</v>
      </c>
      <c r="D497" s="2" t="s">
        <v>256</v>
      </c>
      <c r="E497" s="36">
        <v>2882</v>
      </c>
      <c r="F497" s="2" t="s">
        <v>257</v>
      </c>
      <c r="G497" s="1"/>
      <c r="H497" s="1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x14ac:dyDescent="0.25">
      <c r="A498" t="str">
        <f t="shared" ref="A498:A561" si="24">"06801"</f>
        <v>06801</v>
      </c>
      <c r="B498" s="34">
        <v>112</v>
      </c>
      <c r="C498" s="35">
        <v>30303</v>
      </c>
      <c r="D498" s="2" t="s">
        <v>256</v>
      </c>
      <c r="E498" s="36">
        <v>2682</v>
      </c>
      <c r="F498" s="2" t="s">
        <v>1733</v>
      </c>
      <c r="G498" s="1"/>
      <c r="H498" s="1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x14ac:dyDescent="0.25">
      <c r="A499" t="str">
        <f t="shared" si="24"/>
        <v>06801</v>
      </c>
      <c r="B499" s="33">
        <v>112</v>
      </c>
      <c r="C499" s="35">
        <v>30303</v>
      </c>
      <c r="D499" t="s">
        <v>256</v>
      </c>
      <c r="E499" s="36">
        <v>3119</v>
      </c>
      <c r="F499" t="s">
        <v>1734</v>
      </c>
      <c r="G499" s="1"/>
      <c r="H499" s="1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x14ac:dyDescent="0.25">
      <c r="A500" t="str">
        <f t="shared" si="24"/>
        <v>06801</v>
      </c>
      <c r="B500" s="34">
        <v>112</v>
      </c>
      <c r="C500" s="35">
        <v>30303</v>
      </c>
      <c r="D500" s="2" t="s">
        <v>256</v>
      </c>
      <c r="E500" s="36">
        <v>3800</v>
      </c>
      <c r="F500" s="2" t="s">
        <v>1958</v>
      </c>
      <c r="G500" s="1"/>
      <c r="H500" s="1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x14ac:dyDescent="0.25">
      <c r="A501" t="str">
        <f t="shared" si="24"/>
        <v>06801</v>
      </c>
      <c r="B501" s="34">
        <v>112</v>
      </c>
      <c r="C501" s="35">
        <v>8130</v>
      </c>
      <c r="D501" s="2" t="s">
        <v>1816</v>
      </c>
      <c r="E501" s="36">
        <v>4264</v>
      </c>
      <c r="F501" s="2" t="s">
        <v>1817</v>
      </c>
      <c r="G501" s="1"/>
      <c r="H501" s="1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x14ac:dyDescent="0.25">
      <c r="A502" t="str">
        <f t="shared" si="24"/>
        <v>06801</v>
      </c>
      <c r="B502" s="34">
        <v>112</v>
      </c>
      <c r="C502" s="35">
        <v>8130</v>
      </c>
      <c r="D502" s="2" t="s">
        <v>1816</v>
      </c>
      <c r="E502" s="36">
        <v>2560</v>
      </c>
      <c r="F502" s="2" t="s">
        <v>1818</v>
      </c>
      <c r="G502" s="1"/>
      <c r="H502" s="1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x14ac:dyDescent="0.25">
      <c r="A503" t="str">
        <f t="shared" si="24"/>
        <v>06801</v>
      </c>
      <c r="B503" s="34">
        <v>112</v>
      </c>
      <c r="C503" s="35">
        <v>20400</v>
      </c>
      <c r="D503" s="2" t="s">
        <v>2195</v>
      </c>
      <c r="E503" s="36">
        <v>3062</v>
      </c>
      <c r="F503" s="2" t="s">
        <v>2196</v>
      </c>
      <c r="G503" s="1"/>
      <c r="H503" s="1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x14ac:dyDescent="0.25">
      <c r="A504" t="str">
        <f t="shared" si="24"/>
        <v>06801</v>
      </c>
      <c r="B504" s="33">
        <v>112</v>
      </c>
      <c r="C504" s="44" t="str">
        <f t="shared" ref="C504:C541" si="25">"06037"</f>
        <v>06037</v>
      </c>
      <c r="D504" s="44" t="s">
        <v>42</v>
      </c>
      <c r="E504" s="33" t="str">
        <f>"4406"</f>
        <v>4406</v>
      </c>
      <c r="F504" s="44" t="s">
        <v>43</v>
      </c>
      <c r="G504" s="1"/>
      <c r="H504" s="1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x14ac:dyDescent="0.25">
      <c r="A505" t="str">
        <f t="shared" si="24"/>
        <v>06801</v>
      </c>
      <c r="B505" s="33">
        <v>112</v>
      </c>
      <c r="C505" s="44" t="str">
        <f t="shared" si="25"/>
        <v>06037</v>
      </c>
      <c r="D505" s="44" t="s">
        <v>42</v>
      </c>
      <c r="E505" s="33" t="str">
        <f>"3080"</f>
        <v>3080</v>
      </c>
      <c r="F505" s="44" t="s">
        <v>139</v>
      </c>
      <c r="G505" s="1"/>
      <c r="H505" s="1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x14ac:dyDescent="0.25">
      <c r="A506" t="str">
        <f t="shared" si="24"/>
        <v>06801</v>
      </c>
      <c r="B506" s="33">
        <v>112</v>
      </c>
      <c r="C506" s="44" t="str">
        <f t="shared" si="25"/>
        <v>06037</v>
      </c>
      <c r="D506" s="44" t="s">
        <v>42</v>
      </c>
      <c r="E506" s="33" t="str">
        <f>"4405"</f>
        <v>4405</v>
      </c>
      <c r="F506" s="44" t="s">
        <v>360</v>
      </c>
      <c r="G506" s="1"/>
      <c r="H506" s="1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x14ac:dyDescent="0.25">
      <c r="A507" t="str">
        <f t="shared" si="24"/>
        <v>06801</v>
      </c>
      <c r="B507" s="33">
        <v>112</v>
      </c>
      <c r="C507" s="44" t="str">
        <f t="shared" si="25"/>
        <v>06037</v>
      </c>
      <c r="D507" s="44" t="s">
        <v>42</v>
      </c>
      <c r="E507" s="33" t="str">
        <f>"3423"</f>
        <v>3423</v>
      </c>
      <c r="F507" s="44" t="s">
        <v>405</v>
      </c>
      <c r="G507" s="1"/>
      <c r="H507" s="1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x14ac:dyDescent="0.25">
      <c r="A508" t="str">
        <f t="shared" si="24"/>
        <v>06801</v>
      </c>
      <c r="B508" s="33">
        <v>112</v>
      </c>
      <c r="C508" s="44" t="str">
        <f t="shared" si="25"/>
        <v>06037</v>
      </c>
      <c r="D508" s="44" t="s">
        <v>42</v>
      </c>
      <c r="E508" s="33" t="str">
        <f>"4503"</f>
        <v>4503</v>
      </c>
      <c r="F508" s="44" t="s">
        <v>507</v>
      </c>
      <c r="G508" s="1"/>
      <c r="H508" s="1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x14ac:dyDescent="0.25">
      <c r="A509" t="str">
        <f t="shared" si="24"/>
        <v>06801</v>
      </c>
      <c r="B509" s="33">
        <v>112</v>
      </c>
      <c r="C509" s="44" t="str">
        <f t="shared" si="25"/>
        <v>06037</v>
      </c>
      <c r="D509" s="44" t="s">
        <v>42</v>
      </c>
      <c r="E509" s="33" t="str">
        <f>"3733"</f>
        <v>3733</v>
      </c>
      <c r="F509" s="44" t="s">
        <v>520</v>
      </c>
      <c r="G509" s="1"/>
      <c r="H509" s="1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x14ac:dyDescent="0.25">
      <c r="A510" t="str">
        <f t="shared" si="24"/>
        <v>06801</v>
      </c>
      <c r="B510" s="33">
        <v>112</v>
      </c>
      <c r="C510" s="44" t="str">
        <f t="shared" si="25"/>
        <v>06037</v>
      </c>
      <c r="D510" s="44" t="s">
        <v>42</v>
      </c>
      <c r="E510" s="33" t="str">
        <f>"4075"</f>
        <v>4075</v>
      </c>
      <c r="F510" s="44" t="s">
        <v>622</v>
      </c>
      <c r="G510" s="1"/>
      <c r="H510" s="1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x14ac:dyDescent="0.25">
      <c r="A511" t="str">
        <f t="shared" si="24"/>
        <v>06801</v>
      </c>
      <c r="B511" s="33">
        <v>112</v>
      </c>
      <c r="C511" s="44" t="str">
        <f t="shared" si="25"/>
        <v>06037</v>
      </c>
      <c r="D511" s="44" t="s">
        <v>42</v>
      </c>
      <c r="E511" s="33" t="str">
        <f>"1574"</f>
        <v>1574</v>
      </c>
      <c r="F511" s="44" t="s">
        <v>635</v>
      </c>
      <c r="G511" s="1"/>
      <c r="H511" s="1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x14ac:dyDescent="0.25">
      <c r="A512" t="str">
        <f t="shared" si="24"/>
        <v>06801</v>
      </c>
      <c r="B512" s="33">
        <v>112</v>
      </c>
      <c r="C512" s="44" t="str">
        <f t="shared" si="25"/>
        <v>06037</v>
      </c>
      <c r="D512" s="44" t="s">
        <v>42</v>
      </c>
      <c r="E512" s="33" t="str">
        <f>"2179"</f>
        <v>2179</v>
      </c>
      <c r="F512" s="44" t="s">
        <v>653</v>
      </c>
      <c r="G512" s="1"/>
      <c r="H512" s="1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x14ac:dyDescent="0.25">
      <c r="A513" t="str">
        <f t="shared" si="24"/>
        <v>06801</v>
      </c>
      <c r="B513" s="33">
        <v>112</v>
      </c>
      <c r="C513" s="44" t="str">
        <f t="shared" si="25"/>
        <v>06037</v>
      </c>
      <c r="D513" s="44" t="s">
        <v>42</v>
      </c>
      <c r="E513" s="33" t="str">
        <f>"2637"</f>
        <v>2637</v>
      </c>
      <c r="F513" s="44" t="s">
        <v>676</v>
      </c>
      <c r="G513" s="1"/>
      <c r="H513" s="1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x14ac:dyDescent="0.25">
      <c r="A514" t="str">
        <f t="shared" si="24"/>
        <v>06801</v>
      </c>
      <c r="B514" s="33">
        <v>112</v>
      </c>
      <c r="C514" s="44" t="str">
        <f t="shared" si="25"/>
        <v>06037</v>
      </c>
      <c r="D514" s="44" t="s">
        <v>42</v>
      </c>
      <c r="E514" s="33" t="str">
        <f>"3902"</f>
        <v>3902</v>
      </c>
      <c r="F514" s="44" t="s">
        <v>681</v>
      </c>
      <c r="G514" s="1"/>
      <c r="H514" s="1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x14ac:dyDescent="0.25">
      <c r="A515" t="str">
        <f t="shared" si="24"/>
        <v>06801</v>
      </c>
      <c r="B515" s="33">
        <v>112</v>
      </c>
      <c r="C515" s="44" t="str">
        <f t="shared" si="25"/>
        <v>06037</v>
      </c>
      <c r="D515" s="44" t="s">
        <v>42</v>
      </c>
      <c r="E515" s="33" t="str">
        <f>"1738"</f>
        <v>1738</v>
      </c>
      <c r="F515" t="s">
        <v>2197</v>
      </c>
      <c r="G515" s="1"/>
      <c r="H515" s="1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x14ac:dyDescent="0.25">
      <c r="A516" t="str">
        <f t="shared" si="24"/>
        <v>06801</v>
      </c>
      <c r="B516" s="33">
        <v>112</v>
      </c>
      <c r="C516" s="44" t="str">
        <f t="shared" si="25"/>
        <v>06037</v>
      </c>
      <c r="D516" s="44" t="s">
        <v>42</v>
      </c>
      <c r="E516" s="33" t="str">
        <f>"3424"</f>
        <v>3424</v>
      </c>
      <c r="F516" s="44" t="s">
        <v>697</v>
      </c>
      <c r="G516" s="1"/>
      <c r="H516" s="1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x14ac:dyDescent="0.25">
      <c r="A517" t="str">
        <f t="shared" si="24"/>
        <v>06801</v>
      </c>
      <c r="B517" s="33">
        <v>112</v>
      </c>
      <c r="C517" s="44" t="str">
        <f t="shared" si="25"/>
        <v>06037</v>
      </c>
      <c r="D517" s="44" t="s">
        <v>42</v>
      </c>
      <c r="E517" s="33" t="str">
        <f>"2643"</f>
        <v>2643</v>
      </c>
      <c r="F517" s="44" t="s">
        <v>775</v>
      </c>
      <c r="G517" s="1"/>
      <c r="H517" s="1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x14ac:dyDescent="0.25">
      <c r="A518" t="str">
        <f t="shared" si="24"/>
        <v>06801</v>
      </c>
      <c r="B518" s="33">
        <v>112</v>
      </c>
      <c r="C518" s="44" t="str">
        <f t="shared" si="25"/>
        <v>06037</v>
      </c>
      <c r="D518" s="44" t="s">
        <v>42</v>
      </c>
      <c r="E518" s="33" t="str">
        <f>"3735"</f>
        <v>3735</v>
      </c>
      <c r="F518" s="44" t="s">
        <v>780</v>
      </c>
      <c r="G518" s="1"/>
      <c r="H518" s="1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x14ac:dyDescent="0.25">
      <c r="A519" t="str">
        <f t="shared" si="24"/>
        <v>06801</v>
      </c>
      <c r="B519" s="33">
        <v>112</v>
      </c>
      <c r="C519" s="44" t="str">
        <f t="shared" si="25"/>
        <v>06037</v>
      </c>
      <c r="D519" s="44" t="s">
        <v>42</v>
      </c>
      <c r="E519" s="33" t="str">
        <f>"2690"</f>
        <v>2690</v>
      </c>
      <c r="F519" s="44" t="s">
        <v>787</v>
      </c>
      <c r="G519" s="1"/>
      <c r="H519" s="1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x14ac:dyDescent="0.25">
      <c r="A520" t="str">
        <f t="shared" si="24"/>
        <v>06801</v>
      </c>
      <c r="B520" s="33">
        <v>112</v>
      </c>
      <c r="C520" s="44" t="str">
        <f t="shared" si="25"/>
        <v>06037</v>
      </c>
      <c r="D520" s="44" t="s">
        <v>42</v>
      </c>
      <c r="E520" s="33" t="str">
        <f>"2610"</f>
        <v>2610</v>
      </c>
      <c r="F520" s="44" t="s">
        <v>849</v>
      </c>
      <c r="G520" s="1"/>
      <c r="H520" s="1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x14ac:dyDescent="0.25">
      <c r="A521" t="str">
        <f t="shared" si="24"/>
        <v>06801</v>
      </c>
      <c r="B521" s="33">
        <v>112</v>
      </c>
      <c r="C521" s="44" t="str">
        <f t="shared" si="25"/>
        <v>06037</v>
      </c>
      <c r="D521" s="44" t="s">
        <v>42</v>
      </c>
      <c r="E521" s="33" t="str">
        <f>"3081"</f>
        <v>3081</v>
      </c>
      <c r="F521" s="44" t="s">
        <v>852</v>
      </c>
      <c r="G521" s="1"/>
      <c r="H521" s="1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x14ac:dyDescent="0.25">
      <c r="A522" t="str">
        <f t="shared" si="24"/>
        <v>06801</v>
      </c>
      <c r="B522" s="33">
        <v>112</v>
      </c>
      <c r="C522" s="44" t="str">
        <f t="shared" si="25"/>
        <v>06037</v>
      </c>
      <c r="D522" s="44" t="s">
        <v>42</v>
      </c>
      <c r="E522" s="33" t="str">
        <f>"3543"</f>
        <v>3543</v>
      </c>
      <c r="F522" s="44" t="s">
        <v>893</v>
      </c>
      <c r="G522" s="1"/>
      <c r="H522" s="1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x14ac:dyDescent="0.25">
      <c r="A523" t="str">
        <f t="shared" si="24"/>
        <v>06801</v>
      </c>
      <c r="B523" s="33">
        <v>112</v>
      </c>
      <c r="C523" s="44" t="str">
        <f t="shared" si="25"/>
        <v>06037</v>
      </c>
      <c r="D523" s="44" t="s">
        <v>42</v>
      </c>
      <c r="E523" s="33" t="str">
        <f>"4591"</f>
        <v>4591</v>
      </c>
      <c r="F523" s="44" t="s">
        <v>897</v>
      </c>
      <c r="G523" s="1"/>
      <c r="H523" s="1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x14ac:dyDescent="0.25">
      <c r="A524" t="str">
        <f t="shared" si="24"/>
        <v>06801</v>
      </c>
      <c r="B524" s="33">
        <v>112</v>
      </c>
      <c r="C524" s="44" t="str">
        <f t="shared" si="25"/>
        <v>06037</v>
      </c>
      <c r="D524" s="44" t="s">
        <v>42</v>
      </c>
      <c r="E524" s="33" t="str">
        <f>"3017"</f>
        <v>3017</v>
      </c>
      <c r="F524" s="44" t="s">
        <v>992</v>
      </c>
      <c r="G524" s="1"/>
      <c r="H524" s="1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x14ac:dyDescent="0.25">
      <c r="A525" t="str">
        <f t="shared" si="24"/>
        <v>06801</v>
      </c>
      <c r="B525" s="33">
        <v>112</v>
      </c>
      <c r="C525" s="44" t="str">
        <f t="shared" si="25"/>
        <v>06037</v>
      </c>
      <c r="D525" s="44" t="s">
        <v>42</v>
      </c>
      <c r="E525" s="33" t="str">
        <f>"3932"</f>
        <v>3932</v>
      </c>
      <c r="F525" s="44" t="s">
        <v>1036</v>
      </c>
      <c r="G525" s="1"/>
      <c r="H525" s="1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x14ac:dyDescent="0.25">
      <c r="A526" t="str">
        <f t="shared" si="24"/>
        <v>06801</v>
      </c>
      <c r="B526" s="33">
        <v>112</v>
      </c>
      <c r="C526" s="44" t="str">
        <f t="shared" si="25"/>
        <v>06037</v>
      </c>
      <c r="D526" s="44" t="s">
        <v>42</v>
      </c>
      <c r="E526" s="33" t="str">
        <f>"2318"</f>
        <v>2318</v>
      </c>
      <c r="F526" s="44" t="s">
        <v>1057</v>
      </c>
      <c r="G526" s="1"/>
      <c r="H526" s="1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x14ac:dyDescent="0.25">
      <c r="A527" t="str">
        <f t="shared" si="24"/>
        <v>06801</v>
      </c>
      <c r="B527" s="33">
        <v>112</v>
      </c>
      <c r="C527" s="44" t="str">
        <f t="shared" si="25"/>
        <v>06037</v>
      </c>
      <c r="D527" s="44" t="s">
        <v>42</v>
      </c>
      <c r="E527" s="33" t="str">
        <f>"3734"</f>
        <v>3734</v>
      </c>
      <c r="F527" s="44" t="s">
        <v>1133</v>
      </c>
      <c r="G527" s="1"/>
      <c r="H527" s="1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x14ac:dyDescent="0.25">
      <c r="A528" t="str">
        <f t="shared" si="24"/>
        <v>06801</v>
      </c>
      <c r="B528" s="33">
        <v>112</v>
      </c>
      <c r="C528" s="44" t="str">
        <f t="shared" si="25"/>
        <v>06037</v>
      </c>
      <c r="D528" s="44" t="s">
        <v>42</v>
      </c>
      <c r="E528" s="33" t="str">
        <f>"3146"</f>
        <v>3146</v>
      </c>
      <c r="F528" s="44" t="s">
        <v>1164</v>
      </c>
      <c r="G528" s="1"/>
      <c r="H528" s="1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x14ac:dyDescent="0.25">
      <c r="A529" t="str">
        <f t="shared" si="24"/>
        <v>06801</v>
      </c>
      <c r="B529" s="33">
        <v>112</v>
      </c>
      <c r="C529" s="44" t="str">
        <f t="shared" si="25"/>
        <v>06037</v>
      </c>
      <c r="D529" s="44" t="s">
        <v>42</v>
      </c>
      <c r="E529" s="33" t="str">
        <f>"2723"</f>
        <v>2723</v>
      </c>
      <c r="F529" s="44" t="s">
        <v>1209</v>
      </c>
      <c r="G529" s="1"/>
      <c r="H529" s="1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x14ac:dyDescent="0.25">
      <c r="A530" t="str">
        <f t="shared" si="24"/>
        <v>06801</v>
      </c>
      <c r="B530" s="33">
        <v>112</v>
      </c>
      <c r="C530" s="44" t="str">
        <f t="shared" si="25"/>
        <v>06037</v>
      </c>
      <c r="D530" s="44" t="s">
        <v>42</v>
      </c>
      <c r="E530" s="33" t="str">
        <f>"2644"</f>
        <v>2644</v>
      </c>
      <c r="F530" s="44" t="s">
        <v>1437</v>
      </c>
      <c r="G530" s="1"/>
      <c r="H530" s="1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x14ac:dyDescent="0.25">
      <c r="A531" t="str">
        <f t="shared" si="24"/>
        <v>06801</v>
      </c>
      <c r="B531" s="33">
        <v>112</v>
      </c>
      <c r="C531" s="44" t="str">
        <f t="shared" si="25"/>
        <v>06037</v>
      </c>
      <c r="D531" s="44" t="s">
        <v>42</v>
      </c>
      <c r="E531" s="33" t="str">
        <f>"4410"</f>
        <v>4410</v>
      </c>
      <c r="F531" s="44" t="s">
        <v>1556</v>
      </c>
      <c r="G531" s="1"/>
      <c r="H531" s="1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x14ac:dyDescent="0.25">
      <c r="A532" t="str">
        <f t="shared" si="24"/>
        <v>06801</v>
      </c>
      <c r="B532" s="33">
        <v>112</v>
      </c>
      <c r="C532" s="44" t="str">
        <f t="shared" si="25"/>
        <v>06037</v>
      </c>
      <c r="D532" s="44" t="s">
        <v>42</v>
      </c>
      <c r="E532" s="33" t="str">
        <f>"4034"</f>
        <v>4034</v>
      </c>
      <c r="F532" s="44" t="s">
        <v>1573</v>
      </c>
      <c r="G532" s="1"/>
      <c r="H532" s="1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x14ac:dyDescent="0.25">
      <c r="A533" t="str">
        <f t="shared" si="24"/>
        <v>06801</v>
      </c>
      <c r="B533" s="33">
        <v>112</v>
      </c>
      <c r="C533" s="44" t="str">
        <f t="shared" si="25"/>
        <v>06037</v>
      </c>
      <c r="D533" s="44" t="s">
        <v>42</v>
      </c>
      <c r="E533" s="33" t="str">
        <f>"2964"</f>
        <v>2964</v>
      </c>
      <c r="F533" s="44" t="s">
        <v>1585</v>
      </c>
      <c r="G533" s="1"/>
      <c r="H533" s="1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x14ac:dyDescent="0.25">
      <c r="A534" t="str">
        <f t="shared" si="24"/>
        <v>06801</v>
      </c>
      <c r="B534" s="33">
        <v>112</v>
      </c>
      <c r="C534" s="44" t="str">
        <f t="shared" si="25"/>
        <v>06037</v>
      </c>
      <c r="D534" s="44" t="s">
        <v>42</v>
      </c>
      <c r="E534" s="33" t="str">
        <f>"3016"</f>
        <v>3016</v>
      </c>
      <c r="F534" s="44" t="s">
        <v>1593</v>
      </c>
      <c r="G534" s="1"/>
      <c r="H534" s="1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x14ac:dyDescent="0.25">
      <c r="A535" t="str">
        <f t="shared" si="24"/>
        <v>06801</v>
      </c>
      <c r="B535" s="33">
        <v>112</v>
      </c>
      <c r="C535" s="44" t="str">
        <f t="shared" si="25"/>
        <v>06037</v>
      </c>
      <c r="D535" s="44" t="s">
        <v>42</v>
      </c>
      <c r="E535" s="33" t="str">
        <f>"4504"</f>
        <v>4504</v>
      </c>
      <c r="F535" s="44" t="s">
        <v>1671</v>
      </c>
      <c r="G535" s="1"/>
      <c r="H535" s="1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x14ac:dyDescent="0.25">
      <c r="A536" t="str">
        <f t="shared" si="24"/>
        <v>06801</v>
      </c>
      <c r="B536" s="33">
        <v>112</v>
      </c>
      <c r="C536" s="44" t="str">
        <f t="shared" si="25"/>
        <v>06037</v>
      </c>
      <c r="D536" s="44" t="s">
        <v>42</v>
      </c>
      <c r="E536" s="33" t="str">
        <f>"3556"</f>
        <v>3556</v>
      </c>
      <c r="F536" s="44" t="s">
        <v>1849</v>
      </c>
      <c r="G536" s="1"/>
      <c r="H536" s="1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x14ac:dyDescent="0.25">
      <c r="A537" t="str">
        <f t="shared" si="24"/>
        <v>06801</v>
      </c>
      <c r="B537" s="33">
        <v>112</v>
      </c>
      <c r="C537" s="44" t="str">
        <f t="shared" si="25"/>
        <v>06037</v>
      </c>
      <c r="D537" s="44" t="s">
        <v>42</v>
      </c>
      <c r="E537" s="33" t="str">
        <f>"5271"</f>
        <v>5271</v>
      </c>
      <c r="F537" s="44" t="s">
        <v>1850</v>
      </c>
      <c r="G537" s="1"/>
      <c r="H537" s="1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x14ac:dyDescent="0.25">
      <c r="A538" t="str">
        <f t="shared" si="24"/>
        <v>06801</v>
      </c>
      <c r="B538" s="33">
        <v>112</v>
      </c>
      <c r="C538" s="44" t="str">
        <f t="shared" si="25"/>
        <v>06037</v>
      </c>
      <c r="D538" s="44" t="s">
        <v>42</v>
      </c>
      <c r="E538" s="33" t="str">
        <f>"1689"</f>
        <v>1689</v>
      </c>
      <c r="F538" s="44" t="s">
        <v>1851</v>
      </c>
      <c r="G538" s="1"/>
      <c r="H538" s="1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x14ac:dyDescent="0.25">
      <c r="A539" t="str">
        <f t="shared" si="24"/>
        <v>06801</v>
      </c>
      <c r="B539" s="33">
        <v>112</v>
      </c>
      <c r="C539" s="44" t="str">
        <f t="shared" si="25"/>
        <v>06037</v>
      </c>
      <c r="D539" s="44" t="s">
        <v>42</v>
      </c>
      <c r="E539" s="33" t="str">
        <f>"5149"</f>
        <v>5149</v>
      </c>
      <c r="F539" s="44" t="s">
        <v>1852</v>
      </c>
      <c r="G539" s="1"/>
      <c r="H539" s="1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x14ac:dyDescent="0.25">
      <c r="A540" t="str">
        <f t="shared" si="24"/>
        <v>06801</v>
      </c>
      <c r="B540" s="33">
        <v>112</v>
      </c>
      <c r="C540" s="44" t="str">
        <f t="shared" si="25"/>
        <v>06037</v>
      </c>
      <c r="D540" s="44" t="s">
        <v>42</v>
      </c>
      <c r="E540" s="33" t="str">
        <f>"2828"</f>
        <v>2828</v>
      </c>
      <c r="F540" s="44" t="s">
        <v>1881</v>
      </c>
      <c r="G540" s="1"/>
      <c r="H540" s="1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x14ac:dyDescent="0.25">
      <c r="A541" t="str">
        <f t="shared" si="24"/>
        <v>06801</v>
      </c>
      <c r="B541" s="33">
        <v>112</v>
      </c>
      <c r="C541" s="44" t="str">
        <f t="shared" si="25"/>
        <v>06037</v>
      </c>
      <c r="D541" s="44" t="s">
        <v>42</v>
      </c>
      <c r="E541" s="33" t="str">
        <f>"3565"</f>
        <v>3565</v>
      </c>
      <c r="F541" s="44" t="s">
        <v>1890</v>
      </c>
      <c r="G541" s="1"/>
      <c r="H541" s="1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x14ac:dyDescent="0.25">
      <c r="A542" t="str">
        <f t="shared" si="24"/>
        <v>06801</v>
      </c>
      <c r="B542" s="33">
        <v>112</v>
      </c>
      <c r="C542" s="35">
        <v>35200</v>
      </c>
      <c r="D542" t="s">
        <v>915</v>
      </c>
      <c r="E542" s="36">
        <v>2893</v>
      </c>
      <c r="F542" t="s">
        <v>916</v>
      </c>
      <c r="G542" s="1"/>
      <c r="H542" s="1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x14ac:dyDescent="0.25">
      <c r="A543" t="str">
        <f t="shared" si="24"/>
        <v>06801</v>
      </c>
      <c r="B543" s="33">
        <v>112</v>
      </c>
      <c r="C543" s="35">
        <v>35200</v>
      </c>
      <c r="D543" t="s">
        <v>915</v>
      </c>
      <c r="E543" s="36">
        <v>3467</v>
      </c>
      <c r="F543" t="s">
        <v>1870</v>
      </c>
      <c r="G543" s="1"/>
      <c r="H543" s="1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x14ac:dyDescent="0.25">
      <c r="A544" t="str">
        <f t="shared" si="24"/>
        <v>06801</v>
      </c>
      <c r="B544" s="33">
        <v>112</v>
      </c>
      <c r="C544" s="35">
        <v>34975</v>
      </c>
      <c r="D544" t="s">
        <v>2198</v>
      </c>
      <c r="E544" s="36">
        <v>4246</v>
      </c>
      <c r="F544" t="s">
        <v>2199</v>
      </c>
      <c r="G544" s="1"/>
      <c r="H544" s="1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x14ac:dyDescent="0.25">
      <c r="A545" t="str">
        <f t="shared" si="24"/>
        <v>06801</v>
      </c>
      <c r="B545" s="34">
        <v>112</v>
      </c>
      <c r="C545" s="35">
        <v>6112</v>
      </c>
      <c r="D545" s="31" t="s">
        <v>234</v>
      </c>
      <c r="E545" s="36">
        <v>4549</v>
      </c>
      <c r="F545" s="44" t="s">
        <v>235</v>
      </c>
      <c r="G545" s="1"/>
      <c r="H545" s="1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x14ac:dyDescent="0.25">
      <c r="A546" t="str">
        <f t="shared" si="24"/>
        <v>06801</v>
      </c>
      <c r="B546" s="34">
        <v>112</v>
      </c>
      <c r="C546" s="35">
        <v>6112</v>
      </c>
      <c r="D546" s="31" t="s">
        <v>234</v>
      </c>
      <c r="E546" s="36">
        <v>3270</v>
      </c>
      <c r="F546" s="44" t="s">
        <v>241</v>
      </c>
      <c r="G546" s="1"/>
      <c r="H546" s="1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x14ac:dyDescent="0.25">
      <c r="A547" t="str">
        <f t="shared" si="24"/>
        <v>06801</v>
      </c>
      <c r="B547" s="34">
        <v>112</v>
      </c>
      <c r="C547" s="35">
        <v>6112</v>
      </c>
      <c r="D547" s="31" t="s">
        <v>234</v>
      </c>
      <c r="E547" s="36">
        <v>5494</v>
      </c>
      <c r="F547" s="44" t="s">
        <v>404</v>
      </c>
      <c r="G547" s="1"/>
      <c r="H547" s="1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x14ac:dyDescent="0.25">
      <c r="A548" t="str">
        <f t="shared" si="24"/>
        <v>06801</v>
      </c>
      <c r="B548" s="34">
        <v>112</v>
      </c>
      <c r="C548" s="35">
        <v>6112</v>
      </c>
      <c r="D548" s="31" t="s">
        <v>234</v>
      </c>
      <c r="E548" s="36">
        <v>2911</v>
      </c>
      <c r="F548" s="44" t="s">
        <v>693</v>
      </c>
      <c r="G548" s="1"/>
      <c r="H548" s="1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x14ac:dyDescent="0.25">
      <c r="A549" t="str">
        <f t="shared" si="24"/>
        <v>06801</v>
      </c>
      <c r="B549" s="34">
        <v>112</v>
      </c>
      <c r="C549" s="35">
        <v>6112</v>
      </c>
      <c r="D549" s="31" t="s">
        <v>234</v>
      </c>
      <c r="E549" s="36">
        <v>2509</v>
      </c>
      <c r="F549" s="44" t="s">
        <v>782</v>
      </c>
      <c r="G549" s="1"/>
      <c r="H549" s="1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x14ac:dyDescent="0.25">
      <c r="A550" t="str">
        <f t="shared" si="24"/>
        <v>06801</v>
      </c>
      <c r="B550" s="34">
        <v>112</v>
      </c>
      <c r="C550" s="35">
        <v>6112</v>
      </c>
      <c r="D550" s="31" t="s">
        <v>234</v>
      </c>
      <c r="E550" s="36">
        <v>4207</v>
      </c>
      <c r="F550" s="44" t="s">
        <v>898</v>
      </c>
      <c r="G550" s="1"/>
      <c r="H550" s="1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x14ac:dyDescent="0.25">
      <c r="A551" t="str">
        <f t="shared" si="24"/>
        <v>06801</v>
      </c>
      <c r="B551" s="34">
        <v>112</v>
      </c>
      <c r="C551" s="35">
        <v>6112</v>
      </c>
      <c r="D551" s="31" t="s">
        <v>234</v>
      </c>
      <c r="E551" s="36">
        <v>3147</v>
      </c>
      <c r="F551" s="44" t="s">
        <v>1895</v>
      </c>
      <c r="G551" s="1"/>
      <c r="H551" s="1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x14ac:dyDescent="0.25">
      <c r="A552" t="str">
        <f t="shared" si="24"/>
        <v>06801</v>
      </c>
      <c r="B552" s="34">
        <v>112</v>
      </c>
      <c r="C552" s="35">
        <v>20405</v>
      </c>
      <c r="D552" s="2" t="s">
        <v>397</v>
      </c>
      <c r="E552" s="36">
        <v>2330</v>
      </c>
      <c r="F552" s="2" t="s">
        <v>398</v>
      </c>
      <c r="G552" s="1"/>
      <c r="H552" s="1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x14ac:dyDescent="0.25">
      <c r="A553" t="str">
        <f t="shared" si="24"/>
        <v>06801</v>
      </c>
      <c r="B553" s="33">
        <v>112</v>
      </c>
      <c r="C553" s="35">
        <v>20405</v>
      </c>
      <c r="D553" t="s">
        <v>397</v>
      </c>
      <c r="E553" s="36">
        <v>2997</v>
      </c>
      <c r="F553" t="s">
        <v>854</v>
      </c>
      <c r="G553" s="1"/>
      <c r="H553" s="1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x14ac:dyDescent="0.25">
      <c r="A554" t="str">
        <f t="shared" si="24"/>
        <v>06801</v>
      </c>
      <c r="B554" s="33">
        <v>112</v>
      </c>
      <c r="C554" s="35">
        <v>20405</v>
      </c>
      <c r="D554" t="s">
        <v>397</v>
      </c>
      <c r="E554" s="36">
        <v>5368</v>
      </c>
      <c r="F554" t="s">
        <v>1878</v>
      </c>
      <c r="G554" s="1"/>
      <c r="H554" s="1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x14ac:dyDescent="0.25">
      <c r="A555" t="str">
        <f t="shared" si="24"/>
        <v>06801</v>
      </c>
      <c r="B555" s="33">
        <v>112</v>
      </c>
      <c r="C555" s="35">
        <v>20405</v>
      </c>
      <c r="D555" t="s">
        <v>397</v>
      </c>
      <c r="E555" s="36">
        <v>3394</v>
      </c>
      <c r="F555" t="s">
        <v>1897</v>
      </c>
      <c r="G555" s="1"/>
      <c r="H555" s="1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x14ac:dyDescent="0.25">
      <c r="A556" t="str">
        <f t="shared" si="24"/>
        <v>06801</v>
      </c>
      <c r="B556" s="34">
        <v>112</v>
      </c>
      <c r="C556" s="35">
        <v>20094</v>
      </c>
      <c r="D556" s="2" t="s">
        <v>2200</v>
      </c>
      <c r="E556" s="36">
        <v>2605</v>
      </c>
      <c r="F556" s="2" t="s">
        <v>2201</v>
      </c>
      <c r="G556" s="1"/>
      <c r="H556" s="1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x14ac:dyDescent="0.25">
      <c r="A557" t="str">
        <f t="shared" si="24"/>
        <v>06801</v>
      </c>
      <c r="B557" s="34">
        <v>112</v>
      </c>
      <c r="C557" s="2">
        <v>8404</v>
      </c>
      <c r="D557" s="2" t="s">
        <v>1039</v>
      </c>
      <c r="E557" s="34">
        <v>5599</v>
      </c>
      <c r="F557" s="2" t="s">
        <v>394</v>
      </c>
      <c r="G557" s="1"/>
      <c r="H557" s="1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x14ac:dyDescent="0.25">
      <c r="A558" t="str">
        <f t="shared" si="24"/>
        <v>06801</v>
      </c>
      <c r="B558" s="34">
        <v>112</v>
      </c>
      <c r="C558" s="2">
        <v>8404</v>
      </c>
      <c r="D558" s="2" t="s">
        <v>1039</v>
      </c>
      <c r="E558" s="34">
        <v>5246</v>
      </c>
      <c r="F558" s="2" t="s">
        <v>1040</v>
      </c>
      <c r="G558" s="1"/>
      <c r="H558" s="1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x14ac:dyDescent="0.25">
      <c r="A559" t="str">
        <f t="shared" si="24"/>
        <v>06801</v>
      </c>
      <c r="B559" s="34">
        <v>112</v>
      </c>
      <c r="C559" s="2">
        <v>8404</v>
      </c>
      <c r="D559" s="2" t="s">
        <v>1039</v>
      </c>
      <c r="E559" s="34">
        <v>5600</v>
      </c>
      <c r="F559" t="s">
        <v>2202</v>
      </c>
      <c r="G559" s="1"/>
      <c r="H559" s="1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x14ac:dyDescent="0.25">
      <c r="A560" t="str">
        <f t="shared" si="24"/>
        <v>06801</v>
      </c>
      <c r="B560" s="34">
        <v>112</v>
      </c>
      <c r="C560" s="2">
        <v>8404</v>
      </c>
      <c r="D560" s="2" t="s">
        <v>1039</v>
      </c>
      <c r="E560" s="34">
        <v>1795</v>
      </c>
      <c r="F560" s="2" t="s">
        <v>1774</v>
      </c>
      <c r="G560" s="1"/>
      <c r="H560" s="1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x14ac:dyDescent="0.25">
      <c r="A561" t="str">
        <f t="shared" si="24"/>
        <v>06801</v>
      </c>
      <c r="B561" s="34">
        <v>112</v>
      </c>
      <c r="C561" s="2">
        <v>8404</v>
      </c>
      <c r="D561" s="2" t="s">
        <v>1039</v>
      </c>
      <c r="E561" s="34">
        <v>3546</v>
      </c>
      <c r="F561" s="2" t="s">
        <v>1969</v>
      </c>
      <c r="G561" s="1"/>
      <c r="H561" s="1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x14ac:dyDescent="0.25">
      <c r="A562" t="str">
        <f t="shared" ref="A562:A563" si="26">"06801"</f>
        <v>06801</v>
      </c>
      <c r="B562" s="34">
        <v>112</v>
      </c>
      <c r="C562" s="2">
        <v>8404</v>
      </c>
      <c r="D562" s="2" t="s">
        <v>1039</v>
      </c>
      <c r="E562" s="34">
        <v>5409</v>
      </c>
      <c r="F562" s="2" t="s">
        <v>1970</v>
      </c>
      <c r="G562" s="1"/>
      <c r="H562" s="1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x14ac:dyDescent="0.25">
      <c r="A563" t="str">
        <f t="shared" si="26"/>
        <v>06801</v>
      </c>
      <c r="B563" s="34">
        <v>112</v>
      </c>
      <c r="C563" s="2">
        <v>8404</v>
      </c>
      <c r="D563" s="2" t="s">
        <v>1039</v>
      </c>
      <c r="E563" s="34">
        <v>3513</v>
      </c>
      <c r="F563" s="2" t="s">
        <v>1980</v>
      </c>
      <c r="G563" s="1"/>
      <c r="H563" s="1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x14ac:dyDescent="0.25">
      <c r="A564" t="str">
        <f t="shared" ref="A564:A627" si="27">"34801"</f>
        <v>34801</v>
      </c>
      <c r="B564" s="34">
        <v>113</v>
      </c>
      <c r="C564" s="31" t="str">
        <f t="shared" ref="C564:C573" si="28">"14005"</f>
        <v>14005</v>
      </c>
      <c r="D564" s="31" t="s">
        <v>9</v>
      </c>
      <c r="E564" s="34" t="str">
        <f>"2834"</f>
        <v>2834</v>
      </c>
      <c r="F564" s="31" t="s">
        <v>10</v>
      </c>
      <c r="G564" s="1"/>
      <c r="H564" s="1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x14ac:dyDescent="0.25">
      <c r="A565" t="str">
        <f t="shared" si="27"/>
        <v>34801</v>
      </c>
      <c r="B565" s="34">
        <v>113</v>
      </c>
      <c r="C565" s="31" t="str">
        <f t="shared" si="28"/>
        <v>14005</v>
      </c>
      <c r="D565" s="31" t="s">
        <v>9</v>
      </c>
      <c r="E565" s="34" t="str">
        <f>"3216"</f>
        <v>3216</v>
      </c>
      <c r="F565" s="31" t="s">
        <v>313</v>
      </c>
      <c r="G565" s="1"/>
      <c r="H565" s="1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x14ac:dyDescent="0.25">
      <c r="A566" t="str">
        <f t="shared" si="27"/>
        <v>34801</v>
      </c>
      <c r="B566" s="34">
        <v>113</v>
      </c>
      <c r="C566" s="31" t="str">
        <f t="shared" si="28"/>
        <v>14005</v>
      </c>
      <c r="D566" s="31" t="s">
        <v>9</v>
      </c>
      <c r="E566" s="34" t="str">
        <f>"4267"</f>
        <v>4267</v>
      </c>
      <c r="F566" s="31" t="s">
        <v>745</v>
      </c>
      <c r="G566" s="1"/>
      <c r="H566" s="1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x14ac:dyDescent="0.25">
      <c r="A567" t="str">
        <f t="shared" si="27"/>
        <v>34801</v>
      </c>
      <c r="B567" s="34">
        <v>113</v>
      </c>
      <c r="C567" s="31" t="str">
        <f t="shared" si="28"/>
        <v>14005</v>
      </c>
      <c r="D567" s="31" t="s">
        <v>9</v>
      </c>
      <c r="E567" s="34" t="str">
        <f>"3857"</f>
        <v>3857</v>
      </c>
      <c r="F567" s="31" t="s">
        <v>770</v>
      </c>
      <c r="G567" s="1"/>
      <c r="H567" s="1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x14ac:dyDescent="0.25">
      <c r="A568" t="str">
        <f t="shared" si="27"/>
        <v>34801</v>
      </c>
      <c r="B568" s="34">
        <v>113</v>
      </c>
      <c r="C568" s="31" t="str">
        <f t="shared" si="28"/>
        <v>14005</v>
      </c>
      <c r="D568" s="31" t="s">
        <v>9</v>
      </c>
      <c r="E568" s="34" t="str">
        <f>"3154"</f>
        <v>3154</v>
      </c>
      <c r="F568" s="31" t="s">
        <v>841</v>
      </c>
      <c r="G568" s="1"/>
      <c r="H568" s="1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x14ac:dyDescent="0.25">
      <c r="A569" t="str">
        <f t="shared" si="27"/>
        <v>34801</v>
      </c>
      <c r="B569" s="34">
        <v>113</v>
      </c>
      <c r="C569" s="31" t="str">
        <f t="shared" si="28"/>
        <v>14005</v>
      </c>
      <c r="D569" s="31" t="s">
        <v>9</v>
      </c>
      <c r="E569" s="34" t="str">
        <f>"3476"</f>
        <v>3476</v>
      </c>
      <c r="F569" s="31" t="s">
        <v>885</v>
      </c>
      <c r="G569" s="1"/>
      <c r="H569" s="1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x14ac:dyDescent="0.25">
      <c r="A570" t="str">
        <f t="shared" si="27"/>
        <v>34801</v>
      </c>
      <c r="B570" s="34">
        <v>113</v>
      </c>
      <c r="C570" s="31" t="str">
        <f t="shared" si="28"/>
        <v>14005</v>
      </c>
      <c r="D570" s="31" t="s">
        <v>9</v>
      </c>
      <c r="E570" s="34" t="str">
        <f>"2449"</f>
        <v>2449</v>
      </c>
      <c r="F570" s="31" t="s">
        <v>1154</v>
      </c>
      <c r="G570" s="1"/>
      <c r="H570" s="1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x14ac:dyDescent="0.25">
      <c r="A571" t="str">
        <f t="shared" si="27"/>
        <v>34801</v>
      </c>
      <c r="B571" s="34">
        <v>113</v>
      </c>
      <c r="C571" s="31" t="str">
        <f t="shared" si="28"/>
        <v>14005</v>
      </c>
      <c r="D571" s="31" t="s">
        <v>9</v>
      </c>
      <c r="E571" s="34" t="str">
        <f>"2305"</f>
        <v>2305</v>
      </c>
      <c r="F571" s="31" t="s">
        <v>1207</v>
      </c>
      <c r="G571" s="1"/>
      <c r="H571" s="1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x14ac:dyDescent="0.25">
      <c r="A572" t="str">
        <f t="shared" si="27"/>
        <v>34801</v>
      </c>
      <c r="B572" s="34">
        <v>113</v>
      </c>
      <c r="C572" s="31" t="str">
        <f t="shared" si="28"/>
        <v>14005</v>
      </c>
      <c r="D572" s="31" t="s">
        <v>9</v>
      </c>
      <c r="E572" s="34" t="str">
        <f>"2763"</f>
        <v>2763</v>
      </c>
      <c r="F572" s="31" t="s">
        <v>1544</v>
      </c>
      <c r="G572" s="1"/>
      <c r="H572" s="1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x14ac:dyDescent="0.25">
      <c r="A573" t="str">
        <f t="shared" si="27"/>
        <v>34801</v>
      </c>
      <c r="B573" s="34">
        <v>113</v>
      </c>
      <c r="C573" s="31" t="str">
        <f t="shared" si="28"/>
        <v>14005</v>
      </c>
      <c r="D573" s="31" t="s">
        <v>9</v>
      </c>
      <c r="E573" s="34" t="str">
        <f>"2971"</f>
        <v>2971</v>
      </c>
      <c r="F573" s="31" t="s">
        <v>1731</v>
      </c>
      <c r="G573" s="1"/>
      <c r="H573" s="1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x14ac:dyDescent="0.25">
      <c r="A574" t="str">
        <f t="shared" si="27"/>
        <v>34801</v>
      </c>
      <c r="B574" s="33">
        <v>113</v>
      </c>
      <c r="C574" s="35">
        <v>21226</v>
      </c>
      <c r="D574" t="s">
        <v>26</v>
      </c>
      <c r="E574" s="36">
        <v>2227</v>
      </c>
      <c r="F574" t="s">
        <v>27</v>
      </c>
      <c r="G574" s="1"/>
      <c r="H574" s="1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x14ac:dyDescent="0.25">
      <c r="A575" t="str">
        <f t="shared" si="27"/>
        <v>34801</v>
      </c>
      <c r="B575" s="33">
        <v>113</v>
      </c>
      <c r="C575" s="35">
        <v>21226</v>
      </c>
      <c r="D575" t="s">
        <v>26</v>
      </c>
      <c r="E575" s="36">
        <v>2441</v>
      </c>
      <c r="F575" t="s">
        <v>28</v>
      </c>
      <c r="G575" s="1"/>
      <c r="H575" s="1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x14ac:dyDescent="0.25">
      <c r="A576" t="str">
        <f t="shared" si="27"/>
        <v>34801</v>
      </c>
      <c r="B576" s="33">
        <v>113</v>
      </c>
      <c r="C576" s="35">
        <v>21234</v>
      </c>
      <c r="D576" t="s">
        <v>2203</v>
      </c>
      <c r="E576" s="36">
        <v>2516</v>
      </c>
      <c r="F576" t="s">
        <v>2204</v>
      </c>
      <c r="G576" s="1"/>
      <c r="H576" s="1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x14ac:dyDescent="0.25">
      <c r="A577" t="str">
        <f t="shared" si="27"/>
        <v>34801</v>
      </c>
      <c r="B577" s="34">
        <v>113</v>
      </c>
      <c r="C577" s="31" t="str">
        <f t="shared" ref="C577:C584" si="29">"21401"</f>
        <v>21401</v>
      </c>
      <c r="D577" s="31" t="s">
        <v>316</v>
      </c>
      <c r="E577" s="34" t="str">
        <f>"2166"</f>
        <v>2166</v>
      </c>
      <c r="F577" s="31" t="s">
        <v>317</v>
      </c>
      <c r="G577" s="1"/>
      <c r="H577" s="1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x14ac:dyDescent="0.25">
      <c r="A578" t="str">
        <f t="shared" si="27"/>
        <v>34801</v>
      </c>
      <c r="B578" s="34">
        <v>113</v>
      </c>
      <c r="C578" s="31" t="str">
        <f t="shared" si="29"/>
        <v>21401</v>
      </c>
      <c r="D578" s="31" t="s">
        <v>316</v>
      </c>
      <c r="E578" s="34" t="str">
        <f>"3240"</f>
        <v>3240</v>
      </c>
      <c r="F578" s="31" t="s">
        <v>318</v>
      </c>
      <c r="G578" s="1"/>
      <c r="H578" s="1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x14ac:dyDescent="0.25">
      <c r="A579" t="str">
        <f t="shared" si="27"/>
        <v>34801</v>
      </c>
      <c r="B579" s="34">
        <v>113</v>
      </c>
      <c r="C579" s="31" t="str">
        <f t="shared" si="29"/>
        <v>21401</v>
      </c>
      <c r="D579" s="31" t="s">
        <v>316</v>
      </c>
      <c r="E579" s="34" t="str">
        <f>"2244"</f>
        <v>2244</v>
      </c>
      <c r="F579" s="31" t="s">
        <v>550</v>
      </c>
      <c r="G579" s="1"/>
      <c r="H579" s="1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x14ac:dyDescent="0.25">
      <c r="A580" t="str">
        <f t="shared" si="27"/>
        <v>34801</v>
      </c>
      <c r="B580" s="34">
        <v>113</v>
      </c>
      <c r="C580" s="31" t="str">
        <f t="shared" si="29"/>
        <v>21401</v>
      </c>
      <c r="D580" s="31" t="s">
        <v>316</v>
      </c>
      <c r="E580" s="34" t="str">
        <f>"2704"</f>
        <v>2704</v>
      </c>
      <c r="F580" s="31" t="s">
        <v>645</v>
      </c>
      <c r="G580" s="1"/>
      <c r="H580" s="1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x14ac:dyDescent="0.25">
      <c r="A581" t="str">
        <f t="shared" si="27"/>
        <v>34801</v>
      </c>
      <c r="B581" s="34">
        <v>113</v>
      </c>
      <c r="C581" s="31" t="str">
        <f t="shared" si="29"/>
        <v>21401</v>
      </c>
      <c r="D581" s="31" t="s">
        <v>316</v>
      </c>
      <c r="E581" s="34" t="str">
        <f>"5359"</f>
        <v>5359</v>
      </c>
      <c r="F581" s="31" t="s">
        <v>680</v>
      </c>
      <c r="G581" s="1"/>
      <c r="H581" s="1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x14ac:dyDescent="0.25">
      <c r="A582" t="str">
        <f t="shared" si="27"/>
        <v>34801</v>
      </c>
      <c r="B582" s="34">
        <v>113</v>
      </c>
      <c r="C582" s="31" t="str">
        <f t="shared" si="29"/>
        <v>21401</v>
      </c>
      <c r="D582" s="31" t="s">
        <v>316</v>
      </c>
      <c r="E582" s="34" t="str">
        <f>"3172"</f>
        <v>3172</v>
      </c>
      <c r="F582" s="31" t="s">
        <v>896</v>
      </c>
      <c r="G582" s="1"/>
      <c r="H582" s="1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x14ac:dyDescent="0.25">
      <c r="A583" t="str">
        <f t="shared" si="27"/>
        <v>34801</v>
      </c>
      <c r="B583" s="34">
        <v>113</v>
      </c>
      <c r="C583" s="31" t="str">
        <f t="shared" si="29"/>
        <v>21401</v>
      </c>
      <c r="D583" s="31" t="s">
        <v>316</v>
      </c>
      <c r="E583" s="34" t="str">
        <f>"2291"</f>
        <v>2291</v>
      </c>
      <c r="F583" s="31" t="s">
        <v>1342</v>
      </c>
      <c r="G583" s="1"/>
      <c r="H583" s="1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x14ac:dyDescent="0.25">
      <c r="A584" t="str">
        <f t="shared" si="27"/>
        <v>34801</v>
      </c>
      <c r="B584" s="34">
        <v>113</v>
      </c>
      <c r="C584" s="31" t="str">
        <f t="shared" si="29"/>
        <v>21401</v>
      </c>
      <c r="D584" s="31" t="s">
        <v>316</v>
      </c>
      <c r="E584" s="34" t="str">
        <f>"2768"</f>
        <v>2768</v>
      </c>
      <c r="F584" s="31" t="s">
        <v>1891</v>
      </c>
      <c r="G584" s="1"/>
      <c r="H584" s="1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x14ac:dyDescent="0.25">
      <c r="A585" t="str">
        <f t="shared" si="27"/>
        <v>34801</v>
      </c>
      <c r="B585" s="45">
        <v>113</v>
      </c>
      <c r="C585" s="46" t="str">
        <f t="shared" ref="C585:C591" si="30">"21302"</f>
        <v>21302</v>
      </c>
      <c r="D585" s="47" t="s">
        <v>260</v>
      </c>
      <c r="E585" s="48" t="str">
        <f>"4311"</f>
        <v>4311</v>
      </c>
      <c r="F585" s="47" t="s">
        <v>335</v>
      </c>
      <c r="G585" s="1"/>
      <c r="H585" s="1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x14ac:dyDescent="0.25">
      <c r="A586" t="str">
        <f t="shared" si="27"/>
        <v>34801</v>
      </c>
      <c r="B586" s="34">
        <v>113</v>
      </c>
      <c r="C586" s="2" t="str">
        <f t="shared" si="30"/>
        <v>21302</v>
      </c>
      <c r="D586" s="2" t="s">
        <v>260</v>
      </c>
      <c r="E586" s="34" t="str">
        <f>"2027"</f>
        <v>2027</v>
      </c>
      <c r="F586" s="2" t="s">
        <v>747</v>
      </c>
      <c r="G586" s="1"/>
      <c r="H586" s="1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x14ac:dyDescent="0.25">
      <c r="A587" t="str">
        <f t="shared" si="27"/>
        <v>34801</v>
      </c>
      <c r="B587" s="34">
        <v>113</v>
      </c>
      <c r="C587" s="2" t="str">
        <f t="shared" si="30"/>
        <v>21302</v>
      </c>
      <c r="D587" s="2" t="s">
        <v>260</v>
      </c>
      <c r="E587" s="34" t="str">
        <f>"5509"</f>
        <v>5509</v>
      </c>
      <c r="F587" s="2" t="s">
        <v>2205</v>
      </c>
      <c r="G587" s="1"/>
      <c r="H587" s="1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x14ac:dyDescent="0.25">
      <c r="A588" t="str">
        <f t="shared" si="27"/>
        <v>34801</v>
      </c>
      <c r="B588" s="49">
        <v>113</v>
      </c>
      <c r="C588" s="50" t="str">
        <f t="shared" si="30"/>
        <v>21302</v>
      </c>
      <c r="D588" s="51" t="s">
        <v>260</v>
      </c>
      <c r="E588" s="52" t="str">
        <f>"5369"</f>
        <v>5369</v>
      </c>
      <c r="F588" s="51" t="s">
        <v>1037</v>
      </c>
      <c r="G588" s="1"/>
      <c r="H588" s="1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x14ac:dyDescent="0.25">
      <c r="A589" t="str">
        <f t="shared" si="27"/>
        <v>34801</v>
      </c>
      <c r="B589" s="34">
        <v>113</v>
      </c>
      <c r="C589" s="2" t="str">
        <f t="shared" si="30"/>
        <v>21302</v>
      </c>
      <c r="D589" s="2" t="s">
        <v>260</v>
      </c>
      <c r="E589" s="34" t="str">
        <f>"1559"</f>
        <v>1559</v>
      </c>
      <c r="F589" s="2" t="s">
        <v>1038</v>
      </c>
      <c r="G589" s="1"/>
      <c r="H589" s="1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x14ac:dyDescent="0.25">
      <c r="A590" t="str">
        <f t="shared" si="27"/>
        <v>34801</v>
      </c>
      <c r="B590" s="53">
        <v>113</v>
      </c>
      <c r="C590" s="54" t="str">
        <f t="shared" si="30"/>
        <v>21302</v>
      </c>
      <c r="D590" s="55" t="s">
        <v>260</v>
      </c>
      <c r="E590" s="56" t="str">
        <f>"5510"</f>
        <v>5510</v>
      </c>
      <c r="F590" s="55" t="s">
        <v>2206</v>
      </c>
      <c r="G590" s="1"/>
      <c r="H590" s="1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x14ac:dyDescent="0.25">
      <c r="A591" t="str">
        <f t="shared" si="27"/>
        <v>34801</v>
      </c>
      <c r="B591" s="57">
        <v>113</v>
      </c>
      <c r="C591" s="58" t="str">
        <f t="shared" si="30"/>
        <v>21302</v>
      </c>
      <c r="D591" s="59" t="s">
        <v>260</v>
      </c>
      <c r="E591" s="60" t="str">
        <f>"2799"</f>
        <v>2799</v>
      </c>
      <c r="F591" s="59" t="s">
        <v>1867</v>
      </c>
      <c r="G591" s="1"/>
      <c r="H591" s="1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x14ac:dyDescent="0.25">
      <c r="A592" t="str">
        <f t="shared" si="27"/>
        <v>34801</v>
      </c>
      <c r="B592" s="33">
        <v>113</v>
      </c>
      <c r="C592" s="35">
        <v>14099</v>
      </c>
      <c r="D592" t="s">
        <v>2207</v>
      </c>
      <c r="E592" s="36">
        <v>3326</v>
      </c>
      <c r="F592" t="s">
        <v>2208</v>
      </c>
      <c r="G592" s="1"/>
      <c r="H592" s="1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x14ac:dyDescent="0.25">
      <c r="A593" t="str">
        <f t="shared" si="27"/>
        <v>34801</v>
      </c>
      <c r="B593" s="33">
        <v>113</v>
      </c>
      <c r="C593" s="35">
        <v>14068</v>
      </c>
      <c r="D593" t="s">
        <v>527</v>
      </c>
      <c r="E593" s="36">
        <v>5416</v>
      </c>
      <c r="F593" t="s">
        <v>528</v>
      </c>
      <c r="G593" s="1"/>
      <c r="H593" s="1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x14ac:dyDescent="0.25">
      <c r="A594" t="str">
        <f t="shared" si="27"/>
        <v>34801</v>
      </c>
      <c r="B594" s="33">
        <v>113</v>
      </c>
      <c r="C594" s="35">
        <v>14068</v>
      </c>
      <c r="D594" t="s">
        <v>527</v>
      </c>
      <c r="E594" s="36">
        <v>3217</v>
      </c>
      <c r="F594" t="s">
        <v>570</v>
      </c>
      <c r="G594" s="1"/>
      <c r="H594" s="1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x14ac:dyDescent="0.25">
      <c r="A595" t="str">
        <f t="shared" si="27"/>
        <v>34801</v>
      </c>
      <c r="B595" s="33">
        <v>113</v>
      </c>
      <c r="C595" s="35">
        <v>14068</v>
      </c>
      <c r="D595" t="s">
        <v>527</v>
      </c>
      <c r="E595" s="36">
        <v>2137</v>
      </c>
      <c r="F595" t="s">
        <v>571</v>
      </c>
      <c r="G595" s="1"/>
      <c r="H595" s="1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x14ac:dyDescent="0.25">
      <c r="A596" t="str">
        <f t="shared" si="27"/>
        <v>34801</v>
      </c>
      <c r="B596" s="33">
        <v>113</v>
      </c>
      <c r="C596" s="35">
        <v>14068</v>
      </c>
      <c r="D596" t="s">
        <v>527</v>
      </c>
      <c r="E596" s="36">
        <v>4245</v>
      </c>
      <c r="F596" t="s">
        <v>572</v>
      </c>
      <c r="G596" s="1"/>
      <c r="H596" s="1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x14ac:dyDescent="0.25">
      <c r="A597" t="str">
        <f t="shared" si="27"/>
        <v>34801</v>
      </c>
      <c r="B597" s="34">
        <v>113</v>
      </c>
      <c r="C597" s="35">
        <v>21036</v>
      </c>
      <c r="D597" s="2" t="s">
        <v>2209</v>
      </c>
      <c r="E597" s="36">
        <v>2355</v>
      </c>
      <c r="F597" s="2" t="s">
        <v>2210</v>
      </c>
      <c r="G597" s="1"/>
      <c r="H597" s="1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x14ac:dyDescent="0.25">
      <c r="A598" t="str">
        <f t="shared" si="27"/>
        <v>34801</v>
      </c>
      <c r="B598" s="34">
        <v>113</v>
      </c>
      <c r="C598" s="35">
        <v>23054</v>
      </c>
      <c r="D598" s="2" t="s">
        <v>2211</v>
      </c>
      <c r="E598" s="36">
        <v>2145</v>
      </c>
      <c r="F598" s="2" t="s">
        <v>2212</v>
      </c>
      <c r="G598" s="1"/>
      <c r="H598" s="1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x14ac:dyDescent="0.25">
      <c r="A599" t="str">
        <f t="shared" si="27"/>
        <v>34801</v>
      </c>
      <c r="B599" s="33">
        <v>113</v>
      </c>
      <c r="C599" s="35">
        <v>34324</v>
      </c>
      <c r="D599" t="s">
        <v>2213</v>
      </c>
      <c r="E599" s="36">
        <v>2406</v>
      </c>
      <c r="F599" t="s">
        <v>2214</v>
      </c>
      <c r="G599" s="1"/>
      <c r="H599" s="1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x14ac:dyDescent="0.25">
      <c r="A600" t="str">
        <f t="shared" si="27"/>
        <v>34801</v>
      </c>
      <c r="B600" s="34">
        <v>113</v>
      </c>
      <c r="C600" s="35">
        <v>23404</v>
      </c>
      <c r="D600" s="2" t="s">
        <v>2215</v>
      </c>
      <c r="E600" s="36">
        <v>2310</v>
      </c>
      <c r="F600" s="2" t="s">
        <v>2216</v>
      </c>
      <c r="G600" s="1"/>
      <c r="H600" s="1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x14ac:dyDescent="0.25">
      <c r="A601" t="str">
        <f t="shared" si="27"/>
        <v>34801</v>
      </c>
      <c r="B601" s="33">
        <v>113</v>
      </c>
      <c r="C601" s="35">
        <v>14028</v>
      </c>
      <c r="D601" t="s">
        <v>310</v>
      </c>
      <c r="E601" s="36">
        <v>2972</v>
      </c>
      <c r="F601" t="s">
        <v>309</v>
      </c>
      <c r="G601" s="1"/>
      <c r="H601" s="1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x14ac:dyDescent="0.25">
      <c r="A602" t="str">
        <f t="shared" si="27"/>
        <v>34801</v>
      </c>
      <c r="B602" s="33">
        <v>113</v>
      </c>
      <c r="C602" s="35">
        <v>14028</v>
      </c>
      <c r="D602" t="s">
        <v>310</v>
      </c>
      <c r="E602" s="36">
        <v>2268</v>
      </c>
      <c r="F602" t="s">
        <v>578</v>
      </c>
      <c r="G602" s="1"/>
      <c r="H602" s="1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x14ac:dyDescent="0.25">
      <c r="A603" t="str">
        <f t="shared" si="27"/>
        <v>34801</v>
      </c>
      <c r="B603" s="33">
        <v>113</v>
      </c>
      <c r="C603" s="35">
        <v>14028</v>
      </c>
      <c r="D603" t="s">
        <v>310</v>
      </c>
      <c r="E603" s="36">
        <v>3622</v>
      </c>
      <c r="F603" t="s">
        <v>842</v>
      </c>
      <c r="G603" s="1"/>
      <c r="H603" s="1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x14ac:dyDescent="0.25">
      <c r="A604" t="str">
        <f t="shared" si="27"/>
        <v>34801</v>
      </c>
      <c r="B604" s="34">
        <v>113</v>
      </c>
      <c r="C604" s="35">
        <v>14028</v>
      </c>
      <c r="D604" s="2" t="s">
        <v>310</v>
      </c>
      <c r="E604" s="36">
        <v>2391</v>
      </c>
      <c r="F604" s="2" t="s">
        <v>843</v>
      </c>
      <c r="G604" s="1"/>
      <c r="H604" s="1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x14ac:dyDescent="0.25">
      <c r="A605" t="str">
        <f t="shared" si="27"/>
        <v>34801</v>
      </c>
      <c r="B605" s="33">
        <v>113</v>
      </c>
      <c r="C605" s="35">
        <v>14028</v>
      </c>
      <c r="D605" t="s">
        <v>310</v>
      </c>
      <c r="E605" s="36">
        <v>3621</v>
      </c>
      <c r="F605" t="s">
        <v>1056</v>
      </c>
      <c r="G605" s="1"/>
      <c r="H605" s="1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x14ac:dyDescent="0.25">
      <c r="A606" t="str">
        <f t="shared" si="27"/>
        <v>34801</v>
      </c>
      <c r="B606" s="34">
        <v>113</v>
      </c>
      <c r="C606" s="35">
        <v>14097</v>
      </c>
      <c r="D606" s="2" t="s">
        <v>989</v>
      </c>
      <c r="E606" s="36">
        <v>2921</v>
      </c>
      <c r="F606" s="2" t="s">
        <v>2217</v>
      </c>
      <c r="G606" s="1"/>
      <c r="H606" s="1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x14ac:dyDescent="0.25">
      <c r="A607" t="str">
        <f t="shared" si="27"/>
        <v>34801</v>
      </c>
      <c r="B607" s="34">
        <v>113</v>
      </c>
      <c r="C607" s="35">
        <v>23311</v>
      </c>
      <c r="D607" s="2" t="s">
        <v>2218</v>
      </c>
      <c r="E607" s="36">
        <v>5444</v>
      </c>
      <c r="F607" s="2" t="s">
        <v>2219</v>
      </c>
      <c r="G607" s="1"/>
      <c r="H607" s="1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x14ac:dyDescent="0.25">
      <c r="A608" t="str">
        <f t="shared" si="27"/>
        <v>34801</v>
      </c>
      <c r="B608" s="34">
        <v>113</v>
      </c>
      <c r="C608" s="35">
        <v>14065</v>
      </c>
      <c r="D608" s="2" t="s">
        <v>2220</v>
      </c>
      <c r="E608" s="36">
        <v>2835</v>
      </c>
      <c r="F608" s="2" t="s">
        <v>2221</v>
      </c>
      <c r="G608" s="1"/>
      <c r="H608" s="1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x14ac:dyDescent="0.25">
      <c r="A609" t="str">
        <f t="shared" si="27"/>
        <v>34801</v>
      </c>
      <c r="B609" s="33">
        <v>113</v>
      </c>
      <c r="C609" s="35">
        <v>14066</v>
      </c>
      <c r="D609" t="s">
        <v>124</v>
      </c>
      <c r="E609" s="36">
        <v>3661</v>
      </c>
      <c r="F609" t="s">
        <v>125</v>
      </c>
      <c r="G609" s="1"/>
      <c r="H609" s="1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x14ac:dyDescent="0.25">
      <c r="A610" t="str">
        <f t="shared" si="27"/>
        <v>34801</v>
      </c>
      <c r="B610" s="33">
        <v>113</v>
      </c>
      <c r="C610" s="35">
        <v>14066</v>
      </c>
      <c r="D610" t="s">
        <v>124</v>
      </c>
      <c r="E610" s="36">
        <v>2180</v>
      </c>
      <c r="F610" t="s">
        <v>1217</v>
      </c>
      <c r="G610" s="1"/>
      <c r="H610" s="1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x14ac:dyDescent="0.25">
      <c r="A611" t="str">
        <f t="shared" si="27"/>
        <v>34801</v>
      </c>
      <c r="B611" s="33">
        <v>113</v>
      </c>
      <c r="C611" s="35">
        <v>14066</v>
      </c>
      <c r="D611" t="s">
        <v>124</v>
      </c>
      <c r="E611" s="36">
        <v>3374</v>
      </c>
      <c r="F611" t="s">
        <v>1660</v>
      </c>
      <c r="G611" s="1"/>
      <c r="H611" s="1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x14ac:dyDescent="0.25">
      <c r="A612" t="str">
        <f t="shared" si="27"/>
        <v>34801</v>
      </c>
      <c r="B612" s="34">
        <v>113</v>
      </c>
      <c r="C612" s="35">
        <v>21214</v>
      </c>
      <c r="D612" s="2" t="s">
        <v>1227</v>
      </c>
      <c r="E612" s="33" t="str">
        <f>"2678"</f>
        <v>2678</v>
      </c>
      <c r="F612" t="s">
        <v>1228</v>
      </c>
      <c r="G612" s="1"/>
      <c r="H612" s="1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x14ac:dyDescent="0.25">
      <c r="A613" t="str">
        <f t="shared" si="27"/>
        <v>34801</v>
      </c>
      <c r="B613" s="34">
        <v>113</v>
      </c>
      <c r="C613" s="35">
        <v>21214</v>
      </c>
      <c r="D613" s="2" t="s">
        <v>1227</v>
      </c>
      <c r="E613" s="36">
        <v>3112</v>
      </c>
      <c r="F613" s="2" t="s">
        <v>1229</v>
      </c>
      <c r="G613" s="1"/>
      <c r="H613" s="1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x14ac:dyDescent="0.25">
      <c r="A614" t="str">
        <f t="shared" si="27"/>
        <v>34801</v>
      </c>
      <c r="B614" s="34">
        <v>113</v>
      </c>
      <c r="C614" s="34">
        <v>21206</v>
      </c>
      <c r="D614" s="2" t="s">
        <v>1232</v>
      </c>
      <c r="E614" s="36">
        <v>5415</v>
      </c>
      <c r="F614" s="2" t="s">
        <v>1233</v>
      </c>
      <c r="G614" s="1"/>
      <c r="H614" s="1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x14ac:dyDescent="0.25">
      <c r="A615" t="str">
        <f t="shared" si="27"/>
        <v>34801</v>
      </c>
      <c r="B615" s="34">
        <v>113</v>
      </c>
      <c r="C615" s="34">
        <v>21206</v>
      </c>
      <c r="D615" s="2" t="s">
        <v>1232</v>
      </c>
      <c r="E615" s="34">
        <v>2572</v>
      </c>
      <c r="F615" s="2" t="s">
        <v>1234</v>
      </c>
      <c r="G615" s="1"/>
      <c r="H615" s="1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x14ac:dyDescent="0.25">
      <c r="A616" t="str">
        <f t="shared" si="27"/>
        <v>34801</v>
      </c>
      <c r="B616" s="34">
        <v>113</v>
      </c>
      <c r="C616" s="34">
        <v>21206</v>
      </c>
      <c r="D616" s="2" t="s">
        <v>1232</v>
      </c>
      <c r="E616" s="34">
        <v>3238</v>
      </c>
      <c r="F616" s="2" t="s">
        <v>1235</v>
      </c>
      <c r="G616" s="1"/>
      <c r="H616" s="1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x14ac:dyDescent="0.25">
      <c r="A617" t="str">
        <f t="shared" si="27"/>
        <v>34801</v>
      </c>
      <c r="B617" s="33">
        <v>113</v>
      </c>
      <c r="C617" s="35">
        <v>21014</v>
      </c>
      <c r="D617" t="s">
        <v>1272</v>
      </c>
      <c r="E617" s="36">
        <v>3288</v>
      </c>
      <c r="F617" t="s">
        <v>1273</v>
      </c>
      <c r="G617" s="1"/>
      <c r="H617" s="1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x14ac:dyDescent="0.25">
      <c r="A618" t="str">
        <f t="shared" si="27"/>
        <v>34801</v>
      </c>
      <c r="B618" s="33">
        <v>113</v>
      </c>
      <c r="C618" s="35">
        <v>21014</v>
      </c>
      <c r="D618" t="s">
        <v>1272</v>
      </c>
      <c r="E618" s="36">
        <v>2273</v>
      </c>
      <c r="F618" t="s">
        <v>1274</v>
      </c>
      <c r="G618" s="1"/>
      <c r="H618" s="1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x14ac:dyDescent="0.25">
      <c r="A619" t="str">
        <f t="shared" si="27"/>
        <v>34801</v>
      </c>
      <c r="B619" s="33">
        <v>113</v>
      </c>
      <c r="C619" s="35">
        <v>14064</v>
      </c>
      <c r="D619" t="s">
        <v>2222</v>
      </c>
      <c r="E619" s="36">
        <v>3788</v>
      </c>
      <c r="F619" t="s">
        <v>1302</v>
      </c>
      <c r="G619" s="1"/>
      <c r="H619" s="1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x14ac:dyDescent="0.25">
      <c r="A620" t="str">
        <f t="shared" si="27"/>
        <v>34801</v>
      </c>
      <c r="B620" s="33">
        <v>113</v>
      </c>
      <c r="C620" s="35">
        <v>14064</v>
      </c>
      <c r="D620" t="s">
        <v>2222</v>
      </c>
      <c r="E620" s="36">
        <v>2728</v>
      </c>
      <c r="F620" t="s">
        <v>1303</v>
      </c>
      <c r="G620" s="1"/>
      <c r="H620" s="1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x14ac:dyDescent="0.25">
      <c r="A621" t="str">
        <f t="shared" si="27"/>
        <v>34801</v>
      </c>
      <c r="B621" s="33">
        <v>113</v>
      </c>
      <c r="C621" s="35">
        <v>14064</v>
      </c>
      <c r="D621" t="s">
        <v>2222</v>
      </c>
      <c r="E621" s="36">
        <v>3787</v>
      </c>
      <c r="F621" t="s">
        <v>1347</v>
      </c>
      <c r="G621" s="1"/>
      <c r="H621" s="1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x14ac:dyDescent="0.25">
      <c r="A622" t="str">
        <f t="shared" si="27"/>
        <v>34801</v>
      </c>
      <c r="B622" s="33">
        <v>113</v>
      </c>
      <c r="C622" s="35">
        <v>14064</v>
      </c>
      <c r="D622" t="s">
        <v>2222</v>
      </c>
      <c r="E622" s="36">
        <v>3155</v>
      </c>
      <c r="F622" t="s">
        <v>1401</v>
      </c>
      <c r="G622" s="1"/>
      <c r="H622" s="1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x14ac:dyDescent="0.25">
      <c r="A623" t="str">
        <f t="shared" si="27"/>
        <v>34801</v>
      </c>
      <c r="B623" s="34">
        <v>113</v>
      </c>
      <c r="C623" s="34">
        <v>25200</v>
      </c>
      <c r="D623" s="2" t="s">
        <v>2223</v>
      </c>
      <c r="E623" s="34">
        <v>2292</v>
      </c>
      <c r="F623" s="2" t="s">
        <v>2224</v>
      </c>
      <c r="G623" s="1"/>
      <c r="H623" s="1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x14ac:dyDescent="0.25">
      <c r="A624" t="str">
        <f t="shared" si="27"/>
        <v>34801</v>
      </c>
      <c r="B624" s="34">
        <v>113</v>
      </c>
      <c r="C624" s="31" t="str">
        <f t="shared" ref="C624:C645" si="31">"34003"</f>
        <v>34003</v>
      </c>
      <c r="D624" s="31" t="s">
        <v>89</v>
      </c>
      <c r="E624" s="34" t="str">
        <f>"5168"</f>
        <v>5168</v>
      </c>
      <c r="F624" s="31" t="s">
        <v>90</v>
      </c>
      <c r="G624" s="1"/>
      <c r="H624" s="1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x14ac:dyDescent="0.25">
      <c r="A625" t="str">
        <f t="shared" si="27"/>
        <v>34801</v>
      </c>
      <c r="B625" s="34">
        <v>113</v>
      </c>
      <c r="C625" s="31" t="str">
        <f t="shared" si="31"/>
        <v>34003</v>
      </c>
      <c r="D625" s="31" t="s">
        <v>89</v>
      </c>
      <c r="E625" s="34" t="str">
        <f>"5167"</f>
        <v>5167</v>
      </c>
      <c r="F625" s="31" t="s">
        <v>325</v>
      </c>
      <c r="G625" s="1"/>
      <c r="H625" s="1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x14ac:dyDescent="0.25">
      <c r="A626" t="str">
        <f t="shared" si="27"/>
        <v>34801</v>
      </c>
      <c r="B626" s="34">
        <v>113</v>
      </c>
      <c r="C626" s="31" t="str">
        <f t="shared" si="31"/>
        <v>34003</v>
      </c>
      <c r="D626" s="31" t="s">
        <v>89</v>
      </c>
      <c r="E626" s="34" t="str">
        <f>"3361"</f>
        <v>3361</v>
      </c>
      <c r="F626" s="31" t="s">
        <v>361</v>
      </c>
      <c r="G626" s="1"/>
      <c r="H626" s="1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x14ac:dyDescent="0.25">
      <c r="A627" t="str">
        <f t="shared" si="27"/>
        <v>34801</v>
      </c>
      <c r="B627" s="34">
        <v>113</v>
      </c>
      <c r="C627" s="31" t="str">
        <f t="shared" si="31"/>
        <v>34003</v>
      </c>
      <c r="D627" s="31" t="s">
        <v>89</v>
      </c>
      <c r="E627" s="34" t="str">
        <f>"4058"</f>
        <v>4058</v>
      </c>
      <c r="F627" s="31" t="s">
        <v>601</v>
      </c>
      <c r="G627" s="1"/>
      <c r="H627" s="1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x14ac:dyDescent="0.25">
      <c r="A628" t="str">
        <f t="shared" ref="A628:A691" si="32">"34801"</f>
        <v>34801</v>
      </c>
      <c r="B628" s="34">
        <v>113</v>
      </c>
      <c r="C628" s="31" t="str">
        <f t="shared" si="31"/>
        <v>34003</v>
      </c>
      <c r="D628" s="31" t="s">
        <v>89</v>
      </c>
      <c r="E628" s="34" t="str">
        <f>"4408"</f>
        <v>4408</v>
      </c>
      <c r="F628" s="31" t="s">
        <v>847</v>
      </c>
      <c r="G628" s="1"/>
      <c r="H628" s="1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x14ac:dyDescent="0.25">
      <c r="A629" t="str">
        <f t="shared" si="32"/>
        <v>34801</v>
      </c>
      <c r="B629" s="34">
        <v>113</v>
      </c>
      <c r="C629" s="31" t="str">
        <f t="shared" si="31"/>
        <v>34003</v>
      </c>
      <c r="D629" s="31" t="s">
        <v>89</v>
      </c>
      <c r="E629" s="34" t="str">
        <f>"4409"</f>
        <v>4409</v>
      </c>
      <c r="F629" s="31" t="s">
        <v>966</v>
      </c>
      <c r="G629" s="1"/>
      <c r="H629" s="1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x14ac:dyDescent="0.25">
      <c r="A630" t="str">
        <f t="shared" si="32"/>
        <v>34801</v>
      </c>
      <c r="B630" s="34">
        <v>113</v>
      </c>
      <c r="C630" s="31" t="str">
        <f t="shared" si="31"/>
        <v>34003</v>
      </c>
      <c r="D630" s="31" t="s">
        <v>89</v>
      </c>
      <c r="E630" s="34" t="str">
        <f>"3653"</f>
        <v>3653</v>
      </c>
      <c r="F630" s="31" t="s">
        <v>980</v>
      </c>
      <c r="G630" s="1"/>
      <c r="H630" s="1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x14ac:dyDescent="0.25">
      <c r="A631" t="str">
        <f t="shared" si="32"/>
        <v>34801</v>
      </c>
      <c r="B631" s="34">
        <v>113</v>
      </c>
      <c r="C631" s="31" t="str">
        <f t="shared" si="31"/>
        <v>34003</v>
      </c>
      <c r="D631" s="31" t="s">
        <v>89</v>
      </c>
      <c r="E631" s="34" t="str">
        <f>"3539"</f>
        <v>3539</v>
      </c>
      <c r="F631" s="31" t="s">
        <v>1007</v>
      </c>
      <c r="G631" s="1"/>
      <c r="H631" s="1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x14ac:dyDescent="0.25">
      <c r="A632" t="str">
        <f t="shared" si="32"/>
        <v>34801</v>
      </c>
      <c r="B632" s="34">
        <v>113</v>
      </c>
      <c r="C632" s="31" t="str">
        <f t="shared" si="31"/>
        <v>34003</v>
      </c>
      <c r="D632" s="31" t="s">
        <v>89</v>
      </c>
      <c r="E632" s="34" t="str">
        <f>"3262"</f>
        <v>3262</v>
      </c>
      <c r="F632" s="31" t="s">
        <v>1091</v>
      </c>
      <c r="G632" s="1"/>
      <c r="H632" s="1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x14ac:dyDescent="0.25">
      <c r="A633" t="str">
        <f t="shared" si="32"/>
        <v>34801</v>
      </c>
      <c r="B633" s="34">
        <v>113</v>
      </c>
      <c r="C633" s="31" t="str">
        <f t="shared" si="31"/>
        <v>34003</v>
      </c>
      <c r="D633" s="31" t="s">
        <v>89</v>
      </c>
      <c r="E633" s="34" t="str">
        <f>"4255"</f>
        <v>4255</v>
      </c>
      <c r="F633" s="31" t="s">
        <v>1174</v>
      </c>
      <c r="G633" s="1"/>
      <c r="H633" s="1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x14ac:dyDescent="0.25">
      <c r="A634" t="str">
        <f t="shared" si="32"/>
        <v>34801</v>
      </c>
      <c r="B634" s="34">
        <v>113</v>
      </c>
      <c r="C634" s="31" t="str">
        <f t="shared" si="31"/>
        <v>34003</v>
      </c>
      <c r="D634" s="31" t="s">
        <v>89</v>
      </c>
      <c r="E634" s="34" t="str">
        <f>"3130"</f>
        <v>3130</v>
      </c>
      <c r="F634" s="31" t="s">
        <v>1247</v>
      </c>
      <c r="G634" s="1"/>
      <c r="H634" s="1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x14ac:dyDescent="0.25">
      <c r="A635" t="str">
        <f t="shared" si="32"/>
        <v>34801</v>
      </c>
      <c r="B635" s="34">
        <v>113</v>
      </c>
      <c r="C635" s="31" t="str">
        <f t="shared" si="31"/>
        <v>34003</v>
      </c>
      <c r="D635" s="31" t="s">
        <v>89</v>
      </c>
      <c r="E635" s="34" t="str">
        <f>"3611"</f>
        <v>3611</v>
      </c>
      <c r="F635" s="31" t="s">
        <v>1296</v>
      </c>
      <c r="G635" s="1"/>
      <c r="H635" s="1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x14ac:dyDescent="0.25">
      <c r="A636" t="str">
        <f t="shared" si="32"/>
        <v>34801</v>
      </c>
      <c r="B636" s="34">
        <v>113</v>
      </c>
      <c r="C636" s="31" t="str">
        <f t="shared" si="31"/>
        <v>34003</v>
      </c>
      <c r="D636" s="31" t="s">
        <v>89</v>
      </c>
      <c r="E636" s="34" t="str">
        <f>"3010"</f>
        <v>3010</v>
      </c>
      <c r="F636" s="31" t="s">
        <v>1316</v>
      </c>
      <c r="G636" s="1"/>
      <c r="H636" s="1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x14ac:dyDescent="0.25">
      <c r="A637" t="str">
        <f t="shared" si="32"/>
        <v>34801</v>
      </c>
      <c r="B637" s="34">
        <v>113</v>
      </c>
      <c r="C637" s="31" t="str">
        <f t="shared" si="31"/>
        <v>34003</v>
      </c>
      <c r="D637" s="31" t="s">
        <v>89</v>
      </c>
      <c r="E637" s="34" t="str">
        <f>"3709"</f>
        <v>3709</v>
      </c>
      <c r="F637" s="31" t="s">
        <v>1368</v>
      </c>
      <c r="G637" s="1"/>
      <c r="H637" s="1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x14ac:dyDescent="0.25">
      <c r="A638" t="str">
        <f t="shared" si="32"/>
        <v>34801</v>
      </c>
      <c r="B638" s="34">
        <v>113</v>
      </c>
      <c r="C638" s="31" t="str">
        <f t="shared" si="31"/>
        <v>34003</v>
      </c>
      <c r="D638" s="31" t="s">
        <v>89</v>
      </c>
      <c r="E638" s="34" t="str">
        <f>"4271"</f>
        <v>4271</v>
      </c>
      <c r="F638" s="31" t="s">
        <v>1453</v>
      </c>
      <c r="G638" s="1"/>
      <c r="H638" s="1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x14ac:dyDescent="0.25">
      <c r="A639" t="str">
        <f t="shared" si="32"/>
        <v>34801</v>
      </c>
      <c r="B639" s="34">
        <v>113</v>
      </c>
      <c r="C639" s="31" t="str">
        <f t="shared" si="31"/>
        <v>34003</v>
      </c>
      <c r="D639" s="31" t="s">
        <v>89</v>
      </c>
      <c r="E639" s="34" t="str">
        <f>"4427"</f>
        <v>4427</v>
      </c>
      <c r="F639" s="31" t="s">
        <v>1534</v>
      </c>
      <c r="G639" s="1"/>
      <c r="H639" s="1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x14ac:dyDescent="0.25">
      <c r="A640" t="str">
        <f t="shared" si="32"/>
        <v>34801</v>
      </c>
      <c r="B640" s="34">
        <v>113</v>
      </c>
      <c r="C640" s="31" t="str">
        <f t="shared" si="31"/>
        <v>34003</v>
      </c>
      <c r="D640" s="31" t="s">
        <v>89</v>
      </c>
      <c r="E640" s="34" t="str">
        <f>"5452"</f>
        <v>5452</v>
      </c>
      <c r="F640" s="31" t="s">
        <v>1582</v>
      </c>
      <c r="G640" s="1"/>
      <c r="H640" s="1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x14ac:dyDescent="0.25">
      <c r="A641" t="str">
        <f t="shared" si="32"/>
        <v>34801</v>
      </c>
      <c r="B641" s="34">
        <v>113</v>
      </c>
      <c r="C641" s="31" t="str">
        <f t="shared" si="31"/>
        <v>34003</v>
      </c>
      <c r="D641" s="31" t="s">
        <v>89</v>
      </c>
      <c r="E641" s="34" t="str">
        <f>"4368"</f>
        <v>4368</v>
      </c>
      <c r="F641" s="31" t="s">
        <v>1626</v>
      </c>
      <c r="G641" s="1"/>
      <c r="H641" s="1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x14ac:dyDescent="0.25">
      <c r="A642" t="str">
        <f t="shared" si="32"/>
        <v>34801</v>
      </c>
      <c r="B642" s="34">
        <v>113</v>
      </c>
      <c r="C642" s="31" t="str">
        <f t="shared" si="31"/>
        <v>34003</v>
      </c>
      <c r="D642" s="31" t="s">
        <v>89</v>
      </c>
      <c r="E642" s="34" t="str">
        <f>"2754"</f>
        <v>2754</v>
      </c>
      <c r="F642" s="31" t="s">
        <v>1682</v>
      </c>
      <c r="G642" s="1"/>
      <c r="H642" s="1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x14ac:dyDescent="0.25">
      <c r="A643" t="str">
        <f t="shared" si="32"/>
        <v>34801</v>
      </c>
      <c r="B643" s="34">
        <v>113</v>
      </c>
      <c r="C643" s="31" t="str">
        <f t="shared" si="31"/>
        <v>34003</v>
      </c>
      <c r="D643" s="31" t="s">
        <v>89</v>
      </c>
      <c r="E643" s="33" t="str">
        <f>"5654"</f>
        <v>5654</v>
      </c>
      <c r="F643" t="s">
        <v>2225</v>
      </c>
      <c r="G643" s="1"/>
      <c r="H643" s="1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x14ac:dyDescent="0.25">
      <c r="A644" t="str">
        <f t="shared" si="32"/>
        <v>34801</v>
      </c>
      <c r="B644" s="34">
        <v>113</v>
      </c>
      <c r="C644" s="31" t="str">
        <f t="shared" si="31"/>
        <v>34003</v>
      </c>
      <c r="D644" s="31" t="s">
        <v>89</v>
      </c>
      <c r="E644" s="34" t="str">
        <f>"3710"</f>
        <v>3710</v>
      </c>
      <c r="F644" s="31" t="s">
        <v>1802</v>
      </c>
      <c r="G644" s="1"/>
      <c r="H644" s="1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x14ac:dyDescent="0.25">
      <c r="A645" t="str">
        <f t="shared" si="32"/>
        <v>34801</v>
      </c>
      <c r="B645" s="34">
        <v>113</v>
      </c>
      <c r="C645" s="31" t="str">
        <f t="shared" si="31"/>
        <v>34003</v>
      </c>
      <c r="D645" s="31" t="s">
        <v>89</v>
      </c>
      <c r="E645" s="34" t="str">
        <f>"4122"</f>
        <v>4122</v>
      </c>
      <c r="F645" s="31" t="s">
        <v>1968</v>
      </c>
      <c r="G645" s="1"/>
      <c r="H645" s="1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x14ac:dyDescent="0.25">
      <c r="A646" t="str">
        <f t="shared" si="32"/>
        <v>34801</v>
      </c>
      <c r="B646" s="33">
        <v>113</v>
      </c>
      <c r="C646" s="35">
        <v>14400</v>
      </c>
      <c r="D646" t="s">
        <v>2226</v>
      </c>
      <c r="E646" s="36">
        <v>2922</v>
      </c>
      <c r="F646" t="s">
        <v>2227</v>
      </c>
      <c r="G646" s="1"/>
      <c r="H646" s="1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x14ac:dyDescent="0.25">
      <c r="A647" t="str">
        <f t="shared" si="32"/>
        <v>34801</v>
      </c>
      <c r="B647" s="34">
        <v>113</v>
      </c>
      <c r="C647" s="35">
        <v>14172</v>
      </c>
      <c r="D647" s="31" t="s">
        <v>1348</v>
      </c>
      <c r="E647" s="36">
        <v>3025</v>
      </c>
      <c r="F647" s="31" t="s">
        <v>1349</v>
      </c>
      <c r="G647" s="1"/>
      <c r="H647" s="1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x14ac:dyDescent="0.25">
      <c r="A648" t="str">
        <f t="shared" si="32"/>
        <v>34801</v>
      </c>
      <c r="B648" s="34">
        <v>113</v>
      </c>
      <c r="C648" s="35">
        <v>14172</v>
      </c>
      <c r="D648" s="31" t="s">
        <v>1348</v>
      </c>
      <c r="E648" s="36">
        <v>3024</v>
      </c>
      <c r="F648" s="31" t="s">
        <v>1350</v>
      </c>
      <c r="G648" s="1"/>
      <c r="H648" s="1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x14ac:dyDescent="0.25">
      <c r="A649" t="str">
        <f t="shared" si="32"/>
        <v>34801</v>
      </c>
      <c r="B649" s="34">
        <v>113</v>
      </c>
      <c r="C649" s="31" t="str">
        <f t="shared" ref="C649:C667" si="33">"34111"</f>
        <v>34111</v>
      </c>
      <c r="D649" s="31" t="s">
        <v>95</v>
      </c>
      <c r="E649" s="34" t="str">
        <f>"1768"</f>
        <v>1768</v>
      </c>
      <c r="F649" s="31" t="s">
        <v>96</v>
      </c>
      <c r="G649" s="1"/>
      <c r="H649" s="11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x14ac:dyDescent="0.25">
      <c r="A650" t="str">
        <f t="shared" si="32"/>
        <v>34801</v>
      </c>
      <c r="B650" s="34">
        <v>113</v>
      </c>
      <c r="C650" s="31" t="str">
        <f t="shared" si="33"/>
        <v>34111</v>
      </c>
      <c r="D650" s="31" t="s">
        <v>95</v>
      </c>
      <c r="E650" s="34" t="str">
        <f>"2487"</f>
        <v>2487</v>
      </c>
      <c r="F650" s="31" t="s">
        <v>178</v>
      </c>
      <c r="G650" s="1"/>
      <c r="H650" s="1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x14ac:dyDescent="0.25">
      <c r="A651" t="str">
        <f t="shared" si="32"/>
        <v>34801</v>
      </c>
      <c r="B651" s="34">
        <v>113</v>
      </c>
      <c r="C651" s="31" t="str">
        <f t="shared" si="33"/>
        <v>34111</v>
      </c>
      <c r="D651" s="31" t="s">
        <v>95</v>
      </c>
      <c r="E651" s="34" t="str">
        <f>"3960"</f>
        <v>3960</v>
      </c>
      <c r="F651" s="31" t="s">
        <v>242</v>
      </c>
      <c r="G651" s="1"/>
      <c r="H651" s="1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x14ac:dyDescent="0.25">
      <c r="A652" t="str">
        <f t="shared" si="32"/>
        <v>34801</v>
      </c>
      <c r="B652" s="34">
        <v>113</v>
      </c>
      <c r="C652" s="31" t="str">
        <f t="shared" si="33"/>
        <v>34111</v>
      </c>
      <c r="D652" s="31" t="s">
        <v>95</v>
      </c>
      <c r="E652" s="34" t="str">
        <f>"4367"</f>
        <v>4367</v>
      </c>
      <c r="F652" s="31" t="s">
        <v>302</v>
      </c>
      <c r="G652" s="1"/>
      <c r="H652" s="1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x14ac:dyDescent="0.25">
      <c r="A653" t="str">
        <f t="shared" si="32"/>
        <v>34801</v>
      </c>
      <c r="B653" s="34">
        <v>113</v>
      </c>
      <c r="C653" s="31" t="str">
        <f t="shared" si="33"/>
        <v>34111</v>
      </c>
      <c r="D653" s="31" t="s">
        <v>95</v>
      </c>
      <c r="E653" s="34" t="str">
        <f>"2448"</f>
        <v>2448</v>
      </c>
      <c r="F653" s="31" t="s">
        <v>685</v>
      </c>
      <c r="G653" s="1"/>
      <c r="H653" s="1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x14ac:dyDescent="0.25">
      <c r="A654" t="str">
        <f t="shared" si="32"/>
        <v>34801</v>
      </c>
      <c r="B654" s="34">
        <v>113</v>
      </c>
      <c r="C654" s="31" t="str">
        <f t="shared" si="33"/>
        <v>34111</v>
      </c>
      <c r="D654" s="31" t="s">
        <v>95</v>
      </c>
      <c r="E654" s="34" t="str">
        <f>"3133"</f>
        <v>3133</v>
      </c>
      <c r="F654" s="31" t="s">
        <v>897</v>
      </c>
      <c r="G654" s="1"/>
      <c r="H654" s="1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x14ac:dyDescent="0.25">
      <c r="A655" t="str">
        <f t="shared" si="32"/>
        <v>34801</v>
      </c>
      <c r="B655" s="34">
        <v>113</v>
      </c>
      <c r="C655" s="31" t="str">
        <f t="shared" si="33"/>
        <v>34111</v>
      </c>
      <c r="D655" s="31" t="s">
        <v>95</v>
      </c>
      <c r="E655" s="34" t="str">
        <f>"4472"</f>
        <v>4472</v>
      </c>
      <c r="F655" s="31" t="s">
        <v>914</v>
      </c>
      <c r="G655" s="1"/>
      <c r="H655" s="1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x14ac:dyDescent="0.25">
      <c r="A656" t="str">
        <f t="shared" si="32"/>
        <v>34801</v>
      </c>
      <c r="B656" s="34">
        <v>113</v>
      </c>
      <c r="C656" s="31" t="str">
        <f t="shared" si="33"/>
        <v>34111</v>
      </c>
      <c r="D656" s="31" t="s">
        <v>95</v>
      </c>
      <c r="E656" s="34" t="str">
        <f>"3540"</f>
        <v>3540</v>
      </c>
      <c r="F656" s="31" t="s">
        <v>1027</v>
      </c>
      <c r="G656" s="1"/>
      <c r="H656" s="1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x14ac:dyDescent="0.25">
      <c r="A657" t="str">
        <f t="shared" si="32"/>
        <v>34801</v>
      </c>
      <c r="B657" s="34">
        <v>113</v>
      </c>
      <c r="C657" s="31" t="str">
        <f t="shared" si="33"/>
        <v>34111</v>
      </c>
      <c r="D657" s="31" t="s">
        <v>95</v>
      </c>
      <c r="E657" s="34" t="str">
        <f>"2342"</f>
        <v>2342</v>
      </c>
      <c r="F657" s="31" t="s">
        <v>1057</v>
      </c>
      <c r="G657" s="1"/>
      <c r="H657" s="1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x14ac:dyDescent="0.25">
      <c r="A658" t="str">
        <f t="shared" si="32"/>
        <v>34801</v>
      </c>
      <c r="B658" s="34">
        <v>113</v>
      </c>
      <c r="C658" s="31" t="str">
        <f t="shared" si="33"/>
        <v>34111</v>
      </c>
      <c r="D658" s="31" t="s">
        <v>95</v>
      </c>
      <c r="E658" s="34" t="str">
        <f>"3066"</f>
        <v>3066</v>
      </c>
      <c r="F658" s="31" t="s">
        <v>1104</v>
      </c>
      <c r="G658" s="1"/>
      <c r="H658" s="1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x14ac:dyDescent="0.25">
      <c r="A659" t="str">
        <f t="shared" si="32"/>
        <v>34801</v>
      </c>
      <c r="B659" s="34">
        <v>113</v>
      </c>
      <c r="C659" s="31" t="str">
        <f t="shared" si="33"/>
        <v>34111</v>
      </c>
      <c r="D659" s="31" t="s">
        <v>95</v>
      </c>
      <c r="E659" s="34" t="str">
        <f>"4458"</f>
        <v>4458</v>
      </c>
      <c r="F659" s="31" t="s">
        <v>1160</v>
      </c>
      <c r="G659" s="1"/>
      <c r="H659" s="1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x14ac:dyDescent="0.25">
      <c r="A660" t="str">
        <f t="shared" si="32"/>
        <v>34801</v>
      </c>
      <c r="B660" s="34">
        <v>113</v>
      </c>
      <c r="C660" s="31" t="str">
        <f t="shared" si="33"/>
        <v>34111</v>
      </c>
      <c r="D660" s="31" t="s">
        <v>95</v>
      </c>
      <c r="E660" s="34" t="str">
        <f>"2621"</f>
        <v>2621</v>
      </c>
      <c r="F660" s="31" t="s">
        <v>1163</v>
      </c>
      <c r="G660" s="1"/>
      <c r="H660" s="1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x14ac:dyDescent="0.25">
      <c r="A661" t="str">
        <f t="shared" si="32"/>
        <v>34801</v>
      </c>
      <c r="B661" s="34">
        <v>113</v>
      </c>
      <c r="C661" s="31" t="str">
        <f t="shared" si="33"/>
        <v>34111</v>
      </c>
      <c r="D661" s="31" t="s">
        <v>95</v>
      </c>
      <c r="E661" s="34" t="str">
        <f>"3132"</f>
        <v>3132</v>
      </c>
      <c r="F661" s="31" t="s">
        <v>1361</v>
      </c>
      <c r="G661" s="1"/>
      <c r="H661" s="1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x14ac:dyDescent="0.25">
      <c r="A662" t="str">
        <f t="shared" si="32"/>
        <v>34801</v>
      </c>
      <c r="B662" s="34">
        <v>113</v>
      </c>
      <c r="C662" s="31" t="str">
        <f t="shared" si="33"/>
        <v>34111</v>
      </c>
      <c r="D662" s="31" t="s">
        <v>95</v>
      </c>
      <c r="E662" s="34" t="str">
        <f>"5078"</f>
        <v>5078</v>
      </c>
      <c r="F662" s="31" t="s">
        <v>1362</v>
      </c>
      <c r="G662" s="1"/>
      <c r="H662" s="1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x14ac:dyDescent="0.25">
      <c r="A663" t="str">
        <f t="shared" si="32"/>
        <v>34801</v>
      </c>
      <c r="B663" s="34">
        <v>113</v>
      </c>
      <c r="C663" s="31" t="str">
        <f t="shared" si="33"/>
        <v>34111</v>
      </c>
      <c r="D663" s="31" t="s">
        <v>95</v>
      </c>
      <c r="E663" s="34" t="str">
        <f>"3697"</f>
        <v>3697</v>
      </c>
      <c r="F663" s="31" t="s">
        <v>1448</v>
      </c>
      <c r="G663" s="1"/>
      <c r="H663" s="11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x14ac:dyDescent="0.25">
      <c r="A664" t="str">
        <f t="shared" si="32"/>
        <v>34801</v>
      </c>
      <c r="B664" s="34">
        <v>113</v>
      </c>
      <c r="C664" s="31" t="str">
        <f t="shared" si="33"/>
        <v>34111</v>
      </c>
      <c r="D664" s="31" t="s">
        <v>95</v>
      </c>
      <c r="E664" s="34" t="str">
        <f>"3696"</f>
        <v>3696</v>
      </c>
      <c r="F664" s="31" t="s">
        <v>1512</v>
      </c>
      <c r="G664" s="1"/>
      <c r="H664" s="1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x14ac:dyDescent="0.25">
      <c r="A665" t="str">
        <f t="shared" si="32"/>
        <v>34801</v>
      </c>
      <c r="B665" s="34">
        <v>113</v>
      </c>
      <c r="C665" s="31" t="str">
        <f t="shared" si="33"/>
        <v>34111</v>
      </c>
      <c r="D665" s="31" t="s">
        <v>95</v>
      </c>
      <c r="E665" s="34" t="str">
        <f>"2778"</f>
        <v>2778</v>
      </c>
      <c r="F665" s="31" t="s">
        <v>1556</v>
      </c>
      <c r="G665" s="1"/>
      <c r="H665" s="1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x14ac:dyDescent="0.25">
      <c r="A666" t="str">
        <f t="shared" si="32"/>
        <v>34801</v>
      </c>
      <c r="B666" s="34">
        <v>113</v>
      </c>
      <c r="C666" s="31" t="str">
        <f t="shared" si="33"/>
        <v>34111</v>
      </c>
      <c r="D666" s="31" t="s">
        <v>95</v>
      </c>
      <c r="E666" s="34" t="str">
        <f>"4473"</f>
        <v>4473</v>
      </c>
      <c r="F666" s="31" t="s">
        <v>1795</v>
      </c>
      <c r="G666" s="1"/>
      <c r="H666" s="1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x14ac:dyDescent="0.25">
      <c r="A667" t="str">
        <f t="shared" si="32"/>
        <v>34801</v>
      </c>
      <c r="B667" s="34">
        <v>113</v>
      </c>
      <c r="C667" s="31" t="str">
        <f t="shared" si="33"/>
        <v>34111</v>
      </c>
      <c r="D667" s="31" t="s">
        <v>95</v>
      </c>
      <c r="E667" s="34" t="str">
        <f>"3711"</f>
        <v>3711</v>
      </c>
      <c r="F667" s="31" t="s">
        <v>1893</v>
      </c>
      <c r="G667" s="1"/>
      <c r="H667" s="1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x14ac:dyDescent="0.25">
      <c r="A668" t="str">
        <f t="shared" si="32"/>
        <v>34801</v>
      </c>
      <c r="B668" s="61">
        <v>113</v>
      </c>
      <c r="C668" s="62" t="str">
        <f>"21300"</f>
        <v>21300</v>
      </c>
      <c r="D668" s="62" t="s">
        <v>1374</v>
      </c>
      <c r="E668" s="61" t="str">
        <f>"3239"</f>
        <v>3239</v>
      </c>
      <c r="F668" s="62" t="s">
        <v>1375</v>
      </c>
      <c r="G668" s="1"/>
      <c r="H668" s="1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x14ac:dyDescent="0.25">
      <c r="A669" t="str">
        <f t="shared" si="32"/>
        <v>34801</v>
      </c>
      <c r="B669" s="61">
        <v>113</v>
      </c>
      <c r="C669" s="62" t="str">
        <f>"21300"</f>
        <v>21300</v>
      </c>
      <c r="D669" s="62" t="s">
        <v>1374</v>
      </c>
      <c r="E669" s="61" t="str">
        <f>"2331"</f>
        <v>2331</v>
      </c>
      <c r="F669" s="62" t="s">
        <v>1376</v>
      </c>
      <c r="G669" s="1"/>
      <c r="H669" s="1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x14ac:dyDescent="0.25">
      <c r="A670" t="str">
        <f t="shared" si="32"/>
        <v>34801</v>
      </c>
      <c r="B670" s="61">
        <v>113</v>
      </c>
      <c r="C670" s="62" t="str">
        <f>"21300"</f>
        <v>21300</v>
      </c>
      <c r="D670" s="62" t="s">
        <v>1374</v>
      </c>
      <c r="E670" s="61" t="str">
        <f>"4335"</f>
        <v>4335</v>
      </c>
      <c r="F670" s="62" t="s">
        <v>1377</v>
      </c>
      <c r="G670" s="1"/>
      <c r="H670" s="1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x14ac:dyDescent="0.25">
      <c r="A671" t="str">
        <f t="shared" si="32"/>
        <v>34801</v>
      </c>
      <c r="B671" s="34">
        <v>113</v>
      </c>
      <c r="C671" s="35">
        <v>21301</v>
      </c>
      <c r="D671" s="2" t="s">
        <v>2228</v>
      </c>
      <c r="E671" s="36">
        <v>2858</v>
      </c>
      <c r="F671" s="2" t="s">
        <v>2229</v>
      </c>
      <c r="G671" s="1"/>
      <c r="H671" s="1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x14ac:dyDescent="0.25">
      <c r="A672" t="str">
        <f t="shared" si="32"/>
        <v>34801</v>
      </c>
      <c r="B672" s="33">
        <v>113</v>
      </c>
      <c r="C672" s="35">
        <v>23402</v>
      </c>
      <c r="D672" t="s">
        <v>1449</v>
      </c>
      <c r="E672" s="36">
        <v>4463</v>
      </c>
      <c r="F672" t="s">
        <v>1448</v>
      </c>
      <c r="G672" s="1"/>
      <c r="H672" s="1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x14ac:dyDescent="0.25">
      <c r="A673" t="str">
        <f t="shared" si="32"/>
        <v>34801</v>
      </c>
      <c r="B673" s="33">
        <v>113</v>
      </c>
      <c r="C673" s="35">
        <v>23402</v>
      </c>
      <c r="D673" t="s">
        <v>1449</v>
      </c>
      <c r="E673" s="36">
        <v>2865</v>
      </c>
      <c r="F673" t="s">
        <v>1451</v>
      </c>
      <c r="G673" s="1"/>
      <c r="H673" s="1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x14ac:dyDescent="0.25">
      <c r="A674" t="str">
        <f t="shared" si="32"/>
        <v>34801</v>
      </c>
      <c r="B674" s="34">
        <v>113</v>
      </c>
      <c r="C674" s="31" t="str">
        <f>"34307"</f>
        <v>34307</v>
      </c>
      <c r="D674" s="31" t="s">
        <v>1494</v>
      </c>
      <c r="E674" s="34" t="str">
        <f>"4486"</f>
        <v>4486</v>
      </c>
      <c r="F674" s="31" t="s">
        <v>1495</v>
      </c>
      <c r="G674" s="1"/>
      <c r="H674" s="1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x14ac:dyDescent="0.25">
      <c r="A675" t="str">
        <f t="shared" si="32"/>
        <v>34801</v>
      </c>
      <c r="B675" s="34">
        <v>113</v>
      </c>
      <c r="C675" s="31" t="str">
        <f>"34307"</f>
        <v>34307</v>
      </c>
      <c r="D675" s="31" t="s">
        <v>1494</v>
      </c>
      <c r="E675" s="34" t="str">
        <f>"2158"</f>
        <v>2158</v>
      </c>
      <c r="F675" s="31" t="s">
        <v>1496</v>
      </c>
      <c r="G675" s="1"/>
      <c r="H675" s="1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x14ac:dyDescent="0.25">
      <c r="A676" t="str">
        <f t="shared" si="32"/>
        <v>34801</v>
      </c>
      <c r="B676" s="34">
        <v>113</v>
      </c>
      <c r="C676" s="31" t="str">
        <f>"34307"</f>
        <v>34307</v>
      </c>
      <c r="D676" s="31" t="s">
        <v>1494</v>
      </c>
      <c r="E676" s="34" t="str">
        <f>"2468"</f>
        <v>2468</v>
      </c>
      <c r="F676" s="31" t="s">
        <v>1497</v>
      </c>
      <c r="G676" s="1"/>
      <c r="H676" s="1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x14ac:dyDescent="0.25">
      <c r="A677" t="str">
        <f t="shared" si="32"/>
        <v>34801</v>
      </c>
      <c r="B677" s="33">
        <v>113</v>
      </c>
      <c r="C677" s="35">
        <v>25116</v>
      </c>
      <c r="D677" t="s">
        <v>1500</v>
      </c>
      <c r="E677" s="36">
        <v>2803</v>
      </c>
      <c r="F677" t="s">
        <v>1501</v>
      </c>
      <c r="G677" s="1"/>
      <c r="H677" s="1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x14ac:dyDescent="0.25">
      <c r="A678" t="str">
        <f t="shared" si="32"/>
        <v>34801</v>
      </c>
      <c r="B678" s="33">
        <v>113</v>
      </c>
      <c r="C678" s="35">
        <v>25116</v>
      </c>
      <c r="D678" t="s">
        <v>1500</v>
      </c>
      <c r="E678" s="36">
        <v>2357</v>
      </c>
      <c r="F678" t="s">
        <v>1502</v>
      </c>
      <c r="G678" s="1"/>
      <c r="H678" s="1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x14ac:dyDescent="0.25">
      <c r="A679" t="str">
        <f t="shared" si="32"/>
        <v>34801</v>
      </c>
      <c r="B679" s="33">
        <v>113</v>
      </c>
      <c r="C679" s="35">
        <v>34401</v>
      </c>
      <c r="D679" t="s">
        <v>728</v>
      </c>
      <c r="E679" s="36">
        <v>3801</v>
      </c>
      <c r="F679" t="s">
        <v>729</v>
      </c>
      <c r="G679" s="1"/>
      <c r="H679" s="1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x14ac:dyDescent="0.25">
      <c r="A680" t="str">
        <f t="shared" si="32"/>
        <v>34801</v>
      </c>
      <c r="B680" s="33">
        <v>113</v>
      </c>
      <c r="C680" s="35">
        <v>34401</v>
      </c>
      <c r="D680" t="s">
        <v>728</v>
      </c>
      <c r="E680" s="36">
        <v>1735</v>
      </c>
      <c r="F680" t="s">
        <v>760</v>
      </c>
      <c r="G680" s="1"/>
      <c r="H680" s="1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x14ac:dyDescent="0.25">
      <c r="A681" t="str">
        <f t="shared" si="32"/>
        <v>34801</v>
      </c>
      <c r="B681" s="33">
        <v>113</v>
      </c>
      <c r="C681" s="35">
        <v>34401</v>
      </c>
      <c r="D681" t="s">
        <v>728</v>
      </c>
      <c r="E681" s="36">
        <v>4326</v>
      </c>
      <c r="F681" t="s">
        <v>1547</v>
      </c>
      <c r="G681" s="1"/>
      <c r="H681" s="1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x14ac:dyDescent="0.25">
      <c r="A682" t="str">
        <f t="shared" si="32"/>
        <v>34801</v>
      </c>
      <c r="B682" s="33">
        <v>113</v>
      </c>
      <c r="C682" s="35">
        <v>34401</v>
      </c>
      <c r="D682" t="s">
        <v>728</v>
      </c>
      <c r="E682" s="36">
        <v>3067</v>
      </c>
      <c r="F682" t="s">
        <v>1548</v>
      </c>
      <c r="G682" s="1"/>
      <c r="H682" s="1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x14ac:dyDescent="0.25">
      <c r="A683" t="str">
        <f t="shared" si="32"/>
        <v>34801</v>
      </c>
      <c r="B683" s="33">
        <v>113</v>
      </c>
      <c r="C683" s="35">
        <v>34401</v>
      </c>
      <c r="D683" t="s">
        <v>728</v>
      </c>
      <c r="E683" s="36">
        <v>2527</v>
      </c>
      <c r="F683" t="s">
        <v>1549</v>
      </c>
      <c r="G683" s="1"/>
      <c r="H683" s="1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x14ac:dyDescent="0.25">
      <c r="A684" t="str">
        <f t="shared" si="32"/>
        <v>34801</v>
      </c>
      <c r="B684" s="33">
        <v>113</v>
      </c>
      <c r="C684" s="35">
        <v>14104</v>
      </c>
      <c r="D684" t="s">
        <v>2230</v>
      </c>
      <c r="E684" s="36">
        <v>2010</v>
      </c>
      <c r="F684" t="s">
        <v>2231</v>
      </c>
      <c r="G684" s="1"/>
      <c r="H684" s="1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x14ac:dyDescent="0.25">
      <c r="A685" t="str">
        <f t="shared" si="32"/>
        <v>34801</v>
      </c>
      <c r="B685" s="34">
        <v>113</v>
      </c>
      <c r="C685" s="34" t="str">
        <f t="shared" ref="C685:C692" si="34">"23309"</f>
        <v>23309</v>
      </c>
      <c r="D685" s="2" t="s">
        <v>176</v>
      </c>
      <c r="E685" s="34" t="str">
        <f>"3291"</f>
        <v>3291</v>
      </c>
      <c r="F685" s="2" t="s">
        <v>177</v>
      </c>
      <c r="G685" s="1"/>
      <c r="H685" s="1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x14ac:dyDescent="0.25">
      <c r="A686" t="str">
        <f t="shared" si="32"/>
        <v>34801</v>
      </c>
      <c r="B686" s="34">
        <v>113</v>
      </c>
      <c r="C686" s="34" t="str">
        <f t="shared" si="34"/>
        <v>23309</v>
      </c>
      <c r="D686" s="2" t="s">
        <v>176</v>
      </c>
      <c r="E686" s="33" t="str">
        <f>"5621"</f>
        <v>5621</v>
      </c>
      <c r="F686" t="s">
        <v>2232</v>
      </c>
      <c r="G686" s="1"/>
      <c r="H686" s="1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x14ac:dyDescent="0.25">
      <c r="A687" t="str">
        <f t="shared" si="32"/>
        <v>34801</v>
      </c>
      <c r="B687" s="34">
        <v>113</v>
      </c>
      <c r="C687" s="34" t="str">
        <f t="shared" si="34"/>
        <v>23309</v>
      </c>
      <c r="D687" s="2" t="s">
        <v>176</v>
      </c>
      <c r="E687" s="34" t="str">
        <f>"4288"</f>
        <v>4288</v>
      </c>
      <c r="F687" s="2" t="s">
        <v>365</v>
      </c>
      <c r="G687" s="1"/>
      <c r="H687" s="1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x14ac:dyDescent="0.25">
      <c r="A688" t="str">
        <f t="shared" si="32"/>
        <v>34801</v>
      </c>
      <c r="B688" s="34">
        <v>113</v>
      </c>
      <c r="C688" s="34" t="str">
        <f t="shared" si="34"/>
        <v>23309</v>
      </c>
      <c r="D688" s="2" t="s">
        <v>176</v>
      </c>
      <c r="E688" s="34" t="str">
        <f>"2745"</f>
        <v>2745</v>
      </c>
      <c r="F688" s="2" t="s">
        <v>600</v>
      </c>
      <c r="G688" s="1"/>
      <c r="H688" s="1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x14ac:dyDescent="0.25">
      <c r="A689" t="str">
        <f t="shared" si="32"/>
        <v>34801</v>
      </c>
      <c r="B689" s="34">
        <v>113</v>
      </c>
      <c r="C689" s="34" t="str">
        <f t="shared" si="34"/>
        <v>23309</v>
      </c>
      <c r="D689" s="2" t="s">
        <v>176</v>
      </c>
      <c r="E689" s="34" t="str">
        <f>"3292"</f>
        <v>3292</v>
      </c>
      <c r="F689" s="2" t="s">
        <v>1247</v>
      </c>
      <c r="G689" s="1"/>
      <c r="H689" s="1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x14ac:dyDescent="0.25">
      <c r="A690" t="str">
        <f t="shared" si="32"/>
        <v>34801</v>
      </c>
      <c r="B690" s="34">
        <v>113</v>
      </c>
      <c r="C690" s="34" t="str">
        <f t="shared" si="34"/>
        <v>23309</v>
      </c>
      <c r="D690" s="2" t="s">
        <v>176</v>
      </c>
      <c r="E690" s="34" t="str">
        <f>"4363"</f>
        <v>4363</v>
      </c>
      <c r="F690" s="2" t="s">
        <v>1340</v>
      </c>
      <c r="G690" s="1"/>
      <c r="H690" s="1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x14ac:dyDescent="0.25">
      <c r="A691" t="str">
        <f t="shared" si="32"/>
        <v>34801</v>
      </c>
      <c r="B691" s="34">
        <v>113</v>
      </c>
      <c r="C691" s="34" t="str">
        <f t="shared" si="34"/>
        <v>23309</v>
      </c>
      <c r="D691" s="2" t="s">
        <v>176</v>
      </c>
      <c r="E691" s="34" t="str">
        <f>"4586"</f>
        <v>4586</v>
      </c>
      <c r="F691" s="2" t="s">
        <v>1366</v>
      </c>
      <c r="G691" s="1"/>
      <c r="H691" s="1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x14ac:dyDescent="0.25">
      <c r="A692" t="str">
        <f t="shared" ref="A692:A736" si="35">"34801"</f>
        <v>34801</v>
      </c>
      <c r="B692" s="34">
        <v>113</v>
      </c>
      <c r="C692" s="34" t="str">
        <f t="shared" si="34"/>
        <v>23309</v>
      </c>
      <c r="D692" s="2" t="s">
        <v>176</v>
      </c>
      <c r="E692" s="34" t="str">
        <f>"3241"</f>
        <v>3241</v>
      </c>
      <c r="F692" s="2" t="s">
        <v>1633</v>
      </c>
      <c r="G692" s="1"/>
      <c r="H692" s="1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x14ac:dyDescent="0.25">
      <c r="A693" t="str">
        <f t="shared" si="35"/>
        <v>34801</v>
      </c>
      <c r="B693" s="33">
        <v>113</v>
      </c>
      <c r="C693" s="35">
        <v>25118</v>
      </c>
      <c r="D693" t="s">
        <v>332</v>
      </c>
      <c r="E693" s="36">
        <v>2804</v>
      </c>
      <c r="F693" t="s">
        <v>2233</v>
      </c>
      <c r="G693" s="1"/>
      <c r="H693" s="1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x14ac:dyDescent="0.25">
      <c r="A694" t="str">
        <f t="shared" si="35"/>
        <v>34801</v>
      </c>
      <c r="B694" s="33">
        <v>113</v>
      </c>
      <c r="C694" s="35">
        <v>25118</v>
      </c>
      <c r="D694" t="s">
        <v>332</v>
      </c>
      <c r="E694" s="36">
        <v>2214</v>
      </c>
      <c r="F694" t="s">
        <v>1683</v>
      </c>
      <c r="G694" s="1"/>
      <c r="H694" s="1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x14ac:dyDescent="0.25">
      <c r="A695" t="str">
        <f t="shared" si="35"/>
        <v>34801</v>
      </c>
      <c r="B695" s="33">
        <v>113</v>
      </c>
      <c r="C695" s="35">
        <v>23042</v>
      </c>
      <c r="D695" t="s">
        <v>2234</v>
      </c>
      <c r="E695" s="36">
        <v>2744</v>
      </c>
      <c r="F695" t="s">
        <v>2235</v>
      </c>
      <c r="G695" s="1"/>
      <c r="H695" s="1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x14ac:dyDescent="0.25">
      <c r="A696" t="str">
        <f t="shared" si="35"/>
        <v>34801</v>
      </c>
      <c r="B696" s="33">
        <v>113</v>
      </c>
      <c r="C696" s="35">
        <v>14077</v>
      </c>
      <c r="D696" t="s">
        <v>1768</v>
      </c>
      <c r="E696" s="36">
        <v>5032</v>
      </c>
      <c r="F696" t="s">
        <v>2236</v>
      </c>
      <c r="G696" s="1"/>
      <c r="H696" s="1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x14ac:dyDescent="0.25">
      <c r="A697" t="str">
        <f t="shared" si="35"/>
        <v>34801</v>
      </c>
      <c r="B697" s="34">
        <v>113</v>
      </c>
      <c r="C697" s="35">
        <v>34402</v>
      </c>
      <c r="D697" s="31" t="s">
        <v>1419</v>
      </c>
      <c r="E697" s="36">
        <v>2457</v>
      </c>
      <c r="F697" s="31" t="s">
        <v>1420</v>
      </c>
      <c r="G697" s="1"/>
      <c r="H697" s="1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x14ac:dyDescent="0.25">
      <c r="A698" t="str">
        <f t="shared" si="35"/>
        <v>34801</v>
      </c>
      <c r="B698" s="34">
        <v>113</v>
      </c>
      <c r="C698" s="35">
        <v>34402</v>
      </c>
      <c r="D698" s="31" t="s">
        <v>1419</v>
      </c>
      <c r="E698" s="36">
        <v>4238</v>
      </c>
      <c r="F698" s="31" t="s">
        <v>1778</v>
      </c>
      <c r="G698" s="1"/>
      <c r="H698" s="1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x14ac:dyDescent="0.25">
      <c r="A699" t="str">
        <f t="shared" si="35"/>
        <v>34801</v>
      </c>
      <c r="B699" s="34">
        <v>113</v>
      </c>
      <c r="C699" s="35">
        <v>34402</v>
      </c>
      <c r="D699" s="31" t="s">
        <v>1419</v>
      </c>
      <c r="E699" s="36">
        <v>3509</v>
      </c>
      <c r="F699" s="31" t="s">
        <v>1779</v>
      </c>
      <c r="G699" s="1"/>
      <c r="H699" s="1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x14ac:dyDescent="0.25">
      <c r="A700" t="str">
        <f t="shared" si="35"/>
        <v>34801</v>
      </c>
      <c r="B700" s="34">
        <v>113</v>
      </c>
      <c r="C700" s="35">
        <v>34402</v>
      </c>
      <c r="D700" s="31" t="s">
        <v>1419</v>
      </c>
      <c r="E700" s="36">
        <v>3795</v>
      </c>
      <c r="F700" s="31" t="s">
        <v>1780</v>
      </c>
      <c r="G700" s="1"/>
      <c r="H700" s="1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x14ac:dyDescent="0.25">
      <c r="A701" t="str">
        <f t="shared" si="35"/>
        <v>34801</v>
      </c>
      <c r="B701" s="33">
        <v>113</v>
      </c>
      <c r="C701" s="35">
        <v>21237</v>
      </c>
      <c r="D701" t="s">
        <v>443</v>
      </c>
      <c r="E701" s="36">
        <v>5190</v>
      </c>
      <c r="F701" t="s">
        <v>444</v>
      </c>
      <c r="G701" s="1"/>
      <c r="H701" s="1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x14ac:dyDescent="0.25">
      <c r="A702" t="str">
        <f t="shared" si="35"/>
        <v>34801</v>
      </c>
      <c r="B702" s="33">
        <v>113</v>
      </c>
      <c r="C702" s="35">
        <v>21237</v>
      </c>
      <c r="D702" t="s">
        <v>443</v>
      </c>
      <c r="E702" s="36">
        <v>2998</v>
      </c>
      <c r="F702" t="s">
        <v>1804</v>
      </c>
      <c r="G702" s="1"/>
      <c r="H702" s="1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x14ac:dyDescent="0.25">
      <c r="A703" t="str">
        <f t="shared" si="35"/>
        <v>34801</v>
      </c>
      <c r="B703" s="33">
        <v>113</v>
      </c>
      <c r="C703" s="35">
        <v>21237</v>
      </c>
      <c r="D703" t="s">
        <v>443</v>
      </c>
      <c r="E703" s="36">
        <v>2616</v>
      </c>
      <c r="F703" t="s">
        <v>1805</v>
      </c>
      <c r="G703" s="1"/>
      <c r="H703" s="1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x14ac:dyDescent="0.25">
      <c r="A704" t="str">
        <f t="shared" si="35"/>
        <v>34801</v>
      </c>
      <c r="B704" s="33">
        <v>113</v>
      </c>
      <c r="C704" s="35">
        <v>21237</v>
      </c>
      <c r="D704" t="s">
        <v>443</v>
      </c>
      <c r="E704" s="36">
        <v>3977</v>
      </c>
      <c r="F704" t="s">
        <v>1806</v>
      </c>
      <c r="G704" s="1"/>
      <c r="H704" s="1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x14ac:dyDescent="0.25">
      <c r="A705" t="str">
        <f t="shared" si="35"/>
        <v>34801</v>
      </c>
      <c r="B705" s="33">
        <v>113</v>
      </c>
      <c r="C705" s="35">
        <v>34033</v>
      </c>
      <c r="D705" s="44" t="s">
        <v>7</v>
      </c>
      <c r="E705" s="36">
        <v>4500</v>
      </c>
      <c r="F705" s="44" t="s">
        <v>8</v>
      </c>
      <c r="G705" s="1"/>
      <c r="H705" s="1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x14ac:dyDescent="0.25">
      <c r="A706" t="str">
        <f t="shared" si="35"/>
        <v>34801</v>
      </c>
      <c r="B706" s="33">
        <v>113</v>
      </c>
      <c r="C706" s="35">
        <v>34033</v>
      </c>
      <c r="D706" s="44" t="s">
        <v>7</v>
      </c>
      <c r="E706" s="36">
        <v>4205</v>
      </c>
      <c r="F706" s="44" t="s">
        <v>162</v>
      </c>
      <c r="G706" s="1"/>
      <c r="H706" s="1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x14ac:dyDescent="0.25">
      <c r="A707" t="str">
        <f t="shared" si="35"/>
        <v>34801</v>
      </c>
      <c r="B707" s="33">
        <v>113</v>
      </c>
      <c r="C707" s="35">
        <v>34033</v>
      </c>
      <c r="D707" s="44" t="s">
        <v>7</v>
      </c>
      <c r="E707" s="33" t="str">
        <f>"1713"</f>
        <v>1713</v>
      </c>
      <c r="F707" t="s">
        <v>2237</v>
      </c>
      <c r="G707" s="1"/>
      <c r="H707" s="1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x14ac:dyDescent="0.25">
      <c r="A708" t="str">
        <f t="shared" si="35"/>
        <v>34801</v>
      </c>
      <c r="B708" s="33">
        <v>113</v>
      </c>
      <c r="C708" s="35">
        <v>34033</v>
      </c>
      <c r="D708" s="44" t="s">
        <v>7</v>
      </c>
      <c r="E708" s="36">
        <v>4365</v>
      </c>
      <c r="F708" s="44" t="s">
        <v>530</v>
      </c>
      <c r="G708" s="1"/>
      <c r="H708" s="1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x14ac:dyDescent="0.25">
      <c r="A709" t="str">
        <f t="shared" si="35"/>
        <v>34801</v>
      </c>
      <c r="B709" s="33">
        <v>113</v>
      </c>
      <c r="C709" s="35">
        <v>34033</v>
      </c>
      <c r="D709" s="44" t="s">
        <v>7</v>
      </c>
      <c r="E709" s="36">
        <v>4452</v>
      </c>
      <c r="F709" s="44" t="s">
        <v>701</v>
      </c>
      <c r="G709" s="1"/>
      <c r="H709" s="1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x14ac:dyDescent="0.25">
      <c r="A710" t="str">
        <f t="shared" si="35"/>
        <v>34801</v>
      </c>
      <c r="B710" s="33">
        <v>113</v>
      </c>
      <c r="C710" s="35">
        <v>34033</v>
      </c>
      <c r="D710" s="44" t="s">
        <v>7</v>
      </c>
      <c r="E710" s="36">
        <v>2816</v>
      </c>
      <c r="F710" s="44" t="s">
        <v>1070</v>
      </c>
      <c r="G710" s="1"/>
      <c r="H710" s="1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x14ac:dyDescent="0.25">
      <c r="A711" t="str">
        <f t="shared" si="35"/>
        <v>34801</v>
      </c>
      <c r="B711" s="33">
        <v>113</v>
      </c>
      <c r="C711" s="35">
        <v>34033</v>
      </c>
      <c r="D711" s="44" t="s">
        <v>7</v>
      </c>
      <c r="E711" s="36">
        <v>2552</v>
      </c>
      <c r="F711" s="44" t="s">
        <v>1196</v>
      </c>
      <c r="G711" s="1"/>
      <c r="H711" s="1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x14ac:dyDescent="0.25">
      <c r="A712" t="str">
        <f t="shared" si="35"/>
        <v>34801</v>
      </c>
      <c r="B712" s="33">
        <v>113</v>
      </c>
      <c r="C712" s="35">
        <v>34033</v>
      </c>
      <c r="D712" s="44" t="s">
        <v>7</v>
      </c>
      <c r="E712" s="36">
        <v>4225</v>
      </c>
      <c r="F712" s="44" t="s">
        <v>2076</v>
      </c>
      <c r="G712" s="1"/>
      <c r="H712" s="1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x14ac:dyDescent="0.25">
      <c r="A713" t="str">
        <f t="shared" si="35"/>
        <v>34801</v>
      </c>
      <c r="B713" s="33">
        <v>113</v>
      </c>
      <c r="C713" s="35">
        <v>34033</v>
      </c>
      <c r="D713" s="44" t="s">
        <v>7</v>
      </c>
      <c r="E713" s="36">
        <v>3199</v>
      </c>
      <c r="F713" s="44" t="s">
        <v>1436</v>
      </c>
      <c r="G713" s="1"/>
      <c r="H713" s="1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x14ac:dyDescent="0.25">
      <c r="A714" t="str">
        <f t="shared" si="35"/>
        <v>34801</v>
      </c>
      <c r="B714" s="33">
        <v>113</v>
      </c>
      <c r="C714" s="35">
        <v>34033</v>
      </c>
      <c r="D714" s="44" t="s">
        <v>7</v>
      </c>
      <c r="E714" s="36">
        <v>3362</v>
      </c>
      <c r="F714" s="44" t="s">
        <v>1826</v>
      </c>
      <c r="G714" s="1"/>
      <c r="H714" s="1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x14ac:dyDescent="0.25">
      <c r="A715" t="str">
        <f t="shared" si="35"/>
        <v>34801</v>
      </c>
      <c r="B715" s="33">
        <v>113</v>
      </c>
      <c r="C715" s="35">
        <v>34033</v>
      </c>
      <c r="D715" s="44" t="s">
        <v>7</v>
      </c>
      <c r="E715" s="36">
        <v>4373</v>
      </c>
      <c r="F715" s="44" t="s">
        <v>1827</v>
      </c>
      <c r="G715" s="1"/>
      <c r="H715" s="1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x14ac:dyDescent="0.25">
      <c r="A716" t="str">
        <f t="shared" si="35"/>
        <v>34801</v>
      </c>
      <c r="B716" s="33">
        <v>113</v>
      </c>
      <c r="C716" s="35">
        <v>34033</v>
      </c>
      <c r="D716" s="44" t="s">
        <v>7</v>
      </c>
      <c r="E716" s="36">
        <v>3612</v>
      </c>
      <c r="F716" s="44" t="s">
        <v>1828</v>
      </c>
      <c r="G716" s="1"/>
      <c r="H716" s="1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x14ac:dyDescent="0.25">
      <c r="A717" t="str">
        <f t="shared" si="35"/>
        <v>34801</v>
      </c>
      <c r="B717" s="34">
        <v>113</v>
      </c>
      <c r="C717" s="35">
        <v>34901</v>
      </c>
      <c r="D717" s="2" t="s">
        <v>2238</v>
      </c>
      <c r="E717" s="36">
        <v>5496</v>
      </c>
      <c r="F717" s="2" t="s">
        <v>2238</v>
      </c>
      <c r="G717" s="1"/>
      <c r="H717" s="1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x14ac:dyDescent="0.25">
      <c r="A718" t="str">
        <f t="shared" si="35"/>
        <v>34801</v>
      </c>
      <c r="B718" s="33">
        <v>113</v>
      </c>
      <c r="C718" s="35">
        <v>21303</v>
      </c>
      <c r="D718" t="s">
        <v>1929</v>
      </c>
      <c r="E718" s="36">
        <v>3555</v>
      </c>
      <c r="F718" t="s">
        <v>1930</v>
      </c>
      <c r="G718" s="1"/>
      <c r="H718" s="1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x14ac:dyDescent="0.25">
      <c r="A719" t="str">
        <f t="shared" si="35"/>
        <v>34801</v>
      </c>
      <c r="B719" s="33">
        <v>113</v>
      </c>
      <c r="C719" s="35">
        <v>21303</v>
      </c>
      <c r="D719" t="s">
        <v>1929</v>
      </c>
      <c r="E719" s="36">
        <v>2859</v>
      </c>
      <c r="F719" t="s">
        <v>1931</v>
      </c>
      <c r="G719" s="1"/>
      <c r="H719" s="1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x14ac:dyDescent="0.25">
      <c r="A720" t="str">
        <f t="shared" si="35"/>
        <v>34801</v>
      </c>
      <c r="B720" s="33">
        <v>113</v>
      </c>
      <c r="C720" s="35">
        <v>25160</v>
      </c>
      <c r="D720" t="s">
        <v>1947</v>
      </c>
      <c r="E720" s="36">
        <v>3444</v>
      </c>
      <c r="F720" t="s">
        <v>1948</v>
      </c>
      <c r="G720" s="1"/>
      <c r="H720" s="1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x14ac:dyDescent="0.25">
      <c r="A721" t="str">
        <f t="shared" si="35"/>
        <v>34801</v>
      </c>
      <c r="B721" s="33">
        <v>113</v>
      </c>
      <c r="C721" s="35">
        <v>25160</v>
      </c>
      <c r="D721" t="s">
        <v>1947</v>
      </c>
      <c r="E721" s="36">
        <v>2542</v>
      </c>
      <c r="F721" t="s">
        <v>1949</v>
      </c>
      <c r="G721" s="1"/>
      <c r="H721" s="1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x14ac:dyDescent="0.25">
      <c r="A722" t="str">
        <f t="shared" si="35"/>
        <v>34801</v>
      </c>
      <c r="B722" s="33">
        <v>113</v>
      </c>
      <c r="C722" s="35">
        <v>21232</v>
      </c>
      <c r="D722" t="s">
        <v>1961</v>
      </c>
      <c r="E722" s="36">
        <v>4369</v>
      </c>
      <c r="F722" t="s">
        <v>1962</v>
      </c>
      <c r="G722" s="1"/>
      <c r="H722" s="1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x14ac:dyDescent="0.25">
      <c r="A723" t="str">
        <f t="shared" si="35"/>
        <v>34801</v>
      </c>
      <c r="B723" s="33">
        <v>113</v>
      </c>
      <c r="C723" s="35">
        <v>21232</v>
      </c>
      <c r="D723" t="s">
        <v>1961</v>
      </c>
      <c r="E723" s="36">
        <v>2290</v>
      </c>
      <c r="F723" t="s">
        <v>1963</v>
      </c>
      <c r="G723" s="1"/>
      <c r="H723" s="1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x14ac:dyDescent="0.25">
      <c r="A724" t="str">
        <f t="shared" si="35"/>
        <v>34801</v>
      </c>
      <c r="B724" s="33">
        <v>113</v>
      </c>
      <c r="C724" s="35">
        <v>21232</v>
      </c>
      <c r="D724" t="s">
        <v>1961</v>
      </c>
      <c r="E724" s="36">
        <v>3597</v>
      </c>
      <c r="F724" t="s">
        <v>1964</v>
      </c>
      <c r="G724" s="1"/>
      <c r="H724" s="1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x14ac:dyDescent="0.25">
      <c r="A725" t="str">
        <f t="shared" si="35"/>
        <v>34801</v>
      </c>
      <c r="B725" s="33">
        <v>113</v>
      </c>
      <c r="C725" s="35">
        <v>21232</v>
      </c>
      <c r="D725" t="s">
        <v>1961</v>
      </c>
      <c r="E725" s="36">
        <v>1829</v>
      </c>
      <c r="F725" t="s">
        <v>2011</v>
      </c>
      <c r="G725" s="1"/>
      <c r="H725" s="1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x14ac:dyDescent="0.25">
      <c r="A726" t="str">
        <f t="shared" si="35"/>
        <v>34801</v>
      </c>
      <c r="B726" s="33">
        <v>113</v>
      </c>
      <c r="C726" s="35">
        <v>14117</v>
      </c>
      <c r="D726" t="s">
        <v>2239</v>
      </c>
      <c r="E726" s="36">
        <v>3375</v>
      </c>
      <c r="F726" t="s">
        <v>2240</v>
      </c>
      <c r="G726" s="1"/>
      <c r="H726" s="1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x14ac:dyDescent="0.25">
      <c r="A727" t="str">
        <f t="shared" si="35"/>
        <v>34801</v>
      </c>
      <c r="B727" s="34">
        <v>113</v>
      </c>
      <c r="C727" s="31" t="str">
        <f t="shared" ref="C727:C736" si="36">"34002"</f>
        <v>34002</v>
      </c>
      <c r="D727" s="31" t="s">
        <v>651</v>
      </c>
      <c r="E727" s="34" t="str">
        <f>"4346"</f>
        <v>4346</v>
      </c>
      <c r="F727" s="31" t="s">
        <v>652</v>
      </c>
      <c r="G727" s="1"/>
      <c r="H727" s="1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x14ac:dyDescent="0.25">
      <c r="A728" t="str">
        <f t="shared" si="35"/>
        <v>34801</v>
      </c>
      <c r="B728" s="34">
        <v>113</v>
      </c>
      <c r="C728" s="31" t="str">
        <f t="shared" si="36"/>
        <v>34002</v>
      </c>
      <c r="D728" s="31" t="s">
        <v>651</v>
      </c>
      <c r="E728" s="34" t="str">
        <f>"5018"</f>
        <v>5018</v>
      </c>
      <c r="F728" s="31" t="s">
        <v>981</v>
      </c>
      <c r="G728" s="1"/>
      <c r="H728" s="1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x14ac:dyDescent="0.25">
      <c r="A729" t="str">
        <f t="shared" si="35"/>
        <v>34801</v>
      </c>
      <c r="B729" s="34">
        <v>113</v>
      </c>
      <c r="C729" s="31" t="str">
        <f t="shared" si="36"/>
        <v>34002</v>
      </c>
      <c r="D729" s="31" t="s">
        <v>651</v>
      </c>
      <c r="E729" s="34" t="str">
        <f>"2260"</f>
        <v>2260</v>
      </c>
      <c r="F729" s="31" t="s">
        <v>1159</v>
      </c>
      <c r="G729" s="1"/>
      <c r="H729" s="1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x14ac:dyDescent="0.25">
      <c r="A730" t="str">
        <f t="shared" si="35"/>
        <v>34801</v>
      </c>
      <c r="B730" s="34">
        <v>113</v>
      </c>
      <c r="C730" s="31" t="str">
        <f t="shared" si="36"/>
        <v>34002</v>
      </c>
      <c r="D730" s="31" t="s">
        <v>651</v>
      </c>
      <c r="E730" s="34" t="str">
        <f>"4451"</f>
        <v>4451</v>
      </c>
      <c r="F730" s="31" t="s">
        <v>1205</v>
      </c>
      <c r="G730" s="1"/>
      <c r="H730" s="1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x14ac:dyDescent="0.25">
      <c r="A731" t="str">
        <f t="shared" si="35"/>
        <v>34801</v>
      </c>
      <c r="B731" s="34">
        <v>113</v>
      </c>
      <c r="C731" s="31" t="str">
        <f t="shared" si="36"/>
        <v>34002</v>
      </c>
      <c r="D731" s="31" t="s">
        <v>651</v>
      </c>
      <c r="E731" s="34" t="str">
        <f>"5052"</f>
        <v>5052</v>
      </c>
      <c r="F731" s="31" t="s">
        <v>1527</v>
      </c>
      <c r="G731" s="1"/>
      <c r="H731" s="1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x14ac:dyDescent="0.25">
      <c r="A732" t="str">
        <f t="shared" si="35"/>
        <v>34801</v>
      </c>
      <c r="B732" s="34">
        <v>113</v>
      </c>
      <c r="C732" s="31" t="str">
        <f t="shared" si="36"/>
        <v>34002</v>
      </c>
      <c r="D732" s="31" t="s">
        <v>651</v>
      </c>
      <c r="E732" s="34" t="str">
        <f>"3848"</f>
        <v>3848</v>
      </c>
      <c r="F732" s="31" t="s">
        <v>1698</v>
      </c>
      <c r="G732" s="1"/>
      <c r="H732" s="1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x14ac:dyDescent="0.25">
      <c r="A733" t="str">
        <f t="shared" si="35"/>
        <v>34801</v>
      </c>
      <c r="B733" s="34">
        <v>113</v>
      </c>
      <c r="C733" s="31" t="str">
        <f t="shared" si="36"/>
        <v>34002</v>
      </c>
      <c r="D733" s="31" t="s">
        <v>651</v>
      </c>
      <c r="E733" s="34" t="str">
        <f>"1627"</f>
        <v>1627</v>
      </c>
      <c r="F733" s="31" t="s">
        <v>1981</v>
      </c>
      <c r="G733" s="1"/>
      <c r="H733" s="1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x14ac:dyDescent="0.25">
      <c r="A734" t="str">
        <f t="shared" si="35"/>
        <v>34801</v>
      </c>
      <c r="B734" s="34">
        <v>113</v>
      </c>
      <c r="C734" s="31" t="str">
        <f t="shared" si="36"/>
        <v>34002</v>
      </c>
      <c r="D734" s="31" t="s">
        <v>651</v>
      </c>
      <c r="E734" s="34" t="str">
        <f>"2633"</f>
        <v>2633</v>
      </c>
      <c r="F734" s="31" t="s">
        <v>1982</v>
      </c>
      <c r="G734" s="1"/>
      <c r="H734" s="1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x14ac:dyDescent="0.25">
      <c r="A735" t="str">
        <f t="shared" si="35"/>
        <v>34801</v>
      </c>
      <c r="B735" s="34">
        <v>113</v>
      </c>
      <c r="C735" s="31" t="str">
        <f t="shared" si="36"/>
        <v>34002</v>
      </c>
      <c r="D735" s="31" t="s">
        <v>651</v>
      </c>
      <c r="E735" s="34" t="str">
        <f>"2481"</f>
        <v>2481</v>
      </c>
      <c r="F735" s="31" t="s">
        <v>1983</v>
      </c>
      <c r="G735" s="1"/>
      <c r="H735" s="1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x14ac:dyDescent="0.25">
      <c r="A736" t="str">
        <f t="shared" si="35"/>
        <v>34801</v>
      </c>
      <c r="B736" s="34">
        <v>113</v>
      </c>
      <c r="C736" s="31" t="str">
        <f t="shared" si="36"/>
        <v>34002</v>
      </c>
      <c r="D736" s="31" t="s">
        <v>651</v>
      </c>
      <c r="E736" s="34" t="str">
        <f>"4224"</f>
        <v>4224</v>
      </c>
      <c r="F736" s="31" t="s">
        <v>1984</v>
      </c>
      <c r="G736" s="1"/>
      <c r="H736" s="1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x14ac:dyDescent="0.25">
      <c r="A737" t="str">
        <f t="shared" ref="A737:A800" si="37">"18801"</f>
        <v>18801</v>
      </c>
      <c r="B737" s="34">
        <v>114</v>
      </c>
      <c r="C737" s="31" t="str">
        <f t="shared" ref="C737:C747" si="38">"18100"</f>
        <v>18100</v>
      </c>
      <c r="D737" s="31" t="s">
        <v>77</v>
      </c>
      <c r="E737" s="34" t="str">
        <f>"3641"</f>
        <v>3641</v>
      </c>
      <c r="F737" s="31" t="s">
        <v>78</v>
      </c>
      <c r="G737" s="1"/>
      <c r="H737" s="1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x14ac:dyDescent="0.25">
      <c r="A738" t="str">
        <f t="shared" si="37"/>
        <v>18801</v>
      </c>
      <c r="B738" s="34">
        <v>114</v>
      </c>
      <c r="C738" s="31" t="str">
        <f t="shared" si="38"/>
        <v>18100</v>
      </c>
      <c r="D738" s="31" t="s">
        <v>77</v>
      </c>
      <c r="E738" s="34" t="str">
        <f>"3109"</f>
        <v>3109</v>
      </c>
      <c r="F738" s="31" t="s">
        <v>183</v>
      </c>
      <c r="G738" s="1"/>
      <c r="H738" s="1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x14ac:dyDescent="0.25">
      <c r="A739" t="str">
        <f t="shared" si="37"/>
        <v>18801</v>
      </c>
      <c r="B739" s="34">
        <v>114</v>
      </c>
      <c r="C739" s="31" t="str">
        <f t="shared" si="38"/>
        <v>18100</v>
      </c>
      <c r="D739" s="31" t="s">
        <v>77</v>
      </c>
      <c r="E739" s="34" t="str">
        <f>"5395"</f>
        <v>5395</v>
      </c>
      <c r="F739" s="31" t="s">
        <v>247</v>
      </c>
      <c r="G739" s="1"/>
      <c r="H739" s="1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x14ac:dyDescent="0.25">
      <c r="A740" t="str">
        <f t="shared" si="37"/>
        <v>18801</v>
      </c>
      <c r="B740" s="34">
        <v>114</v>
      </c>
      <c r="C740" s="31" t="str">
        <f t="shared" si="38"/>
        <v>18100</v>
      </c>
      <c r="D740" s="31" t="s">
        <v>77</v>
      </c>
      <c r="E740" s="34" t="str">
        <f>"3108"</f>
        <v>3108</v>
      </c>
      <c r="F740" s="31" t="s">
        <v>456</v>
      </c>
      <c r="G740" s="1"/>
      <c r="H740" s="1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x14ac:dyDescent="0.25">
      <c r="A741" t="str">
        <f t="shared" si="37"/>
        <v>18801</v>
      </c>
      <c r="B741" s="34">
        <v>114</v>
      </c>
      <c r="C741" s="31" t="str">
        <f t="shared" si="38"/>
        <v>18100</v>
      </c>
      <c r="D741" s="31" t="s">
        <v>77</v>
      </c>
      <c r="E741" s="34" t="str">
        <f>"4421"</f>
        <v>4421</v>
      </c>
      <c r="F741" s="31" t="s">
        <v>959</v>
      </c>
      <c r="G741" s="1"/>
      <c r="H741" s="1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x14ac:dyDescent="0.25">
      <c r="A742" t="str">
        <f t="shared" si="37"/>
        <v>18801</v>
      </c>
      <c r="B742" s="34">
        <v>114</v>
      </c>
      <c r="C742" s="31" t="str">
        <f t="shared" si="38"/>
        <v>18100</v>
      </c>
      <c r="D742" s="31" t="s">
        <v>77</v>
      </c>
      <c r="E742" s="34" t="str">
        <f>"4441"</f>
        <v>4441</v>
      </c>
      <c r="F742" s="31" t="s">
        <v>1249</v>
      </c>
      <c r="G742" s="1"/>
      <c r="H742" s="1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x14ac:dyDescent="0.25">
      <c r="A743" t="str">
        <f t="shared" si="37"/>
        <v>18801</v>
      </c>
      <c r="B743" s="34">
        <v>114</v>
      </c>
      <c r="C743" s="31" t="str">
        <f t="shared" si="38"/>
        <v>18100</v>
      </c>
      <c r="D743" s="31" t="s">
        <v>77</v>
      </c>
      <c r="E743" s="34" t="str">
        <f>"3171"</f>
        <v>3171</v>
      </c>
      <c r="F743" s="31" t="s">
        <v>1282</v>
      </c>
      <c r="G743" s="1"/>
      <c r="H743" s="1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x14ac:dyDescent="0.25">
      <c r="A744" t="str">
        <f t="shared" si="37"/>
        <v>18801</v>
      </c>
      <c r="B744" s="34">
        <v>114</v>
      </c>
      <c r="C744" s="31" t="str">
        <f t="shared" si="38"/>
        <v>18100</v>
      </c>
      <c r="D744" s="31" t="s">
        <v>77</v>
      </c>
      <c r="E744" s="34" t="str">
        <f>"1737"</f>
        <v>1737</v>
      </c>
      <c r="F744" s="31" t="s">
        <v>1515</v>
      </c>
      <c r="G744" s="1"/>
      <c r="H744" s="1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x14ac:dyDescent="0.25">
      <c r="A745" t="str">
        <f t="shared" si="37"/>
        <v>18801</v>
      </c>
      <c r="B745" s="34">
        <v>114</v>
      </c>
      <c r="C745" s="31" t="str">
        <f t="shared" si="38"/>
        <v>18100</v>
      </c>
      <c r="D745" s="31" t="s">
        <v>77</v>
      </c>
      <c r="E745" s="34" t="str">
        <f>"2853"</f>
        <v>2853</v>
      </c>
      <c r="F745" s="31" t="s">
        <v>1857</v>
      </c>
      <c r="G745" s="1"/>
      <c r="H745" s="1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x14ac:dyDescent="0.25">
      <c r="A746" t="str">
        <f t="shared" si="37"/>
        <v>18801</v>
      </c>
      <c r="B746" s="34">
        <v>114</v>
      </c>
      <c r="C746" s="31" t="str">
        <f t="shared" si="38"/>
        <v>18100</v>
      </c>
      <c r="D746" s="31" t="s">
        <v>77</v>
      </c>
      <c r="E746" s="34" t="str">
        <f>"2613"</f>
        <v>2613</v>
      </c>
      <c r="F746" s="31" t="s">
        <v>1907</v>
      </c>
      <c r="G746" s="1"/>
      <c r="H746" s="1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x14ac:dyDescent="0.25">
      <c r="A747" t="str">
        <f t="shared" si="37"/>
        <v>18801</v>
      </c>
      <c r="B747" s="34">
        <v>114</v>
      </c>
      <c r="C747" s="31" t="str">
        <f t="shared" si="38"/>
        <v>18100</v>
      </c>
      <c r="D747" s="31" t="s">
        <v>77</v>
      </c>
      <c r="E747" s="34" t="str">
        <f>"4038"</f>
        <v>4038</v>
      </c>
      <c r="F747" s="31" t="s">
        <v>1911</v>
      </c>
      <c r="G747" s="1"/>
      <c r="H747" s="1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x14ac:dyDescent="0.25">
      <c r="A748" t="str">
        <f t="shared" si="37"/>
        <v>18801</v>
      </c>
      <c r="B748" s="33">
        <v>114</v>
      </c>
      <c r="C748" s="35">
        <v>16046</v>
      </c>
      <c r="D748" t="s">
        <v>2241</v>
      </c>
      <c r="E748" s="36">
        <v>2836</v>
      </c>
      <c r="F748" t="s">
        <v>2242</v>
      </c>
      <c r="G748" s="1"/>
      <c r="H748" s="1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x14ac:dyDescent="0.25">
      <c r="A749" t="str">
        <f t="shared" si="37"/>
        <v>18801</v>
      </c>
      <c r="B749" s="33">
        <v>114</v>
      </c>
      <c r="C749" s="35">
        <v>5401</v>
      </c>
      <c r="D749" t="s">
        <v>367</v>
      </c>
      <c r="E749" s="36">
        <v>3422</v>
      </c>
      <c r="F749" t="s">
        <v>368</v>
      </c>
      <c r="G749" s="1"/>
      <c r="H749" s="1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x14ac:dyDescent="0.25">
      <c r="A750" t="str">
        <f t="shared" si="37"/>
        <v>18801</v>
      </c>
      <c r="B750" s="34">
        <v>114</v>
      </c>
      <c r="C750" s="35">
        <v>5401</v>
      </c>
      <c r="D750" s="2" t="s">
        <v>367</v>
      </c>
      <c r="E750" s="36">
        <v>2594</v>
      </c>
      <c r="F750" s="2" t="s">
        <v>1283</v>
      </c>
      <c r="G750" s="1"/>
      <c r="H750" s="1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x14ac:dyDescent="0.25">
      <c r="A751" t="str">
        <f t="shared" si="37"/>
        <v>18801</v>
      </c>
      <c r="B751" s="33">
        <v>114</v>
      </c>
      <c r="C751" s="35">
        <v>5401</v>
      </c>
      <c r="D751" t="s">
        <v>367</v>
      </c>
      <c r="E751" s="36">
        <v>3145</v>
      </c>
      <c r="F751" t="s">
        <v>1284</v>
      </c>
      <c r="G751" s="1"/>
      <c r="H751" s="1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x14ac:dyDescent="0.25">
      <c r="A752" t="str">
        <f t="shared" si="37"/>
        <v>18801</v>
      </c>
      <c r="B752" s="33">
        <v>114</v>
      </c>
      <c r="D752" t="s">
        <v>2243</v>
      </c>
      <c r="E752" s="33"/>
      <c r="F752" t="s">
        <v>2243</v>
      </c>
      <c r="G752" s="1"/>
      <c r="H752" s="1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x14ac:dyDescent="0.25">
      <c r="A753" t="str">
        <f t="shared" si="37"/>
        <v>18801</v>
      </c>
      <c r="B753" s="34">
        <v>114</v>
      </c>
      <c r="C753" s="31" t="str">
        <f t="shared" ref="C753:C771" si="39">"18401"</f>
        <v>18401</v>
      </c>
      <c r="D753" s="31" t="s">
        <v>112</v>
      </c>
      <c r="E753" s="34" t="str">
        <f>"5472"</f>
        <v>5472</v>
      </c>
      <c r="F753" s="31" t="s">
        <v>113</v>
      </c>
      <c r="G753" s="1"/>
      <c r="H753" s="1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x14ac:dyDescent="0.25">
      <c r="A754" t="str">
        <f t="shared" si="37"/>
        <v>18801</v>
      </c>
      <c r="B754" s="34">
        <v>114</v>
      </c>
      <c r="C754" s="31" t="str">
        <f t="shared" si="39"/>
        <v>18401</v>
      </c>
      <c r="D754" s="31" t="s">
        <v>112</v>
      </c>
      <c r="E754" s="34" t="str">
        <f>"2994"</f>
        <v>2994</v>
      </c>
      <c r="F754" s="31" t="s">
        <v>213</v>
      </c>
      <c r="G754" s="1"/>
      <c r="H754" s="1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x14ac:dyDescent="0.25">
      <c r="A755" t="str">
        <f t="shared" si="37"/>
        <v>18801</v>
      </c>
      <c r="B755" s="34">
        <v>114</v>
      </c>
      <c r="C755" s="31" t="str">
        <f t="shared" si="39"/>
        <v>18401</v>
      </c>
      <c r="D755" s="31" t="s">
        <v>112</v>
      </c>
      <c r="E755" s="34" t="str">
        <f>"2615"</f>
        <v>2615</v>
      </c>
      <c r="F755" s="31" t="s">
        <v>311</v>
      </c>
      <c r="G755" s="1"/>
      <c r="H755" s="1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x14ac:dyDescent="0.25">
      <c r="A756" t="str">
        <f t="shared" si="37"/>
        <v>18801</v>
      </c>
      <c r="B756" s="34">
        <v>114</v>
      </c>
      <c r="C756" s="31" t="str">
        <f t="shared" si="39"/>
        <v>18401</v>
      </c>
      <c r="D756" s="31" t="s">
        <v>112</v>
      </c>
      <c r="E756" s="34" t="str">
        <f>"3237"</f>
        <v>3237</v>
      </c>
      <c r="F756" s="31" t="s">
        <v>312</v>
      </c>
      <c r="G756" s="1"/>
      <c r="H756" s="1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x14ac:dyDescent="0.25">
      <c r="A757" t="str">
        <f t="shared" si="37"/>
        <v>18801</v>
      </c>
      <c r="B757" s="34">
        <v>114</v>
      </c>
      <c r="C757" s="31" t="str">
        <f t="shared" si="39"/>
        <v>18401</v>
      </c>
      <c r="D757" s="31" t="s">
        <v>112</v>
      </c>
      <c r="E757" s="34" t="str">
        <f>"4016"</f>
        <v>4016</v>
      </c>
      <c r="F757" s="31" t="s">
        <v>373</v>
      </c>
      <c r="G757" s="1"/>
      <c r="H757" s="1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x14ac:dyDescent="0.25">
      <c r="A758" t="str">
        <f t="shared" si="37"/>
        <v>18801</v>
      </c>
      <c r="B758" s="34">
        <v>114</v>
      </c>
      <c r="C758" s="31" t="str">
        <f t="shared" si="39"/>
        <v>18401</v>
      </c>
      <c r="D758" s="31" t="s">
        <v>112</v>
      </c>
      <c r="E758" s="34" t="str">
        <f>"4014"</f>
        <v>4014</v>
      </c>
      <c r="F758" s="31" t="s">
        <v>429</v>
      </c>
      <c r="G758" s="1"/>
      <c r="H758" s="1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x14ac:dyDescent="0.25">
      <c r="A759" t="str">
        <f t="shared" si="37"/>
        <v>18801</v>
      </c>
      <c r="B759" s="34">
        <v>114</v>
      </c>
      <c r="C759" s="31" t="str">
        <f t="shared" si="39"/>
        <v>18401</v>
      </c>
      <c r="D759" s="31" t="s">
        <v>112</v>
      </c>
      <c r="E759" s="34" t="str">
        <f>"4341"</f>
        <v>4341</v>
      </c>
      <c r="F759" s="31" t="s">
        <v>434</v>
      </c>
      <c r="G759" s="1"/>
      <c r="H759" s="1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x14ac:dyDescent="0.25">
      <c r="A760" t="str">
        <f t="shared" si="37"/>
        <v>18801</v>
      </c>
      <c r="B760" s="34">
        <v>114</v>
      </c>
      <c r="C760" s="31" t="str">
        <f t="shared" si="39"/>
        <v>18401</v>
      </c>
      <c r="D760" s="31" t="s">
        <v>112</v>
      </c>
      <c r="E760" s="34" t="str">
        <f>"4444"</f>
        <v>4444</v>
      </c>
      <c r="F760" s="31" t="s">
        <v>574</v>
      </c>
      <c r="G760" s="1"/>
      <c r="H760" s="1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x14ac:dyDescent="0.25">
      <c r="A761" t="str">
        <f t="shared" si="37"/>
        <v>18801</v>
      </c>
      <c r="B761" s="34">
        <v>114</v>
      </c>
      <c r="C761" s="31" t="str">
        <f t="shared" si="39"/>
        <v>18401</v>
      </c>
      <c r="D761" s="31" t="s">
        <v>112</v>
      </c>
      <c r="E761" s="34" t="str">
        <f>"4015"</f>
        <v>4015</v>
      </c>
      <c r="F761" s="31" t="s">
        <v>597</v>
      </c>
      <c r="G761" s="1"/>
      <c r="H761" s="1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x14ac:dyDescent="0.25">
      <c r="A762" t="str">
        <f t="shared" si="37"/>
        <v>18801</v>
      </c>
      <c r="B762" s="34">
        <v>114</v>
      </c>
      <c r="C762" s="31" t="str">
        <f t="shared" si="39"/>
        <v>18401</v>
      </c>
      <c r="D762" s="31" t="s">
        <v>112</v>
      </c>
      <c r="E762" s="34" t="str">
        <f>"3791"</f>
        <v>3791</v>
      </c>
      <c r="F762" s="31" t="s">
        <v>614</v>
      </c>
      <c r="G762" s="1"/>
      <c r="H762" s="1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x14ac:dyDescent="0.25">
      <c r="A763" t="str">
        <f t="shared" si="37"/>
        <v>18801</v>
      </c>
      <c r="B763" s="34">
        <v>114</v>
      </c>
      <c r="C763" s="31" t="str">
        <f t="shared" si="39"/>
        <v>18401</v>
      </c>
      <c r="D763" s="31" t="s">
        <v>112</v>
      </c>
      <c r="E763" s="34" t="str">
        <f>"4393"</f>
        <v>4393</v>
      </c>
      <c r="F763" s="31" t="s">
        <v>749</v>
      </c>
      <c r="G763" s="1"/>
      <c r="H763" s="1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x14ac:dyDescent="0.25">
      <c r="A764" t="str">
        <f t="shared" si="37"/>
        <v>18801</v>
      </c>
      <c r="B764" s="34">
        <v>114</v>
      </c>
      <c r="C764" s="31" t="str">
        <f t="shared" si="39"/>
        <v>18401</v>
      </c>
      <c r="D764" s="31" t="s">
        <v>112</v>
      </c>
      <c r="E764" s="34" t="str">
        <f>"3594"</f>
        <v>3594</v>
      </c>
      <c r="F764" s="31" t="s">
        <v>904</v>
      </c>
      <c r="G764" s="1"/>
      <c r="H764" s="1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x14ac:dyDescent="0.25">
      <c r="A765" t="str">
        <f t="shared" si="37"/>
        <v>18801</v>
      </c>
      <c r="B765" s="34">
        <v>114</v>
      </c>
      <c r="C765" s="31" t="str">
        <f t="shared" si="39"/>
        <v>18401</v>
      </c>
      <c r="D765" s="31" t="s">
        <v>112</v>
      </c>
      <c r="E765" s="34" t="str">
        <f>"4509"</f>
        <v>4509</v>
      </c>
      <c r="F765" s="31" t="s">
        <v>963</v>
      </c>
      <c r="G765" s="1"/>
      <c r="H765" s="1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x14ac:dyDescent="0.25">
      <c r="A766" t="str">
        <f t="shared" si="37"/>
        <v>18801</v>
      </c>
      <c r="B766" s="34">
        <v>114</v>
      </c>
      <c r="C766" s="31" t="str">
        <f t="shared" si="39"/>
        <v>18401</v>
      </c>
      <c r="D766" s="31" t="s">
        <v>112</v>
      </c>
      <c r="E766" s="34" t="str">
        <f>"4100"</f>
        <v>4100</v>
      </c>
      <c r="F766" s="31" t="s">
        <v>1364</v>
      </c>
      <c r="G766" s="1"/>
      <c r="H766" s="1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x14ac:dyDescent="0.25">
      <c r="A767" t="str">
        <f t="shared" si="37"/>
        <v>18801</v>
      </c>
      <c r="B767" s="34">
        <v>114</v>
      </c>
      <c r="C767" s="31" t="str">
        <f t="shared" si="39"/>
        <v>18401</v>
      </c>
      <c r="D767" s="31" t="s">
        <v>112</v>
      </c>
      <c r="E767" s="34" t="str">
        <f>"4527"</f>
        <v>4527</v>
      </c>
      <c r="F767" s="31" t="s">
        <v>1445</v>
      </c>
      <c r="G767" s="1"/>
      <c r="H767" s="1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x14ac:dyDescent="0.25">
      <c r="A768" t="str">
        <f t="shared" si="37"/>
        <v>18801</v>
      </c>
      <c r="B768" s="34">
        <v>114</v>
      </c>
      <c r="C768" s="31" t="str">
        <f t="shared" si="39"/>
        <v>18401</v>
      </c>
      <c r="D768" s="31" t="s">
        <v>112</v>
      </c>
      <c r="E768" s="34" t="str">
        <f>"4249"</f>
        <v>4249</v>
      </c>
      <c r="F768" s="31" t="s">
        <v>1528</v>
      </c>
      <c r="G768" s="1"/>
      <c r="H768" s="1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x14ac:dyDescent="0.25">
      <c r="A769" t="str">
        <f t="shared" si="37"/>
        <v>18801</v>
      </c>
      <c r="B769" s="34">
        <v>114</v>
      </c>
      <c r="C769" s="31" t="str">
        <f t="shared" si="39"/>
        <v>18401</v>
      </c>
      <c r="D769" s="31" t="s">
        <v>112</v>
      </c>
      <c r="E769" s="34" t="str">
        <f>"4372"</f>
        <v>4372</v>
      </c>
      <c r="F769" s="31" t="s">
        <v>1657</v>
      </c>
      <c r="G769" s="1"/>
      <c r="H769" s="1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x14ac:dyDescent="0.25">
      <c r="A770" t="str">
        <f t="shared" si="37"/>
        <v>18801</v>
      </c>
      <c r="B770" s="34">
        <v>114</v>
      </c>
      <c r="C770" s="31" t="str">
        <f t="shared" si="39"/>
        <v>18401</v>
      </c>
      <c r="D770" s="31" t="s">
        <v>112</v>
      </c>
      <c r="E770" s="34" t="str">
        <f>"4101"</f>
        <v>4101</v>
      </c>
      <c r="F770" s="31" t="s">
        <v>1659</v>
      </c>
      <c r="G770" s="1"/>
      <c r="H770" s="1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x14ac:dyDescent="0.25">
      <c r="A771" t="str">
        <f t="shared" si="37"/>
        <v>18801</v>
      </c>
      <c r="B771" s="34">
        <v>114</v>
      </c>
      <c r="C771" s="31" t="str">
        <f t="shared" si="39"/>
        <v>18401</v>
      </c>
      <c r="D771" s="31" t="s">
        <v>112</v>
      </c>
      <c r="E771" s="34" t="str">
        <f>"4135"</f>
        <v>4135</v>
      </c>
      <c r="F771" s="31" t="s">
        <v>1971</v>
      </c>
      <c r="G771" s="1"/>
      <c r="H771" s="1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x14ac:dyDescent="0.25">
      <c r="A772" t="str">
        <f t="shared" si="37"/>
        <v>18801</v>
      </c>
      <c r="B772" s="33">
        <v>114</v>
      </c>
      <c r="C772" s="35">
        <v>16049</v>
      </c>
      <c r="D772" t="s">
        <v>357</v>
      </c>
      <c r="E772" s="36">
        <v>4552</v>
      </c>
      <c r="F772" t="s">
        <v>358</v>
      </c>
      <c r="G772" s="1"/>
      <c r="H772" s="1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x14ac:dyDescent="0.25">
      <c r="A773" t="str">
        <f t="shared" si="37"/>
        <v>18801</v>
      </c>
      <c r="B773" s="33">
        <v>114</v>
      </c>
      <c r="C773" s="35">
        <v>16049</v>
      </c>
      <c r="D773" t="s">
        <v>357</v>
      </c>
      <c r="E773" s="36">
        <v>2697</v>
      </c>
      <c r="F773" t="s">
        <v>359</v>
      </c>
      <c r="G773" s="1"/>
      <c r="H773" s="1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x14ac:dyDescent="0.25">
      <c r="A774" t="str">
        <f t="shared" si="37"/>
        <v>18801</v>
      </c>
      <c r="B774" s="33">
        <v>114</v>
      </c>
      <c r="C774" s="35">
        <v>16049</v>
      </c>
      <c r="D774" t="s">
        <v>357</v>
      </c>
      <c r="E774" s="36">
        <v>3275</v>
      </c>
      <c r="F774" t="s">
        <v>2244</v>
      </c>
      <c r="G774" s="1"/>
      <c r="H774" s="1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x14ac:dyDescent="0.25">
      <c r="A775" t="str">
        <f t="shared" si="37"/>
        <v>18801</v>
      </c>
      <c r="B775" s="33">
        <v>114</v>
      </c>
      <c r="C775" s="35">
        <v>5313</v>
      </c>
      <c r="D775" t="s">
        <v>2245</v>
      </c>
      <c r="E775" s="36">
        <v>3473</v>
      </c>
      <c r="F775" t="s">
        <v>2246</v>
      </c>
      <c r="G775" s="1"/>
      <c r="H775" s="1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x14ac:dyDescent="0.25">
      <c r="A776" t="str">
        <f t="shared" si="37"/>
        <v>18801</v>
      </c>
      <c r="B776" s="34">
        <v>114</v>
      </c>
      <c r="C776" s="31" t="str">
        <f t="shared" ref="C776:C786" si="40">"18400"</f>
        <v>18400</v>
      </c>
      <c r="D776" s="31" t="s">
        <v>474</v>
      </c>
      <c r="E776" s="34">
        <v>5546</v>
      </c>
      <c r="F776" s="31" t="s">
        <v>2077</v>
      </c>
      <c r="G776" s="1"/>
      <c r="H776" s="1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x14ac:dyDescent="0.25">
      <c r="A777" t="str">
        <f t="shared" si="37"/>
        <v>18801</v>
      </c>
      <c r="B777" s="34">
        <v>114</v>
      </c>
      <c r="C777" s="31" t="str">
        <f t="shared" si="40"/>
        <v>18400</v>
      </c>
      <c r="D777" s="31" t="s">
        <v>474</v>
      </c>
      <c r="E777" s="34" t="str">
        <f>"2798"</f>
        <v>2798</v>
      </c>
      <c r="F777" s="31" t="s">
        <v>475</v>
      </c>
      <c r="G777" s="1"/>
      <c r="H777" s="1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x14ac:dyDescent="0.25">
      <c r="A778" t="str">
        <f t="shared" si="37"/>
        <v>18801</v>
      </c>
      <c r="B778" s="34">
        <v>114</v>
      </c>
      <c r="C778" s="31" t="str">
        <f t="shared" si="40"/>
        <v>18400</v>
      </c>
      <c r="D778" s="31" t="s">
        <v>474</v>
      </c>
      <c r="E778" s="34" t="str">
        <f>"2854"</f>
        <v>2854</v>
      </c>
      <c r="F778" s="31" t="s">
        <v>817</v>
      </c>
      <c r="G778" s="1"/>
      <c r="H778" s="1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x14ac:dyDescent="0.25">
      <c r="A779" t="str">
        <f t="shared" si="37"/>
        <v>18801</v>
      </c>
      <c r="B779" s="34">
        <v>114</v>
      </c>
      <c r="C779" s="31" t="str">
        <f t="shared" si="40"/>
        <v>18400</v>
      </c>
      <c r="D779" s="31" t="s">
        <v>474</v>
      </c>
      <c r="E779" s="34" t="str">
        <f>"5085"</f>
        <v>5085</v>
      </c>
      <c r="F779" s="31" t="s">
        <v>950</v>
      </c>
      <c r="G779" s="1"/>
      <c r="H779" s="1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x14ac:dyDescent="0.25">
      <c r="A780" t="str">
        <f t="shared" si="37"/>
        <v>18801</v>
      </c>
      <c r="B780" s="34">
        <v>114</v>
      </c>
      <c r="C780" s="31" t="str">
        <f t="shared" si="40"/>
        <v>18400</v>
      </c>
      <c r="D780" s="31" t="s">
        <v>474</v>
      </c>
      <c r="E780" s="34" t="str">
        <f>"4359"</f>
        <v>4359</v>
      </c>
      <c r="F780" s="31" t="s">
        <v>951</v>
      </c>
      <c r="G780" s="11"/>
      <c r="H780" s="11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x14ac:dyDescent="0.25">
      <c r="A781" t="str">
        <f t="shared" si="37"/>
        <v>18801</v>
      </c>
      <c r="B781" s="34">
        <v>114</v>
      </c>
      <c r="C781" s="31" t="str">
        <f t="shared" si="40"/>
        <v>18400</v>
      </c>
      <c r="D781" s="31" t="s">
        <v>474</v>
      </c>
      <c r="E781" s="34" t="str">
        <f>"3236"</f>
        <v>3236</v>
      </c>
      <c r="F781" s="31" t="s">
        <v>1309</v>
      </c>
      <c r="G781" s="1"/>
      <c r="H781" s="1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x14ac:dyDescent="0.25">
      <c r="A782" t="str">
        <f t="shared" si="37"/>
        <v>18801</v>
      </c>
      <c r="B782" s="34">
        <v>114</v>
      </c>
      <c r="C782" s="31" t="str">
        <f t="shared" si="40"/>
        <v>18400</v>
      </c>
      <c r="D782" s="31" t="s">
        <v>474</v>
      </c>
      <c r="E782" s="34" t="str">
        <f>"2026"</f>
        <v>2026</v>
      </c>
      <c r="F782" s="31" t="s">
        <v>1467</v>
      </c>
      <c r="G782" s="1"/>
      <c r="H782" s="1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x14ac:dyDescent="0.25">
      <c r="A783" t="str">
        <f t="shared" si="37"/>
        <v>18801</v>
      </c>
      <c r="B783" s="34">
        <v>114</v>
      </c>
      <c r="C783" s="31" t="str">
        <f t="shared" si="40"/>
        <v>18400</v>
      </c>
      <c r="D783" s="31" t="s">
        <v>474</v>
      </c>
      <c r="E783" s="34" t="str">
        <f>"2476"</f>
        <v>2476</v>
      </c>
      <c r="F783" s="31" t="s">
        <v>1468</v>
      </c>
      <c r="G783" s="1"/>
      <c r="H783" s="1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x14ac:dyDescent="0.25">
      <c r="A784" t="str">
        <f t="shared" si="37"/>
        <v>18801</v>
      </c>
      <c r="B784" s="34">
        <v>114</v>
      </c>
      <c r="C784" s="31" t="str">
        <f t="shared" si="40"/>
        <v>18400</v>
      </c>
      <c r="D784" s="31" t="s">
        <v>474</v>
      </c>
      <c r="E784" s="34" t="str">
        <f>"4467"</f>
        <v>4467</v>
      </c>
      <c r="F784" s="31" t="s">
        <v>1521</v>
      </c>
      <c r="G784" s="1"/>
      <c r="H784" s="1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x14ac:dyDescent="0.25">
      <c r="A785" t="str">
        <f t="shared" si="37"/>
        <v>18801</v>
      </c>
      <c r="B785" s="34">
        <v>114</v>
      </c>
      <c r="C785" s="31" t="str">
        <f t="shared" si="40"/>
        <v>18400</v>
      </c>
      <c r="D785" s="31" t="s">
        <v>474</v>
      </c>
      <c r="E785" s="34" t="str">
        <f>"3391"</f>
        <v>3391</v>
      </c>
      <c r="F785" s="31" t="s">
        <v>1762</v>
      </c>
      <c r="G785" s="1"/>
      <c r="H785" s="1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x14ac:dyDescent="0.25">
      <c r="A786" t="str">
        <f t="shared" si="37"/>
        <v>18801</v>
      </c>
      <c r="B786" s="34">
        <v>114</v>
      </c>
      <c r="C786" s="31" t="str">
        <f t="shared" si="40"/>
        <v>18400</v>
      </c>
      <c r="D786" s="31" t="s">
        <v>474</v>
      </c>
      <c r="E786" s="34" t="str">
        <f>"4461"</f>
        <v>4461</v>
      </c>
      <c r="F786" s="31" t="s">
        <v>1860</v>
      </c>
      <c r="G786" s="1"/>
      <c r="H786" s="1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x14ac:dyDescent="0.25">
      <c r="A787" t="str">
        <f t="shared" si="37"/>
        <v>18801</v>
      </c>
      <c r="B787" s="34">
        <v>114</v>
      </c>
      <c r="C787" s="31" t="str">
        <f t="shared" ref="C787:C792" si="41">"23403"</f>
        <v>23403</v>
      </c>
      <c r="D787" s="31" t="s">
        <v>132</v>
      </c>
      <c r="E787" s="34" t="str">
        <f>"2662"</f>
        <v>2662</v>
      </c>
      <c r="F787" s="31" t="s">
        <v>133</v>
      </c>
      <c r="G787" s="1"/>
      <c r="H787" s="1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x14ac:dyDescent="0.25">
      <c r="A788" t="str">
        <f t="shared" si="37"/>
        <v>18801</v>
      </c>
      <c r="B788" s="34">
        <v>114</v>
      </c>
      <c r="C788" s="31" t="str">
        <f t="shared" si="41"/>
        <v>23403</v>
      </c>
      <c r="D788" s="31" t="s">
        <v>132</v>
      </c>
      <c r="E788" s="34" t="str">
        <f>"3174"</f>
        <v>3174</v>
      </c>
      <c r="F788" s="31" t="s">
        <v>783</v>
      </c>
      <c r="G788" s="1"/>
      <c r="H788" s="1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x14ac:dyDescent="0.25">
      <c r="A789" t="str">
        <f t="shared" si="37"/>
        <v>18801</v>
      </c>
      <c r="B789" s="34">
        <v>114</v>
      </c>
      <c r="C789" s="31" t="str">
        <f t="shared" si="41"/>
        <v>23403</v>
      </c>
      <c r="D789" s="31" t="s">
        <v>132</v>
      </c>
      <c r="E789" s="34" t="str">
        <f>"1680"</f>
        <v>1680</v>
      </c>
      <c r="F789" s="31" t="s">
        <v>887</v>
      </c>
      <c r="G789" s="1"/>
      <c r="H789" s="1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x14ac:dyDescent="0.25">
      <c r="A790" t="str">
        <f t="shared" si="37"/>
        <v>18801</v>
      </c>
      <c r="B790" s="34">
        <v>114</v>
      </c>
      <c r="C790" s="31" t="str">
        <f t="shared" si="41"/>
        <v>23403</v>
      </c>
      <c r="D790" s="31" t="s">
        <v>132</v>
      </c>
      <c r="E790" s="36">
        <v>1861</v>
      </c>
      <c r="F790" s="31" t="s">
        <v>2078</v>
      </c>
      <c r="G790" s="1"/>
      <c r="H790" s="1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x14ac:dyDescent="0.25">
      <c r="A791" t="str">
        <f t="shared" si="37"/>
        <v>18801</v>
      </c>
      <c r="B791" s="34">
        <v>114</v>
      </c>
      <c r="C791" s="31" t="str">
        <f t="shared" si="41"/>
        <v>23403</v>
      </c>
      <c r="D791" s="31" t="s">
        <v>132</v>
      </c>
      <c r="E791" s="34" t="str">
        <f>"3175"</f>
        <v>3175</v>
      </c>
      <c r="F791" s="31" t="s">
        <v>1311</v>
      </c>
      <c r="G791" s="1"/>
      <c r="H791" s="1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x14ac:dyDescent="0.25">
      <c r="A792" t="str">
        <f t="shared" si="37"/>
        <v>18801</v>
      </c>
      <c r="B792" s="34">
        <v>114</v>
      </c>
      <c r="C792" s="31" t="str">
        <f t="shared" si="41"/>
        <v>23403</v>
      </c>
      <c r="D792" s="31" t="s">
        <v>132</v>
      </c>
      <c r="E792" s="34" t="str">
        <f>"4320"</f>
        <v>4320</v>
      </c>
      <c r="F792" s="31" t="s">
        <v>1590</v>
      </c>
      <c r="G792" s="1"/>
      <c r="H792" s="1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x14ac:dyDescent="0.25">
      <c r="A793" t="str">
        <f t="shared" si="37"/>
        <v>18801</v>
      </c>
      <c r="B793" s="33">
        <v>114</v>
      </c>
      <c r="C793" s="35">
        <v>5121</v>
      </c>
      <c r="D793" t="s">
        <v>516</v>
      </c>
      <c r="E793" s="36">
        <v>4494</v>
      </c>
      <c r="F793" t="s">
        <v>517</v>
      </c>
      <c r="G793" s="1"/>
      <c r="H793" s="1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x14ac:dyDescent="0.25">
      <c r="A794" t="str">
        <f t="shared" si="37"/>
        <v>18801</v>
      </c>
      <c r="B794" s="33">
        <v>114</v>
      </c>
      <c r="C794" s="35">
        <v>5121</v>
      </c>
      <c r="D794" t="s">
        <v>516</v>
      </c>
      <c r="E794" s="36">
        <v>2909</v>
      </c>
      <c r="F794" t="s">
        <v>660</v>
      </c>
      <c r="G794" s="1"/>
      <c r="H794" s="1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x14ac:dyDescent="0.25">
      <c r="A795" t="str">
        <f t="shared" si="37"/>
        <v>18801</v>
      </c>
      <c r="B795" s="33">
        <v>114</v>
      </c>
      <c r="C795" s="35">
        <v>5121</v>
      </c>
      <c r="D795" t="s">
        <v>516</v>
      </c>
      <c r="E795" s="36">
        <v>3079</v>
      </c>
      <c r="F795" t="s">
        <v>765</v>
      </c>
      <c r="G795" s="1"/>
      <c r="H795" s="1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x14ac:dyDescent="0.25">
      <c r="A796" t="str">
        <f t="shared" si="37"/>
        <v>18801</v>
      </c>
      <c r="B796" s="33">
        <v>114</v>
      </c>
      <c r="C796" s="35">
        <v>5121</v>
      </c>
      <c r="D796" t="s">
        <v>516</v>
      </c>
      <c r="E796" s="36">
        <v>2368</v>
      </c>
      <c r="F796" t="s">
        <v>895</v>
      </c>
      <c r="G796" s="1"/>
      <c r="H796" s="1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x14ac:dyDescent="0.25">
      <c r="A797" t="str">
        <f t="shared" si="37"/>
        <v>18801</v>
      </c>
      <c r="B797" s="33">
        <v>114</v>
      </c>
      <c r="C797" s="35">
        <v>5121</v>
      </c>
      <c r="D797" t="s">
        <v>516</v>
      </c>
      <c r="E797" s="36">
        <v>4003</v>
      </c>
      <c r="F797" t="s">
        <v>1059</v>
      </c>
      <c r="G797" s="1"/>
      <c r="H797" s="1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x14ac:dyDescent="0.25">
      <c r="A798" t="str">
        <f t="shared" si="37"/>
        <v>18801</v>
      </c>
      <c r="B798" s="33">
        <v>114</v>
      </c>
      <c r="C798" s="35">
        <v>5121</v>
      </c>
      <c r="D798" t="s">
        <v>516</v>
      </c>
      <c r="E798" s="36">
        <v>2908</v>
      </c>
      <c r="F798" t="s">
        <v>1463</v>
      </c>
      <c r="G798" s="1"/>
      <c r="H798" s="1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x14ac:dyDescent="0.25">
      <c r="A799" t="str">
        <f t="shared" si="37"/>
        <v>18801</v>
      </c>
      <c r="B799" s="33">
        <v>114</v>
      </c>
      <c r="C799" s="35">
        <v>5121</v>
      </c>
      <c r="D799" t="s">
        <v>516</v>
      </c>
      <c r="E799" s="36">
        <v>5115</v>
      </c>
      <c r="F799" t="s">
        <v>1556</v>
      </c>
      <c r="G799" s="1"/>
      <c r="H799" s="1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x14ac:dyDescent="0.25">
      <c r="A800" t="str">
        <f t="shared" si="37"/>
        <v>18801</v>
      </c>
      <c r="B800" s="33">
        <v>114</v>
      </c>
      <c r="C800" s="35">
        <v>5121</v>
      </c>
      <c r="D800" t="s">
        <v>516</v>
      </c>
      <c r="E800" s="36">
        <v>3318</v>
      </c>
      <c r="F800" t="s">
        <v>1732</v>
      </c>
      <c r="G800" s="1"/>
      <c r="H800" s="1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x14ac:dyDescent="0.25">
      <c r="A801" t="str">
        <f t="shared" ref="A801:A835" si="42">"18801"</f>
        <v>18801</v>
      </c>
      <c r="B801" s="33">
        <v>114</v>
      </c>
      <c r="C801" s="35">
        <v>16050</v>
      </c>
      <c r="D801" t="s">
        <v>170</v>
      </c>
      <c r="E801" s="36">
        <v>4475</v>
      </c>
      <c r="F801" t="s">
        <v>171</v>
      </c>
      <c r="G801" s="1"/>
      <c r="H801" s="1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x14ac:dyDescent="0.25">
      <c r="A802" t="str">
        <f t="shared" si="42"/>
        <v>18801</v>
      </c>
      <c r="B802" s="33">
        <v>114</v>
      </c>
      <c r="C802" s="35">
        <v>16050</v>
      </c>
      <c r="D802" t="s">
        <v>170</v>
      </c>
      <c r="E802" s="36">
        <v>1798</v>
      </c>
      <c r="F802" t="s">
        <v>1345</v>
      </c>
      <c r="G802" s="1"/>
      <c r="H802" s="1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x14ac:dyDescent="0.25">
      <c r="A803" t="str">
        <f t="shared" si="42"/>
        <v>18801</v>
      </c>
      <c r="B803" s="33">
        <v>114</v>
      </c>
      <c r="C803" s="35">
        <v>16050</v>
      </c>
      <c r="D803" t="s">
        <v>170</v>
      </c>
      <c r="E803" s="36">
        <v>2503</v>
      </c>
      <c r="F803" t="s">
        <v>1465</v>
      </c>
      <c r="G803" s="1"/>
      <c r="H803" s="1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x14ac:dyDescent="0.25">
      <c r="A804" t="str">
        <f t="shared" si="42"/>
        <v>18801</v>
      </c>
      <c r="B804" s="33">
        <v>114</v>
      </c>
      <c r="C804" s="35">
        <v>16050</v>
      </c>
      <c r="D804" t="s">
        <v>170</v>
      </c>
      <c r="E804" s="36">
        <v>3094</v>
      </c>
      <c r="F804" t="s">
        <v>2079</v>
      </c>
      <c r="G804" s="1"/>
      <c r="H804" s="1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x14ac:dyDescent="0.25">
      <c r="A805" t="str">
        <f t="shared" si="42"/>
        <v>18801</v>
      </c>
      <c r="B805" s="33">
        <v>114</v>
      </c>
      <c r="C805" s="35">
        <v>16020</v>
      </c>
      <c r="D805" t="s">
        <v>2247</v>
      </c>
      <c r="E805" s="36">
        <v>2491</v>
      </c>
      <c r="F805" t="s">
        <v>2248</v>
      </c>
      <c r="G805" s="1"/>
      <c r="H805" s="1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x14ac:dyDescent="0.25">
      <c r="A806" t="str">
        <f t="shared" si="42"/>
        <v>18801</v>
      </c>
      <c r="B806" s="34">
        <v>114</v>
      </c>
      <c r="C806" s="31" t="str">
        <f>"16048"</f>
        <v>16048</v>
      </c>
      <c r="D806" s="31" t="s">
        <v>453</v>
      </c>
      <c r="E806" s="34" t="str">
        <f>"5236"</f>
        <v>5236</v>
      </c>
      <c r="F806" s="31" t="s">
        <v>2004</v>
      </c>
      <c r="G806" s="1"/>
      <c r="H806" s="1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x14ac:dyDescent="0.25">
      <c r="A807" t="str">
        <f t="shared" si="42"/>
        <v>18801</v>
      </c>
      <c r="B807" s="34">
        <v>114</v>
      </c>
      <c r="C807" s="31" t="str">
        <f>"16048"</f>
        <v>16048</v>
      </c>
      <c r="D807" s="31" t="s">
        <v>453</v>
      </c>
      <c r="E807" s="34" t="str">
        <f>"2474"</f>
        <v>2474</v>
      </c>
      <c r="F807" s="31" t="s">
        <v>1490</v>
      </c>
      <c r="G807" s="1"/>
      <c r="H807" s="1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x14ac:dyDescent="0.25">
      <c r="A808" t="str">
        <f t="shared" si="42"/>
        <v>18801</v>
      </c>
      <c r="B808" s="33">
        <v>114</v>
      </c>
      <c r="C808" t="str">
        <f>"05903"</f>
        <v>05903</v>
      </c>
      <c r="D808" t="s">
        <v>2249</v>
      </c>
      <c r="E808" s="33" t="str">
        <f>"5430"</f>
        <v>5430</v>
      </c>
      <c r="F808" t="s">
        <v>2250</v>
      </c>
      <c r="G808" s="1"/>
      <c r="H808" s="1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x14ac:dyDescent="0.25">
      <c r="A809" t="str">
        <f t="shared" si="42"/>
        <v>18801</v>
      </c>
      <c r="B809" s="34">
        <v>114</v>
      </c>
      <c r="C809" s="31" t="str">
        <f>"05402"</f>
        <v>05402</v>
      </c>
      <c r="D809" s="31" t="s">
        <v>511</v>
      </c>
      <c r="E809" s="34" t="str">
        <f>"1671"</f>
        <v>1671</v>
      </c>
      <c r="F809" s="31" t="s">
        <v>512</v>
      </c>
      <c r="G809" s="1"/>
      <c r="H809" s="1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x14ac:dyDescent="0.25">
      <c r="A810" t="str">
        <f t="shared" si="42"/>
        <v>18801</v>
      </c>
      <c r="B810" s="34">
        <v>114</v>
      </c>
      <c r="C810" s="31" t="str">
        <f>"05402"</f>
        <v>05402</v>
      </c>
      <c r="D810" s="31" t="s">
        <v>511</v>
      </c>
      <c r="E810" s="34" t="str">
        <f>"3737"</f>
        <v>3737</v>
      </c>
      <c r="F810" s="31" t="s">
        <v>647</v>
      </c>
      <c r="G810" s="1"/>
      <c r="H810" s="1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x14ac:dyDescent="0.25">
      <c r="A811" t="str">
        <f t="shared" si="42"/>
        <v>18801</v>
      </c>
      <c r="B811" s="34">
        <v>114</v>
      </c>
      <c r="C811" s="31" t="str">
        <f>"05402"</f>
        <v>05402</v>
      </c>
      <c r="D811" s="31" t="s">
        <v>511</v>
      </c>
      <c r="E811" s="34" t="str">
        <f>"5363"</f>
        <v>5363</v>
      </c>
      <c r="F811" s="31" t="s">
        <v>648</v>
      </c>
      <c r="G811" s="1"/>
      <c r="H811" s="1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x14ac:dyDescent="0.25">
      <c r="A812" t="str">
        <f t="shared" si="42"/>
        <v>18801</v>
      </c>
      <c r="B812" s="34">
        <v>114</v>
      </c>
      <c r="C812" s="31" t="str">
        <f>"05402"</f>
        <v>05402</v>
      </c>
      <c r="D812" s="31" t="s">
        <v>511</v>
      </c>
      <c r="E812" s="34" t="str">
        <f>"2349"</f>
        <v>2349</v>
      </c>
      <c r="F812" s="31" t="s">
        <v>649</v>
      </c>
      <c r="G812" s="1"/>
      <c r="H812" s="1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x14ac:dyDescent="0.25">
      <c r="A813" t="str">
        <f t="shared" si="42"/>
        <v>18801</v>
      </c>
      <c r="B813" s="34">
        <v>114</v>
      </c>
      <c r="C813" s="35">
        <v>5323</v>
      </c>
      <c r="D813" s="31" t="s">
        <v>755</v>
      </c>
      <c r="E813" s="36">
        <v>4378</v>
      </c>
      <c r="F813" s="31" t="s">
        <v>756</v>
      </c>
      <c r="G813" s="1"/>
      <c r="H813" s="1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x14ac:dyDescent="0.25">
      <c r="A814" t="str">
        <f t="shared" si="42"/>
        <v>18801</v>
      </c>
      <c r="B814" s="34">
        <v>114</v>
      </c>
      <c r="C814" s="35">
        <v>5323</v>
      </c>
      <c r="D814" s="31" t="s">
        <v>755</v>
      </c>
      <c r="E814" s="36">
        <v>2722</v>
      </c>
      <c r="F814" s="31" t="s">
        <v>798</v>
      </c>
      <c r="G814" s="1"/>
      <c r="H814" s="1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x14ac:dyDescent="0.25">
      <c r="A815" t="str">
        <f t="shared" si="42"/>
        <v>18801</v>
      </c>
      <c r="B815" s="34">
        <v>114</v>
      </c>
      <c r="C815" s="35">
        <v>5323</v>
      </c>
      <c r="D815" s="31" t="s">
        <v>755</v>
      </c>
      <c r="E815" s="36">
        <v>1708</v>
      </c>
      <c r="F815" s="2" t="s">
        <v>2251</v>
      </c>
      <c r="G815" s="1"/>
      <c r="H815" s="1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x14ac:dyDescent="0.25">
      <c r="A816" t="str">
        <f t="shared" si="42"/>
        <v>18801</v>
      </c>
      <c r="B816" s="34">
        <v>114</v>
      </c>
      <c r="C816" s="35">
        <v>5323</v>
      </c>
      <c r="D816" s="31" t="s">
        <v>755</v>
      </c>
      <c r="E816" s="36">
        <v>4519</v>
      </c>
      <c r="F816" s="31" t="s">
        <v>1620</v>
      </c>
      <c r="G816" s="1"/>
      <c r="H816" s="1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x14ac:dyDescent="0.25">
      <c r="A817" t="str">
        <f t="shared" si="42"/>
        <v>18801</v>
      </c>
      <c r="B817" s="34">
        <v>114</v>
      </c>
      <c r="C817" s="35">
        <v>5323</v>
      </c>
      <c r="D817" s="31" t="s">
        <v>755</v>
      </c>
      <c r="E817" s="36">
        <v>2471</v>
      </c>
      <c r="F817" s="31" t="s">
        <v>1621</v>
      </c>
      <c r="G817" s="1"/>
      <c r="H817" s="1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x14ac:dyDescent="0.25">
      <c r="A818" t="str">
        <f t="shared" si="42"/>
        <v>18801</v>
      </c>
      <c r="B818" s="33">
        <v>114</v>
      </c>
      <c r="C818" t="str">
        <f t="shared" ref="C818:C833" si="43">"18402"</f>
        <v>18402</v>
      </c>
      <c r="D818" t="s">
        <v>218</v>
      </c>
      <c r="E818" s="33" t="str">
        <f>"4029"</f>
        <v>4029</v>
      </c>
      <c r="F818" t="s">
        <v>219</v>
      </c>
      <c r="G818" s="1"/>
      <c r="H818" s="1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x14ac:dyDescent="0.25">
      <c r="A819" t="str">
        <f t="shared" si="42"/>
        <v>18801</v>
      </c>
      <c r="B819" s="33">
        <v>114</v>
      </c>
      <c r="C819" t="str">
        <f t="shared" si="43"/>
        <v>18402</v>
      </c>
      <c r="D819" t="s">
        <v>218</v>
      </c>
      <c r="E819" s="33" t="str">
        <f>"3680"</f>
        <v>3680</v>
      </c>
      <c r="F819" t="s">
        <v>287</v>
      </c>
      <c r="G819" s="1"/>
      <c r="H819" s="1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x14ac:dyDescent="0.25">
      <c r="A820" t="str">
        <f t="shared" si="42"/>
        <v>18801</v>
      </c>
      <c r="B820" s="33">
        <v>114</v>
      </c>
      <c r="C820" t="str">
        <f t="shared" si="43"/>
        <v>18402</v>
      </c>
      <c r="D820" t="s">
        <v>218</v>
      </c>
      <c r="E820" s="33" t="str">
        <f>"3899"</f>
        <v>3899</v>
      </c>
      <c r="F820" t="s">
        <v>502</v>
      </c>
      <c r="G820" s="1"/>
      <c r="H820" s="1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x14ac:dyDescent="0.25">
      <c r="A821" t="str">
        <f t="shared" si="42"/>
        <v>18801</v>
      </c>
      <c r="B821" s="33">
        <v>114</v>
      </c>
      <c r="C821" t="str">
        <f t="shared" si="43"/>
        <v>18402</v>
      </c>
      <c r="D821" t="s">
        <v>218</v>
      </c>
      <c r="E821" s="33" t="str">
        <f>"2641"</f>
        <v>2641</v>
      </c>
      <c r="F821" t="s">
        <v>531</v>
      </c>
      <c r="G821" s="1"/>
      <c r="H821" s="1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x14ac:dyDescent="0.25">
      <c r="A822" t="str">
        <f t="shared" si="42"/>
        <v>18801</v>
      </c>
      <c r="B822" s="33">
        <v>114</v>
      </c>
      <c r="C822" t="str">
        <f t="shared" si="43"/>
        <v>18402</v>
      </c>
      <c r="D822" t="s">
        <v>218</v>
      </c>
      <c r="E822" s="33" t="str">
        <f>"1718"</f>
        <v>1718</v>
      </c>
      <c r="F822" t="s">
        <v>608</v>
      </c>
      <c r="G822" s="1"/>
      <c r="H822" s="1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x14ac:dyDescent="0.25">
      <c r="A823" t="str">
        <f t="shared" si="42"/>
        <v>18801</v>
      </c>
      <c r="B823" s="33">
        <v>114</v>
      </c>
      <c r="C823" t="str">
        <f t="shared" si="43"/>
        <v>18402</v>
      </c>
      <c r="D823" t="s">
        <v>218</v>
      </c>
      <c r="E823" s="33" t="str">
        <f>"4348"</f>
        <v>4348</v>
      </c>
      <c r="F823" t="s">
        <v>804</v>
      </c>
      <c r="G823" s="1"/>
      <c r="H823" s="1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x14ac:dyDescent="0.25">
      <c r="A824" t="str">
        <f t="shared" si="42"/>
        <v>18801</v>
      </c>
      <c r="B824" s="33">
        <v>114</v>
      </c>
      <c r="C824" t="str">
        <f t="shared" si="43"/>
        <v>18402</v>
      </c>
      <c r="D824" t="s">
        <v>218</v>
      </c>
      <c r="E824" s="33" t="str">
        <f>"4142"</f>
        <v>4142</v>
      </c>
      <c r="F824" t="s">
        <v>910</v>
      </c>
      <c r="G824" s="1"/>
      <c r="H824" s="1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x14ac:dyDescent="0.25">
      <c r="A825" t="str">
        <f t="shared" si="42"/>
        <v>18801</v>
      </c>
      <c r="B825" s="33">
        <v>114</v>
      </c>
      <c r="C825" t="str">
        <f t="shared" si="43"/>
        <v>18402</v>
      </c>
      <c r="D825" t="s">
        <v>218</v>
      </c>
      <c r="E825" s="33" t="str">
        <f>"4079"</f>
        <v>4079</v>
      </c>
      <c r="F825" t="s">
        <v>1109</v>
      </c>
      <c r="G825" s="1"/>
      <c r="H825" s="1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x14ac:dyDescent="0.25">
      <c r="A826" t="str">
        <f t="shared" si="42"/>
        <v>18801</v>
      </c>
      <c r="B826" s="33">
        <v>114</v>
      </c>
      <c r="C826" t="str">
        <f t="shared" si="43"/>
        <v>18402</v>
      </c>
      <c r="D826" t="s">
        <v>218</v>
      </c>
      <c r="E826" s="33" t="str">
        <f>"3046"</f>
        <v>3046</v>
      </c>
      <c r="F826" t="s">
        <v>1123</v>
      </c>
      <c r="G826" s="1"/>
      <c r="H826" s="1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x14ac:dyDescent="0.25">
      <c r="A827" t="str">
        <f t="shared" si="42"/>
        <v>18801</v>
      </c>
      <c r="B827" s="33">
        <v>114</v>
      </c>
      <c r="C827" t="str">
        <f t="shared" si="43"/>
        <v>18402</v>
      </c>
      <c r="D827" t="s">
        <v>218</v>
      </c>
      <c r="E827" s="33" t="str">
        <f>"4350"</f>
        <v>4350</v>
      </c>
      <c r="F827" t="s">
        <v>1265</v>
      </c>
      <c r="G827" s="1"/>
      <c r="H827" s="1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x14ac:dyDescent="0.25">
      <c r="A828" t="str">
        <f t="shared" si="42"/>
        <v>18801</v>
      </c>
      <c r="B828" s="33">
        <v>114</v>
      </c>
      <c r="C828" t="str">
        <f t="shared" si="43"/>
        <v>18402</v>
      </c>
      <c r="D828" t="s">
        <v>218</v>
      </c>
      <c r="E828" s="33" t="str">
        <f>"2995"</f>
        <v>2995</v>
      </c>
      <c r="F828" t="s">
        <v>1359</v>
      </c>
      <c r="G828" s="1"/>
      <c r="H828" s="1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x14ac:dyDescent="0.25">
      <c r="A829" t="str">
        <f t="shared" si="42"/>
        <v>18801</v>
      </c>
      <c r="B829" s="33">
        <v>114</v>
      </c>
      <c r="C829" t="str">
        <f t="shared" si="43"/>
        <v>18402</v>
      </c>
      <c r="D829" t="s">
        <v>218</v>
      </c>
      <c r="E829" s="33" t="str">
        <f>"2650"</f>
        <v>2650</v>
      </c>
      <c r="F829" t="s">
        <v>1386</v>
      </c>
      <c r="G829" s="1"/>
      <c r="H829" s="1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x14ac:dyDescent="0.25">
      <c r="A830" t="str">
        <f t="shared" si="42"/>
        <v>18801</v>
      </c>
      <c r="B830" s="33">
        <v>114</v>
      </c>
      <c r="C830" t="str">
        <f t="shared" si="43"/>
        <v>18402</v>
      </c>
      <c r="D830" t="s">
        <v>218</v>
      </c>
      <c r="E830" s="33" t="str">
        <f>"4349"</f>
        <v>4349</v>
      </c>
      <c r="F830" t="s">
        <v>1649</v>
      </c>
      <c r="G830" s="1"/>
      <c r="H830" s="1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x14ac:dyDescent="0.25">
      <c r="A831" t="str">
        <f t="shared" si="42"/>
        <v>18801</v>
      </c>
      <c r="B831" s="33">
        <v>114</v>
      </c>
      <c r="C831" t="str">
        <f t="shared" si="43"/>
        <v>18402</v>
      </c>
      <c r="D831" t="s">
        <v>218</v>
      </c>
      <c r="E831" s="33" t="str">
        <f>"3110"</f>
        <v>3110</v>
      </c>
      <c r="F831" t="s">
        <v>1684</v>
      </c>
      <c r="G831" s="1"/>
      <c r="H831" s="1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x14ac:dyDescent="0.25">
      <c r="A832" t="str">
        <f t="shared" si="42"/>
        <v>18801</v>
      </c>
      <c r="B832" s="33">
        <v>114</v>
      </c>
      <c r="C832" t="str">
        <f t="shared" si="43"/>
        <v>18402</v>
      </c>
      <c r="D832" t="s">
        <v>218</v>
      </c>
      <c r="E832" s="33" t="str">
        <f>"2272"</f>
        <v>2272</v>
      </c>
      <c r="F832" t="s">
        <v>1685</v>
      </c>
      <c r="G832" s="1"/>
      <c r="H832" s="1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x14ac:dyDescent="0.25">
      <c r="A833" t="str">
        <f t="shared" si="42"/>
        <v>18801</v>
      </c>
      <c r="B833" s="33">
        <v>114</v>
      </c>
      <c r="C833" t="str">
        <f t="shared" si="43"/>
        <v>18402</v>
      </c>
      <c r="D833" t="s">
        <v>218</v>
      </c>
      <c r="E833" s="33" t="str">
        <f>"4141"</f>
        <v>4141</v>
      </c>
      <c r="F833" t="s">
        <v>1755</v>
      </c>
      <c r="G833" s="1"/>
      <c r="H833" s="1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x14ac:dyDescent="0.25">
      <c r="A834" t="str">
        <f t="shared" si="42"/>
        <v>18801</v>
      </c>
      <c r="B834" s="33">
        <v>114</v>
      </c>
      <c r="C834" t="str">
        <f>"18902"</f>
        <v>18902</v>
      </c>
      <c r="D834" t="s">
        <v>2252</v>
      </c>
      <c r="E834" s="33" t="str">
        <f>"5319"</f>
        <v>5319</v>
      </c>
      <c r="F834" t="s">
        <v>2253</v>
      </c>
      <c r="G834" s="1"/>
      <c r="H834" s="1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x14ac:dyDescent="0.25">
      <c r="A835" t="str">
        <f t="shared" si="42"/>
        <v>18801</v>
      </c>
      <c r="B835" s="33">
        <v>114</v>
      </c>
      <c r="C835" t="str">
        <f>"34979"</f>
        <v>34979</v>
      </c>
      <c r="D835" t="s">
        <v>2254</v>
      </c>
      <c r="E835" s="33" t="str">
        <f>"5302"</f>
        <v>5302</v>
      </c>
      <c r="F835" t="s">
        <v>2255</v>
      </c>
      <c r="G835" s="1"/>
      <c r="H835" s="1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x14ac:dyDescent="0.25">
      <c r="A836" t="str">
        <f t="shared" ref="A836:A899" si="44">"17801"</f>
        <v>17801</v>
      </c>
      <c r="B836" s="33">
        <v>121</v>
      </c>
      <c r="D836" t="s">
        <v>2256</v>
      </c>
      <c r="E836" s="33"/>
      <c r="F836" t="s">
        <v>2256</v>
      </c>
      <c r="G836" s="1"/>
      <c r="H836" s="1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x14ac:dyDescent="0.25">
      <c r="A837" t="str">
        <f t="shared" si="44"/>
        <v>17801</v>
      </c>
      <c r="B837" s="34">
        <v>121</v>
      </c>
      <c r="C837" s="31" t="str">
        <f t="shared" ref="C837:C859" si="45">"17408"</f>
        <v>17408</v>
      </c>
      <c r="D837" s="31" t="s">
        <v>49</v>
      </c>
      <c r="E837" s="34" t="str">
        <f>"3825"</f>
        <v>3825</v>
      </c>
      <c r="F837" s="31" t="s">
        <v>50</v>
      </c>
      <c r="G837" s="1"/>
      <c r="H837" s="1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x14ac:dyDescent="0.25">
      <c r="A838" t="str">
        <f t="shared" si="44"/>
        <v>17801</v>
      </c>
      <c r="B838" s="34">
        <v>121</v>
      </c>
      <c r="C838" s="31" t="str">
        <f t="shared" si="45"/>
        <v>17408</v>
      </c>
      <c r="D838" s="31" t="s">
        <v>49</v>
      </c>
      <c r="E838" s="34" t="str">
        <f>"5082"</f>
        <v>5082</v>
      </c>
      <c r="F838" s="31" t="s">
        <v>81</v>
      </c>
      <c r="G838" s="1"/>
      <c r="H838" s="1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x14ac:dyDescent="0.25">
      <c r="A839" t="str">
        <f t="shared" si="44"/>
        <v>17801</v>
      </c>
      <c r="B839" s="34">
        <v>121</v>
      </c>
      <c r="C839" s="31" t="str">
        <f t="shared" si="45"/>
        <v>17408</v>
      </c>
      <c r="D839" s="31" t="s">
        <v>49</v>
      </c>
      <c r="E839" s="34" t="str">
        <f>"5037"</f>
        <v>5037</v>
      </c>
      <c r="F839" s="31" t="s">
        <v>91</v>
      </c>
      <c r="G839" s="1"/>
      <c r="H839" s="1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x14ac:dyDescent="0.25">
      <c r="A840" t="str">
        <f t="shared" si="44"/>
        <v>17801</v>
      </c>
      <c r="B840" s="34">
        <v>121</v>
      </c>
      <c r="C840" s="31" t="str">
        <f t="shared" si="45"/>
        <v>17408</v>
      </c>
      <c r="D840" s="31" t="s">
        <v>49</v>
      </c>
      <c r="E840" s="34" t="str">
        <f>"4474"</f>
        <v>4474</v>
      </c>
      <c r="F840" s="31" t="s">
        <v>92</v>
      </c>
      <c r="G840" s="1"/>
      <c r="H840" s="1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x14ac:dyDescent="0.25">
      <c r="A841" t="str">
        <f t="shared" si="44"/>
        <v>17801</v>
      </c>
      <c r="B841" s="34">
        <v>121</v>
      </c>
      <c r="C841" s="31" t="str">
        <f t="shared" si="45"/>
        <v>17408</v>
      </c>
      <c r="D841" s="31" t="s">
        <v>49</v>
      </c>
      <c r="E841" s="34" t="str">
        <f>"2795"</f>
        <v>2795</v>
      </c>
      <c r="F841" s="31" t="s">
        <v>93</v>
      </c>
      <c r="G841" s="1"/>
      <c r="H841" s="1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x14ac:dyDescent="0.25">
      <c r="A842" t="str">
        <f t="shared" si="44"/>
        <v>17801</v>
      </c>
      <c r="B842" s="34">
        <v>121</v>
      </c>
      <c r="C842" s="31" t="str">
        <f t="shared" si="45"/>
        <v>17408</v>
      </c>
      <c r="D842" s="31" t="s">
        <v>49</v>
      </c>
      <c r="E842" s="33" t="str">
        <f>"5610"</f>
        <v>5610</v>
      </c>
      <c r="F842" t="s">
        <v>2257</v>
      </c>
      <c r="G842" s="1"/>
      <c r="H842" s="1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x14ac:dyDescent="0.25">
      <c r="A843" t="str">
        <f t="shared" si="44"/>
        <v>17801</v>
      </c>
      <c r="B843" s="34">
        <v>121</v>
      </c>
      <c r="C843" s="31" t="str">
        <f t="shared" si="45"/>
        <v>17408</v>
      </c>
      <c r="D843" s="31" t="s">
        <v>49</v>
      </c>
      <c r="E843" s="34" t="str">
        <f>"2394"</f>
        <v>2394</v>
      </c>
      <c r="F843" s="31" t="s">
        <v>266</v>
      </c>
      <c r="G843" s="1"/>
      <c r="H843" s="1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x14ac:dyDescent="0.25">
      <c r="A844" t="str">
        <f t="shared" si="44"/>
        <v>17801</v>
      </c>
      <c r="B844" s="34">
        <v>121</v>
      </c>
      <c r="C844" s="31" t="str">
        <f t="shared" si="45"/>
        <v>17408</v>
      </c>
      <c r="D844" s="31" t="s">
        <v>49</v>
      </c>
      <c r="E844" s="34" t="str">
        <f>"3439"</f>
        <v>3439</v>
      </c>
      <c r="F844" s="31" t="s">
        <v>360</v>
      </c>
      <c r="G844" s="1"/>
      <c r="H844" s="1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x14ac:dyDescent="0.25">
      <c r="A845" t="str">
        <f t="shared" si="44"/>
        <v>17801</v>
      </c>
      <c r="B845" s="34">
        <v>121</v>
      </c>
      <c r="C845" s="31" t="str">
        <f t="shared" si="45"/>
        <v>17408</v>
      </c>
      <c r="D845" s="31" t="s">
        <v>49</v>
      </c>
      <c r="E845" s="34" t="str">
        <f>"2932"</f>
        <v>2932</v>
      </c>
      <c r="F845" s="31" t="s">
        <v>498</v>
      </c>
      <c r="G845" s="1"/>
      <c r="H845" s="1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x14ac:dyDescent="0.25">
      <c r="A846" t="str">
        <f t="shared" si="44"/>
        <v>17801</v>
      </c>
      <c r="B846" s="34">
        <v>121</v>
      </c>
      <c r="C846" s="31" t="str">
        <f t="shared" si="45"/>
        <v>17408</v>
      </c>
      <c r="D846" s="31" t="s">
        <v>49</v>
      </c>
      <c r="E846" s="34" t="str">
        <f>"3745"</f>
        <v>3745</v>
      </c>
      <c r="F846" s="31" t="s">
        <v>602</v>
      </c>
      <c r="G846" s="1"/>
      <c r="H846" s="1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x14ac:dyDescent="0.25">
      <c r="A847" t="str">
        <f t="shared" si="44"/>
        <v>17801</v>
      </c>
      <c r="B847" s="34">
        <v>121</v>
      </c>
      <c r="C847" s="31" t="str">
        <f t="shared" si="45"/>
        <v>17408</v>
      </c>
      <c r="D847" s="31" t="s">
        <v>49</v>
      </c>
      <c r="E847" s="34" t="str">
        <f>"3669"</f>
        <v>3669</v>
      </c>
      <c r="F847" s="31" t="s">
        <v>707</v>
      </c>
      <c r="G847" s="1"/>
      <c r="H847" s="1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x14ac:dyDescent="0.25">
      <c r="A848" t="str">
        <f t="shared" si="44"/>
        <v>17801</v>
      </c>
      <c r="B848" s="34">
        <v>121</v>
      </c>
      <c r="C848" s="31" t="str">
        <f t="shared" si="45"/>
        <v>17408</v>
      </c>
      <c r="D848" s="31" t="s">
        <v>49</v>
      </c>
      <c r="E848" s="34" t="str">
        <f>"4347"</f>
        <v>4347</v>
      </c>
      <c r="F848" s="31" t="s">
        <v>791</v>
      </c>
      <c r="G848" s="1"/>
      <c r="H848" s="1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x14ac:dyDescent="0.25">
      <c r="A849" t="str">
        <f t="shared" si="44"/>
        <v>17801</v>
      </c>
      <c r="B849" s="34">
        <v>121</v>
      </c>
      <c r="C849" s="31" t="str">
        <f t="shared" si="45"/>
        <v>17408</v>
      </c>
      <c r="D849" s="31" t="s">
        <v>49</v>
      </c>
      <c r="E849" s="34" t="str">
        <f>"4417"</f>
        <v>4417</v>
      </c>
      <c r="F849" s="31" t="s">
        <v>859</v>
      </c>
      <c r="G849" s="1"/>
      <c r="H849" s="1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x14ac:dyDescent="0.25">
      <c r="A850" t="str">
        <f t="shared" si="44"/>
        <v>17801</v>
      </c>
      <c r="B850" s="34">
        <v>121</v>
      </c>
      <c r="C850" s="31" t="str">
        <f t="shared" si="45"/>
        <v>17408</v>
      </c>
      <c r="D850" s="31" t="s">
        <v>49</v>
      </c>
      <c r="E850" s="34" t="str">
        <f>"4120"</f>
        <v>4120</v>
      </c>
      <c r="F850" s="31" t="s">
        <v>999</v>
      </c>
      <c r="G850" s="1"/>
      <c r="H850" s="1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x14ac:dyDescent="0.25">
      <c r="A851" t="str">
        <f t="shared" si="44"/>
        <v>17801</v>
      </c>
      <c r="B851" s="34">
        <v>121</v>
      </c>
      <c r="C851" s="31" t="str">
        <f t="shared" si="45"/>
        <v>17408</v>
      </c>
      <c r="D851" s="31" t="s">
        <v>49</v>
      </c>
      <c r="E851" s="34" t="str">
        <f>"5051"</f>
        <v>5051</v>
      </c>
      <c r="F851" s="31" t="s">
        <v>1004</v>
      </c>
      <c r="G851" s="1"/>
      <c r="H851" s="1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x14ac:dyDescent="0.25">
      <c r="A852" t="str">
        <f t="shared" si="44"/>
        <v>17801</v>
      </c>
      <c r="B852" s="34">
        <v>121</v>
      </c>
      <c r="C852" s="31" t="str">
        <f t="shared" si="45"/>
        <v>17408</v>
      </c>
      <c r="D852" s="31" t="s">
        <v>49</v>
      </c>
      <c r="E852" s="34" t="str">
        <f>"3525"</f>
        <v>3525</v>
      </c>
      <c r="F852" s="31" t="s">
        <v>1023</v>
      </c>
      <c r="G852" s="1"/>
      <c r="H852" s="1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x14ac:dyDescent="0.25">
      <c r="A853" t="str">
        <f t="shared" si="44"/>
        <v>17801</v>
      </c>
      <c r="B853" s="34">
        <v>121</v>
      </c>
      <c r="C853" s="31" t="str">
        <f t="shared" si="45"/>
        <v>17408</v>
      </c>
      <c r="D853" s="31" t="s">
        <v>49</v>
      </c>
      <c r="E853" s="34" t="str">
        <f>"4462"</f>
        <v>4462</v>
      </c>
      <c r="F853" s="31" t="s">
        <v>1256</v>
      </c>
      <c r="G853" s="1"/>
      <c r="H853" s="1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x14ac:dyDescent="0.25">
      <c r="A854" t="str">
        <f t="shared" si="44"/>
        <v>17801</v>
      </c>
      <c r="B854" s="34">
        <v>121</v>
      </c>
      <c r="C854" s="31" t="str">
        <f t="shared" si="45"/>
        <v>17408</v>
      </c>
      <c r="D854" s="31" t="s">
        <v>49</v>
      </c>
      <c r="E854" s="34" t="str">
        <f>"3169"</f>
        <v>3169</v>
      </c>
      <c r="F854" s="31" t="s">
        <v>1366</v>
      </c>
      <c r="G854" s="1"/>
      <c r="H854" s="1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x14ac:dyDescent="0.25">
      <c r="A855" t="str">
        <f t="shared" si="44"/>
        <v>17801</v>
      </c>
      <c r="B855" s="34">
        <v>121</v>
      </c>
      <c r="C855" s="31" t="str">
        <f t="shared" si="45"/>
        <v>17408</v>
      </c>
      <c r="D855" s="31" t="s">
        <v>49</v>
      </c>
      <c r="E855" s="34" t="str">
        <f>"3227"</f>
        <v>3227</v>
      </c>
      <c r="F855" s="31" t="s">
        <v>1448</v>
      </c>
      <c r="G855" s="1"/>
      <c r="H855" s="1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x14ac:dyDescent="0.25">
      <c r="A856" t="str">
        <f t="shared" si="44"/>
        <v>17801</v>
      </c>
      <c r="B856" s="34">
        <v>121</v>
      </c>
      <c r="C856" s="31" t="str">
        <f t="shared" si="45"/>
        <v>17408</v>
      </c>
      <c r="D856" s="31" t="s">
        <v>49</v>
      </c>
      <c r="E856" s="34" t="str">
        <f>"4385"</f>
        <v>4385</v>
      </c>
      <c r="F856" s="31" t="s">
        <v>1496</v>
      </c>
      <c r="G856" s="1"/>
      <c r="H856" s="1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x14ac:dyDescent="0.25">
      <c r="A857" t="str">
        <f t="shared" si="44"/>
        <v>17801</v>
      </c>
      <c r="B857" s="34">
        <v>121</v>
      </c>
      <c r="C857" s="31" t="str">
        <f t="shared" si="45"/>
        <v>17408</v>
      </c>
      <c r="D857" s="31" t="s">
        <v>49</v>
      </c>
      <c r="E857" s="34" t="str">
        <f>"2659"</f>
        <v>2659</v>
      </c>
      <c r="F857" s="31" t="s">
        <v>1781</v>
      </c>
      <c r="G857" s="1"/>
      <c r="H857" s="1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x14ac:dyDescent="0.25">
      <c r="A858" t="str">
        <f t="shared" si="44"/>
        <v>17801</v>
      </c>
      <c r="B858" s="34">
        <v>121</v>
      </c>
      <c r="C858" s="31" t="str">
        <f t="shared" si="45"/>
        <v>17408</v>
      </c>
      <c r="D858" s="31" t="s">
        <v>49</v>
      </c>
      <c r="E858" s="34" t="str">
        <f>"2326"</f>
        <v>2326</v>
      </c>
      <c r="F858" s="31" t="s">
        <v>1891</v>
      </c>
      <c r="G858" s="1"/>
      <c r="H858" s="1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x14ac:dyDescent="0.25">
      <c r="A859" t="str">
        <f t="shared" si="44"/>
        <v>17801</v>
      </c>
      <c r="B859" s="34">
        <v>121</v>
      </c>
      <c r="C859" s="31" t="str">
        <f t="shared" si="45"/>
        <v>17408</v>
      </c>
      <c r="D859" s="31" t="s">
        <v>49</v>
      </c>
      <c r="E859" s="34" t="str">
        <f>"2702"</f>
        <v>2702</v>
      </c>
      <c r="F859" s="31" t="s">
        <v>1906</v>
      </c>
      <c r="G859" s="1"/>
      <c r="H859" s="1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x14ac:dyDescent="0.25">
      <c r="A860" t="str">
        <f t="shared" si="44"/>
        <v>17801</v>
      </c>
      <c r="B860" s="63">
        <v>121</v>
      </c>
      <c r="C860" s="64" t="str">
        <f t="shared" ref="C860:C868" si="46">"18303"</f>
        <v>18303</v>
      </c>
      <c r="D860" s="64" t="s">
        <v>103</v>
      </c>
      <c r="E860" s="63" t="str">
        <f>"2395"</f>
        <v>2395</v>
      </c>
      <c r="F860" s="64" t="s">
        <v>104</v>
      </c>
      <c r="G860" s="1"/>
      <c r="H860" s="1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x14ac:dyDescent="0.25">
      <c r="A861" t="str">
        <f t="shared" si="44"/>
        <v>17801</v>
      </c>
      <c r="B861" s="63">
        <v>121</v>
      </c>
      <c r="C861" s="64" t="str">
        <f t="shared" si="46"/>
        <v>18303</v>
      </c>
      <c r="D861" s="64" t="s">
        <v>103</v>
      </c>
      <c r="E861" s="63" t="str">
        <f>"3552"</f>
        <v>3552</v>
      </c>
      <c r="F861" s="64" t="s">
        <v>243</v>
      </c>
      <c r="G861" s="1"/>
      <c r="H861" s="1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x14ac:dyDescent="0.25">
      <c r="A862" t="str">
        <f t="shared" si="44"/>
        <v>17801</v>
      </c>
      <c r="B862" s="63">
        <v>121</v>
      </c>
      <c r="C862" s="64" t="str">
        <f t="shared" si="46"/>
        <v>18303</v>
      </c>
      <c r="D862" s="64" t="s">
        <v>103</v>
      </c>
      <c r="E862" s="63" t="str">
        <f>"3043"</f>
        <v>3043</v>
      </c>
      <c r="F862" s="64" t="s">
        <v>244</v>
      </c>
      <c r="G862" s="1"/>
      <c r="H862" s="1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x14ac:dyDescent="0.25">
      <c r="A863" t="str">
        <f t="shared" si="44"/>
        <v>17801</v>
      </c>
      <c r="B863" s="63">
        <v>121</v>
      </c>
      <c r="C863" s="64" t="str">
        <f t="shared" si="46"/>
        <v>18303</v>
      </c>
      <c r="D863" s="64" t="s">
        <v>103</v>
      </c>
      <c r="E863" s="63" t="str">
        <f>"1935"</f>
        <v>1935</v>
      </c>
      <c r="F863" s="64" t="s">
        <v>524</v>
      </c>
      <c r="G863" s="1"/>
      <c r="H863" s="1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x14ac:dyDescent="0.25">
      <c r="A864" t="str">
        <f t="shared" si="44"/>
        <v>17801</v>
      </c>
      <c r="B864" s="63">
        <v>121</v>
      </c>
      <c r="C864" s="64" t="str">
        <f t="shared" si="46"/>
        <v>18303</v>
      </c>
      <c r="D864" s="64" t="s">
        <v>103</v>
      </c>
      <c r="E864" s="63" t="str">
        <f>"1841"</f>
        <v>1841</v>
      </c>
      <c r="F864" s="64" t="s">
        <v>1230</v>
      </c>
      <c r="G864" s="1"/>
      <c r="H864" s="1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x14ac:dyDescent="0.25">
      <c r="A865" t="str">
        <f t="shared" si="44"/>
        <v>17801</v>
      </c>
      <c r="B865" s="63">
        <v>121</v>
      </c>
      <c r="C865" s="64" t="str">
        <f t="shared" si="46"/>
        <v>18303</v>
      </c>
      <c r="D865" s="64" t="s">
        <v>103</v>
      </c>
      <c r="E865" s="63" t="str">
        <f>"1699"</f>
        <v>1699</v>
      </c>
      <c r="F865" s="64" t="s">
        <v>1354</v>
      </c>
      <c r="G865" s="1"/>
      <c r="H865" s="1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x14ac:dyDescent="0.25">
      <c r="A866" t="str">
        <f t="shared" si="44"/>
        <v>17801</v>
      </c>
      <c r="B866" s="63">
        <v>121</v>
      </c>
      <c r="C866" s="64" t="str">
        <f t="shared" si="46"/>
        <v>18303</v>
      </c>
      <c r="D866" s="64" t="s">
        <v>103</v>
      </c>
      <c r="E866" s="63" t="str">
        <f>"4062"</f>
        <v>4062</v>
      </c>
      <c r="F866" s="64" t="s">
        <v>1389</v>
      </c>
      <c r="G866" s="1"/>
      <c r="H866" s="1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x14ac:dyDescent="0.25">
      <c r="A867" t="str">
        <f t="shared" si="44"/>
        <v>17801</v>
      </c>
      <c r="B867" s="63">
        <v>121</v>
      </c>
      <c r="C867" s="64" t="str">
        <f t="shared" si="46"/>
        <v>18303</v>
      </c>
      <c r="D867" s="64" t="s">
        <v>103</v>
      </c>
      <c r="E867" s="63" t="str">
        <f>"4542"</f>
        <v>4542</v>
      </c>
      <c r="F867" s="64" t="s">
        <v>1580</v>
      </c>
      <c r="G867" s="1"/>
      <c r="H867" s="1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x14ac:dyDescent="0.25">
      <c r="A868" t="str">
        <f t="shared" si="44"/>
        <v>17801</v>
      </c>
      <c r="B868" s="63">
        <v>121</v>
      </c>
      <c r="C868" s="64" t="str">
        <f t="shared" si="46"/>
        <v>18303</v>
      </c>
      <c r="D868" s="64" t="s">
        <v>103</v>
      </c>
      <c r="E868" s="63" t="str">
        <f>"4505"</f>
        <v>4505</v>
      </c>
      <c r="F868" s="64" t="s">
        <v>1976</v>
      </c>
      <c r="G868" s="1"/>
      <c r="H868" s="1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x14ac:dyDescent="0.25">
      <c r="A869" t="str">
        <f t="shared" si="44"/>
        <v>17801</v>
      </c>
      <c r="B869" s="34">
        <v>121</v>
      </c>
      <c r="C869" s="31" t="str">
        <f t="shared" ref="C869:C897" si="47">"17405"</f>
        <v>17405</v>
      </c>
      <c r="D869" s="31" t="s">
        <v>71</v>
      </c>
      <c r="E869" s="34" t="str">
        <f>"3633"</f>
        <v>3633</v>
      </c>
      <c r="F869" s="31" t="s">
        <v>72</v>
      </c>
      <c r="G869" s="1"/>
      <c r="H869" s="1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x14ac:dyDescent="0.25">
      <c r="A870" t="str">
        <f t="shared" si="44"/>
        <v>17801</v>
      </c>
      <c r="B870" s="34">
        <v>121</v>
      </c>
      <c r="C870" s="31" t="str">
        <f t="shared" si="47"/>
        <v>17405</v>
      </c>
      <c r="D870" s="31" t="s">
        <v>71</v>
      </c>
      <c r="E870" s="34" t="str">
        <f>"5240"</f>
        <v>5240</v>
      </c>
      <c r="F870" s="31" t="s">
        <v>134</v>
      </c>
      <c r="G870" s="1"/>
      <c r="H870" s="1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x14ac:dyDescent="0.25">
      <c r="A871" t="str">
        <f t="shared" si="44"/>
        <v>17801</v>
      </c>
      <c r="B871" s="34">
        <v>121</v>
      </c>
      <c r="C871" s="31" t="str">
        <f t="shared" si="47"/>
        <v>17405</v>
      </c>
      <c r="D871" s="31" t="s">
        <v>71</v>
      </c>
      <c r="E871" s="34" t="str">
        <f>"2701"</f>
        <v>2701</v>
      </c>
      <c r="F871" s="31" t="s">
        <v>135</v>
      </c>
      <c r="G871" s="1"/>
      <c r="H871" s="1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x14ac:dyDescent="0.25">
      <c r="A872" t="str">
        <f t="shared" si="44"/>
        <v>17801</v>
      </c>
      <c r="B872" s="34">
        <v>121</v>
      </c>
      <c r="C872" s="31" t="str">
        <f t="shared" si="47"/>
        <v>17405</v>
      </c>
      <c r="D872" s="31" t="s">
        <v>71</v>
      </c>
      <c r="E872" s="34" t="str">
        <f>"3705"</f>
        <v>3705</v>
      </c>
      <c r="F872" s="31" t="s">
        <v>140</v>
      </c>
      <c r="G872" s="1"/>
      <c r="H872" s="1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x14ac:dyDescent="0.25">
      <c r="A873" t="str">
        <f t="shared" si="44"/>
        <v>17801</v>
      </c>
      <c r="B873" s="34">
        <v>121</v>
      </c>
      <c r="C873" s="31" t="str">
        <f t="shared" si="47"/>
        <v>17405</v>
      </c>
      <c r="D873" s="31" t="s">
        <v>71</v>
      </c>
      <c r="E873" s="34" t="str">
        <f>"3742"</f>
        <v>3742</v>
      </c>
      <c r="F873" s="31" t="s">
        <v>343</v>
      </c>
      <c r="G873" s="1"/>
      <c r="H873" s="1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x14ac:dyDescent="0.25">
      <c r="A874" t="str">
        <f t="shared" si="44"/>
        <v>17801</v>
      </c>
      <c r="B874" s="34">
        <v>121</v>
      </c>
      <c r="C874" s="31" t="str">
        <f t="shared" si="47"/>
        <v>17405</v>
      </c>
      <c r="D874" s="31" t="s">
        <v>71</v>
      </c>
      <c r="E874" s="34" t="str">
        <f>"3338"</f>
        <v>3338</v>
      </c>
      <c r="F874" s="31" t="s">
        <v>361</v>
      </c>
      <c r="G874" s="1"/>
      <c r="H874" s="1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x14ac:dyDescent="0.25">
      <c r="A875" t="str">
        <f t="shared" si="44"/>
        <v>17801</v>
      </c>
      <c r="B875" s="34">
        <v>121</v>
      </c>
      <c r="C875" s="31" t="str">
        <f t="shared" si="47"/>
        <v>17405</v>
      </c>
      <c r="D875" s="31" t="s">
        <v>71</v>
      </c>
      <c r="E875" s="34" t="str">
        <f>"2847"</f>
        <v>2847</v>
      </c>
      <c r="F875" s="31" t="s">
        <v>380</v>
      </c>
      <c r="G875" s="1"/>
      <c r="H875" s="1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x14ac:dyDescent="0.25">
      <c r="A876" t="str">
        <f t="shared" si="44"/>
        <v>17801</v>
      </c>
      <c r="B876" s="34">
        <v>121</v>
      </c>
      <c r="C876" s="31" t="str">
        <f t="shared" si="47"/>
        <v>17405</v>
      </c>
      <c r="D876" s="31" t="s">
        <v>71</v>
      </c>
      <c r="E876" s="34" t="str">
        <f>"3036"</f>
        <v>3036</v>
      </c>
      <c r="F876" s="31" t="s">
        <v>538</v>
      </c>
      <c r="G876" s="1"/>
      <c r="H876" s="1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x14ac:dyDescent="0.25">
      <c r="A877" t="str">
        <f t="shared" si="44"/>
        <v>17801</v>
      </c>
      <c r="B877" s="34">
        <v>121</v>
      </c>
      <c r="C877" s="31" t="str">
        <f t="shared" si="47"/>
        <v>17405</v>
      </c>
      <c r="D877" s="31" t="s">
        <v>71</v>
      </c>
      <c r="E877" s="34" t="str">
        <f>"2846"</f>
        <v>2846</v>
      </c>
      <c r="F877" s="31" t="s">
        <v>583</v>
      </c>
      <c r="G877" s="1"/>
      <c r="H877" s="1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x14ac:dyDescent="0.25">
      <c r="A878" t="str">
        <f t="shared" si="44"/>
        <v>17801</v>
      </c>
      <c r="B878" s="34">
        <v>121</v>
      </c>
      <c r="C878" s="31" t="str">
        <f t="shared" si="47"/>
        <v>17405</v>
      </c>
      <c r="D878" s="31" t="s">
        <v>71</v>
      </c>
      <c r="E878" s="34" t="str">
        <f>"3166"</f>
        <v>3166</v>
      </c>
      <c r="F878" s="31" t="s">
        <v>810</v>
      </c>
      <c r="G878" s="1"/>
      <c r="H878" s="1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x14ac:dyDescent="0.25">
      <c r="A879" t="str">
        <f t="shared" si="44"/>
        <v>17801</v>
      </c>
      <c r="B879" s="34">
        <v>121</v>
      </c>
      <c r="C879" s="31" t="str">
        <f t="shared" si="47"/>
        <v>17405</v>
      </c>
      <c r="D879" s="31" t="s">
        <v>71</v>
      </c>
      <c r="E879" s="34" t="str">
        <f>"3588"</f>
        <v>3588</v>
      </c>
      <c r="F879" s="31" t="s">
        <v>871</v>
      </c>
      <c r="G879" s="1"/>
      <c r="H879" s="1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x14ac:dyDescent="0.25">
      <c r="A880" t="str">
        <f t="shared" si="44"/>
        <v>17801</v>
      </c>
      <c r="B880" s="34">
        <v>121</v>
      </c>
      <c r="C880" s="31" t="str">
        <f t="shared" si="47"/>
        <v>17405</v>
      </c>
      <c r="D880" s="31" t="s">
        <v>71</v>
      </c>
      <c r="E880" s="34" t="str">
        <f>"3522"</f>
        <v>3522</v>
      </c>
      <c r="F880" s="31" t="s">
        <v>873</v>
      </c>
      <c r="G880" s="1"/>
      <c r="H880" s="1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x14ac:dyDescent="0.25">
      <c r="A881" t="str">
        <f t="shared" si="44"/>
        <v>17801</v>
      </c>
      <c r="B881" s="34">
        <v>121</v>
      </c>
      <c r="C881" s="31" t="str">
        <f t="shared" si="47"/>
        <v>17405</v>
      </c>
      <c r="D881" s="31" t="s">
        <v>71</v>
      </c>
      <c r="E881" s="34" t="str">
        <f>"5308"</f>
        <v>5308</v>
      </c>
      <c r="F881" s="31" t="s">
        <v>901</v>
      </c>
      <c r="G881" s="1"/>
      <c r="H881" s="1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x14ac:dyDescent="0.25">
      <c r="A882" t="str">
        <f t="shared" si="44"/>
        <v>17801</v>
      </c>
      <c r="B882" s="34">
        <v>121</v>
      </c>
      <c r="C882" s="31" t="str">
        <f t="shared" si="47"/>
        <v>17405</v>
      </c>
      <c r="D882" s="31" t="s">
        <v>71</v>
      </c>
      <c r="E882" s="34" t="str">
        <f>"3225"</f>
        <v>3225</v>
      </c>
      <c r="F882" s="31" t="s">
        <v>987</v>
      </c>
      <c r="G882" s="1"/>
      <c r="H882" s="1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x14ac:dyDescent="0.25">
      <c r="A883" t="str">
        <f t="shared" si="44"/>
        <v>17801</v>
      </c>
      <c r="B883" s="34">
        <v>121</v>
      </c>
      <c r="C883" s="31" t="str">
        <f t="shared" si="47"/>
        <v>17405</v>
      </c>
      <c r="D883" s="31" t="s">
        <v>71</v>
      </c>
      <c r="E883" s="34" t="str">
        <f>"3436"</f>
        <v>3436</v>
      </c>
      <c r="F883" s="31" t="s">
        <v>1178</v>
      </c>
      <c r="G883" s="1"/>
      <c r="H883" s="1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x14ac:dyDescent="0.25">
      <c r="A884" t="str">
        <f t="shared" si="44"/>
        <v>17801</v>
      </c>
      <c r="B884" s="34">
        <v>121</v>
      </c>
      <c r="C884" s="31" t="str">
        <f t="shared" si="47"/>
        <v>17405</v>
      </c>
      <c r="D884" s="31" t="s">
        <v>71</v>
      </c>
      <c r="E884" s="34">
        <v>3437</v>
      </c>
      <c r="F884" s="31" t="s">
        <v>2258</v>
      </c>
      <c r="G884" s="1"/>
      <c r="H884" s="1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x14ac:dyDescent="0.25">
      <c r="A885" t="str">
        <f t="shared" si="44"/>
        <v>17801</v>
      </c>
      <c r="B885" s="34">
        <v>121</v>
      </c>
      <c r="C885" s="31" t="str">
        <f t="shared" si="47"/>
        <v>17405</v>
      </c>
      <c r="D885" s="31" t="s">
        <v>71</v>
      </c>
      <c r="E885" s="34" t="str">
        <f>"3486"</f>
        <v>3486</v>
      </c>
      <c r="F885" s="31" t="s">
        <v>1294</v>
      </c>
      <c r="G885" s="1"/>
      <c r="H885" s="1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x14ac:dyDescent="0.25">
      <c r="A886" t="str">
        <f t="shared" si="44"/>
        <v>17801</v>
      </c>
      <c r="B886" s="34">
        <v>121</v>
      </c>
      <c r="C886" s="31" t="str">
        <f t="shared" si="47"/>
        <v>17405</v>
      </c>
      <c r="D886" s="31" t="s">
        <v>71</v>
      </c>
      <c r="E886" s="34" t="str">
        <f>"3631"</f>
        <v>3631</v>
      </c>
      <c r="F886" s="31" t="s">
        <v>1352</v>
      </c>
      <c r="G886" s="1"/>
      <c r="H886" s="1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x14ac:dyDescent="0.25">
      <c r="A887" t="str">
        <f t="shared" si="44"/>
        <v>17801</v>
      </c>
      <c r="B887" s="34">
        <v>121</v>
      </c>
      <c r="C887" s="31" t="str">
        <f t="shared" si="47"/>
        <v>17405</v>
      </c>
      <c r="D887" s="31" t="s">
        <v>71</v>
      </c>
      <c r="E887" s="34" t="str">
        <f>"3168"</f>
        <v>3168</v>
      </c>
      <c r="F887" s="31" t="s">
        <v>1438</v>
      </c>
      <c r="G887" s="1"/>
      <c r="H887" s="1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x14ac:dyDescent="0.25">
      <c r="A888" t="str">
        <f t="shared" si="44"/>
        <v>17801</v>
      </c>
      <c r="B888" s="34">
        <v>121</v>
      </c>
      <c r="C888" s="31" t="str">
        <f t="shared" si="47"/>
        <v>17405</v>
      </c>
      <c r="D888" s="31" t="s">
        <v>71</v>
      </c>
      <c r="E888" s="34" t="str">
        <f>"3224"</f>
        <v>3224</v>
      </c>
      <c r="F888" s="31" t="s">
        <v>1482</v>
      </c>
      <c r="G888" s="1"/>
      <c r="H888" s="1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x14ac:dyDescent="0.25">
      <c r="A889" t="str">
        <f t="shared" si="44"/>
        <v>17801</v>
      </c>
      <c r="B889" s="34">
        <v>121</v>
      </c>
      <c r="C889" s="31" t="str">
        <f t="shared" si="47"/>
        <v>17405</v>
      </c>
      <c r="D889" s="31" t="s">
        <v>71</v>
      </c>
      <c r="E889" s="34" t="str">
        <f>"3282"</f>
        <v>3282</v>
      </c>
      <c r="F889" s="31" t="s">
        <v>1589</v>
      </c>
      <c r="G889" s="1"/>
      <c r="H889" s="1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x14ac:dyDescent="0.25">
      <c r="A890" t="str">
        <f t="shared" si="44"/>
        <v>17801</v>
      </c>
      <c r="B890" s="34">
        <v>121</v>
      </c>
      <c r="C890" s="31" t="str">
        <f t="shared" si="47"/>
        <v>17405</v>
      </c>
      <c r="D890" s="31" t="s">
        <v>71</v>
      </c>
      <c r="E890" s="34" t="str">
        <f>"3339"</f>
        <v>3339</v>
      </c>
      <c r="F890" s="31" t="s">
        <v>1639</v>
      </c>
      <c r="G890" s="1"/>
      <c r="H890" s="1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x14ac:dyDescent="0.25">
      <c r="A891" t="str">
        <f t="shared" si="44"/>
        <v>17801</v>
      </c>
      <c r="B891" s="34">
        <v>121</v>
      </c>
      <c r="C891" s="31" t="str">
        <f t="shared" si="47"/>
        <v>17405</v>
      </c>
      <c r="D891" s="31" t="s">
        <v>71</v>
      </c>
      <c r="E891" s="34" t="str">
        <f>"3789"</f>
        <v>3789</v>
      </c>
      <c r="F891" s="31" t="s">
        <v>1680</v>
      </c>
      <c r="G891" s="1"/>
      <c r="H891" s="1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x14ac:dyDescent="0.25">
      <c r="A892" t="str">
        <f t="shared" si="44"/>
        <v>17801</v>
      </c>
      <c r="B892" s="34">
        <v>121</v>
      </c>
      <c r="C892" s="31" t="str">
        <f t="shared" si="47"/>
        <v>17405</v>
      </c>
      <c r="D892" s="31" t="s">
        <v>71</v>
      </c>
      <c r="E892" s="34" t="str">
        <f>"3634"</f>
        <v>3634</v>
      </c>
      <c r="F892" s="31" t="s">
        <v>1703</v>
      </c>
      <c r="G892" s="1"/>
      <c r="H892" s="1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x14ac:dyDescent="0.25">
      <c r="A893" t="str">
        <f t="shared" si="44"/>
        <v>17801</v>
      </c>
      <c r="B893" s="34">
        <v>121</v>
      </c>
      <c r="C893" s="31" t="str">
        <f t="shared" si="47"/>
        <v>17405</v>
      </c>
      <c r="D893" s="31" t="s">
        <v>71</v>
      </c>
      <c r="E893" s="34" t="str">
        <f>"3100"</f>
        <v>3100</v>
      </c>
      <c r="F893" s="31" t="s">
        <v>1733</v>
      </c>
      <c r="G893" s="1"/>
      <c r="H893" s="1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x14ac:dyDescent="0.25">
      <c r="A894" t="str">
        <f t="shared" si="44"/>
        <v>17801</v>
      </c>
      <c r="B894" s="34">
        <v>121</v>
      </c>
      <c r="C894" s="31" t="str">
        <f t="shared" si="47"/>
        <v>17405</v>
      </c>
      <c r="D894" s="31" t="s">
        <v>71</v>
      </c>
      <c r="E894" s="34" t="str">
        <f>"3435"</f>
        <v>3435</v>
      </c>
      <c r="F894" s="31" t="s">
        <v>1799</v>
      </c>
      <c r="G894" s="1"/>
      <c r="H894" s="1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x14ac:dyDescent="0.25">
      <c r="A895" t="str">
        <f t="shared" si="44"/>
        <v>17801</v>
      </c>
      <c r="B895" s="34">
        <v>121</v>
      </c>
      <c r="C895" s="31" t="str">
        <f t="shared" si="47"/>
        <v>17405</v>
      </c>
      <c r="D895" s="31" t="s">
        <v>71</v>
      </c>
      <c r="E895" s="34" t="str">
        <f>"3283"</f>
        <v>3283</v>
      </c>
      <c r="F895" s="31" t="s">
        <v>1834</v>
      </c>
      <c r="G895" s="1"/>
      <c r="H895" s="1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x14ac:dyDescent="0.25">
      <c r="A896" t="str">
        <f t="shared" si="44"/>
        <v>17801</v>
      </c>
      <c r="B896" s="34">
        <v>121</v>
      </c>
      <c r="C896" s="31" t="str">
        <f t="shared" si="47"/>
        <v>17405</v>
      </c>
      <c r="D896" s="31" t="s">
        <v>71</v>
      </c>
      <c r="E896" s="33">
        <v>5508</v>
      </c>
      <c r="F896" s="31" t="s">
        <v>2259</v>
      </c>
      <c r="G896" s="1"/>
      <c r="H896" s="1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x14ac:dyDescent="0.25">
      <c r="A897" t="str">
        <f t="shared" si="44"/>
        <v>17801</v>
      </c>
      <c r="B897" s="34">
        <v>121</v>
      </c>
      <c r="C897" s="31" t="str">
        <f t="shared" si="47"/>
        <v>17405</v>
      </c>
      <c r="D897" s="31" t="s">
        <v>71</v>
      </c>
      <c r="E897" s="34" t="str">
        <f>"3167"</f>
        <v>3167</v>
      </c>
      <c r="F897" s="31" t="s">
        <v>1974</v>
      </c>
      <c r="G897" s="1"/>
      <c r="H897" s="1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x14ac:dyDescent="0.25">
      <c r="A898" t="str">
        <f t="shared" si="44"/>
        <v>17801</v>
      </c>
      <c r="B898" s="34">
        <v>121</v>
      </c>
      <c r="C898" s="31" t="str">
        <f t="shared" ref="C898:C926" si="48">"27403"</f>
        <v>27403</v>
      </c>
      <c r="D898" s="31" t="s">
        <v>147</v>
      </c>
      <c r="E898" s="34" t="str">
        <f>"5471"</f>
        <v>5471</v>
      </c>
      <c r="F898" s="31" t="s">
        <v>1994</v>
      </c>
      <c r="G898" s="1"/>
      <c r="H898" s="1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x14ac:dyDescent="0.25">
      <c r="A899" t="str">
        <f t="shared" si="44"/>
        <v>17801</v>
      </c>
      <c r="B899" s="34">
        <v>121</v>
      </c>
      <c r="C899" s="31" t="str">
        <f t="shared" si="48"/>
        <v>27403</v>
      </c>
      <c r="D899" s="31" t="s">
        <v>147</v>
      </c>
      <c r="E899" s="34" t="str">
        <f>"2807"</f>
        <v>2807</v>
      </c>
      <c r="F899" s="31" t="s">
        <v>148</v>
      </c>
      <c r="G899" s="1"/>
      <c r="H899" s="1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x14ac:dyDescent="0.25">
      <c r="A900" t="str">
        <f t="shared" ref="A900:A928" si="49">"17801"</f>
        <v>17801</v>
      </c>
      <c r="B900" s="34">
        <v>121</v>
      </c>
      <c r="C900" s="31" t="str">
        <f t="shared" si="48"/>
        <v>27403</v>
      </c>
      <c r="D900" s="31" t="s">
        <v>147</v>
      </c>
      <c r="E900" s="34" t="str">
        <f>"3250"</f>
        <v>3250</v>
      </c>
      <c r="F900" s="31" t="s">
        <v>149</v>
      </c>
      <c r="G900" s="1"/>
      <c r="H900" s="1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x14ac:dyDescent="0.25">
      <c r="A901" t="str">
        <f t="shared" si="49"/>
        <v>17801</v>
      </c>
      <c r="B901" s="34">
        <v>121</v>
      </c>
      <c r="C901" s="31" t="str">
        <f t="shared" si="48"/>
        <v>27403</v>
      </c>
      <c r="D901" s="31" t="s">
        <v>147</v>
      </c>
      <c r="E901" s="34" t="str">
        <f>"4296"</f>
        <v>4296</v>
      </c>
      <c r="F901" s="31" t="s">
        <v>230</v>
      </c>
      <c r="G901" s="1"/>
      <c r="H901" s="1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x14ac:dyDescent="0.25">
      <c r="A902" t="str">
        <f t="shared" si="49"/>
        <v>17801</v>
      </c>
      <c r="B902" s="34">
        <v>121</v>
      </c>
      <c r="C902" s="31" t="str">
        <f t="shared" si="48"/>
        <v>27403</v>
      </c>
      <c r="D902" s="31" t="s">
        <v>147</v>
      </c>
      <c r="E902" s="34" t="str">
        <f>"4186"</f>
        <v>4186</v>
      </c>
      <c r="F902" s="31" t="s">
        <v>296</v>
      </c>
      <c r="G902" s="1"/>
      <c r="H902" s="1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x14ac:dyDescent="0.25">
      <c r="A903" t="str">
        <f t="shared" si="49"/>
        <v>17801</v>
      </c>
      <c r="B903" s="34">
        <v>121</v>
      </c>
      <c r="C903" s="31" t="str">
        <f t="shared" si="48"/>
        <v>27403</v>
      </c>
      <c r="D903" s="31" t="s">
        <v>147</v>
      </c>
      <c r="E903" s="34" t="str">
        <f>"4331"</f>
        <v>4331</v>
      </c>
      <c r="F903" s="31" t="s">
        <v>301</v>
      </c>
      <c r="G903" s="1"/>
      <c r="H903" s="1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x14ac:dyDescent="0.25">
      <c r="A904" t="str">
        <f t="shared" si="49"/>
        <v>17801</v>
      </c>
      <c r="B904" s="34">
        <v>121</v>
      </c>
      <c r="C904" s="31" t="str">
        <f t="shared" si="48"/>
        <v>27403</v>
      </c>
      <c r="D904" s="31" t="s">
        <v>147</v>
      </c>
      <c r="E904" s="34" t="str">
        <f>"1510"</f>
        <v>1510</v>
      </c>
      <c r="F904" s="31" t="s">
        <v>322</v>
      </c>
      <c r="G904" s="1"/>
      <c r="H904" s="1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x14ac:dyDescent="0.25">
      <c r="A905" t="str">
        <f t="shared" si="49"/>
        <v>17801</v>
      </c>
      <c r="B905" s="34">
        <v>121</v>
      </c>
      <c r="C905" s="31" t="str">
        <f t="shared" si="48"/>
        <v>27403</v>
      </c>
      <c r="D905" s="31" t="s">
        <v>147</v>
      </c>
      <c r="E905" s="34" t="str">
        <f>"3649"</f>
        <v>3649</v>
      </c>
      <c r="F905" s="31" t="s">
        <v>347</v>
      </c>
      <c r="G905" s="1"/>
      <c r="H905" s="1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x14ac:dyDescent="0.25">
      <c r="A906" t="str">
        <f t="shared" si="49"/>
        <v>17801</v>
      </c>
      <c r="B906" s="34">
        <v>121</v>
      </c>
      <c r="C906" s="31" t="str">
        <f t="shared" si="48"/>
        <v>27403</v>
      </c>
      <c r="D906" s="31" t="s">
        <v>147</v>
      </c>
      <c r="E906" s="34" t="str">
        <f>"2576"</f>
        <v>2576</v>
      </c>
      <c r="F906" s="31" t="s">
        <v>377</v>
      </c>
      <c r="G906" s="1"/>
      <c r="H906" s="1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x14ac:dyDescent="0.25">
      <c r="A907" t="str">
        <f t="shared" si="49"/>
        <v>17801</v>
      </c>
      <c r="B907" s="34">
        <v>121</v>
      </c>
      <c r="C907" s="31" t="str">
        <f t="shared" si="48"/>
        <v>27403</v>
      </c>
      <c r="D907" s="31" t="s">
        <v>147</v>
      </c>
      <c r="E907" s="34" t="str">
        <f>"4578"</f>
        <v>4578</v>
      </c>
      <c r="F907" s="31" t="s">
        <v>432</v>
      </c>
      <c r="G907" s="1"/>
      <c r="H907" s="1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x14ac:dyDescent="0.25">
      <c r="A908" t="str">
        <f t="shared" si="49"/>
        <v>17801</v>
      </c>
      <c r="B908" s="34">
        <v>121</v>
      </c>
      <c r="C908" s="31" t="str">
        <f t="shared" si="48"/>
        <v>27403</v>
      </c>
      <c r="D908" s="31" t="s">
        <v>147</v>
      </c>
      <c r="E908" s="34" t="str">
        <f>"2877"</f>
        <v>2877</v>
      </c>
      <c r="F908" s="31" t="s">
        <v>563</v>
      </c>
      <c r="G908" s="1"/>
      <c r="H908" s="1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x14ac:dyDescent="0.25">
      <c r="A909" t="str">
        <f t="shared" si="49"/>
        <v>17801</v>
      </c>
      <c r="B909" s="34">
        <v>121</v>
      </c>
      <c r="C909" s="31" t="str">
        <f t="shared" si="48"/>
        <v>27403</v>
      </c>
      <c r="D909" s="31" t="s">
        <v>147</v>
      </c>
      <c r="E909" s="34" t="str">
        <f>"4099"</f>
        <v>4099</v>
      </c>
      <c r="F909" s="31" t="s">
        <v>599</v>
      </c>
      <c r="G909" s="1"/>
      <c r="H909" s="1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x14ac:dyDescent="0.25">
      <c r="A910" t="str">
        <f t="shared" si="49"/>
        <v>17801</v>
      </c>
      <c r="B910" s="34">
        <v>121</v>
      </c>
      <c r="C910" s="31" t="str">
        <f t="shared" si="48"/>
        <v>27403</v>
      </c>
      <c r="D910" s="31" t="s">
        <v>147</v>
      </c>
      <c r="E910" s="34" t="str">
        <f>"5159"</f>
        <v>5159</v>
      </c>
      <c r="F910" s="31" t="s">
        <v>666</v>
      </c>
      <c r="G910" s="1"/>
      <c r="H910" s="1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x14ac:dyDescent="0.25">
      <c r="A911" t="str">
        <f t="shared" si="49"/>
        <v>17801</v>
      </c>
      <c r="B911" s="34">
        <v>121</v>
      </c>
      <c r="C911" s="31" t="str">
        <f t="shared" si="48"/>
        <v>27403</v>
      </c>
      <c r="D911" s="31" t="s">
        <v>147</v>
      </c>
      <c r="E911" s="34" t="str">
        <f>"4407"</f>
        <v>4407</v>
      </c>
      <c r="F911" s="31" t="s">
        <v>675</v>
      </c>
      <c r="G911" s="1"/>
      <c r="H911" s="1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x14ac:dyDescent="0.25">
      <c r="A912" t="str">
        <f t="shared" si="49"/>
        <v>17801</v>
      </c>
      <c r="B912" s="34">
        <v>121</v>
      </c>
      <c r="C912" s="31" t="str">
        <f t="shared" si="48"/>
        <v>27403</v>
      </c>
      <c r="D912" s="31" t="s">
        <v>147</v>
      </c>
      <c r="E912" s="34" t="str">
        <f>"4297"</f>
        <v>4297</v>
      </c>
      <c r="F912" s="31" t="s">
        <v>723</v>
      </c>
      <c r="G912" s="1"/>
      <c r="H912" s="1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x14ac:dyDescent="0.25">
      <c r="A913" t="str">
        <f t="shared" si="49"/>
        <v>17801</v>
      </c>
      <c r="B913" s="34">
        <v>121</v>
      </c>
      <c r="C913" s="31" t="str">
        <f t="shared" si="48"/>
        <v>27403</v>
      </c>
      <c r="D913" s="31" t="s">
        <v>147</v>
      </c>
      <c r="E913" s="34" t="str">
        <f>"5033"</f>
        <v>5033</v>
      </c>
      <c r="F913" s="31" t="s">
        <v>725</v>
      </c>
      <c r="G913" s="1"/>
      <c r="H913" s="1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x14ac:dyDescent="0.25">
      <c r="A914" t="str">
        <f t="shared" si="49"/>
        <v>17801</v>
      </c>
      <c r="B914" s="34">
        <v>121</v>
      </c>
      <c r="C914" s="31" t="str">
        <f t="shared" si="48"/>
        <v>27403</v>
      </c>
      <c r="D914" s="31" t="s">
        <v>147</v>
      </c>
      <c r="E914" s="34" t="str">
        <f>"2748"</f>
        <v>2748</v>
      </c>
      <c r="F914" s="31" t="s">
        <v>921</v>
      </c>
      <c r="G914" s="1"/>
      <c r="H914" s="1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x14ac:dyDescent="0.25">
      <c r="A915" t="str">
        <f t="shared" si="49"/>
        <v>17801</v>
      </c>
      <c r="B915" s="34">
        <v>121</v>
      </c>
      <c r="C915" s="31" t="str">
        <f t="shared" si="48"/>
        <v>27403</v>
      </c>
      <c r="D915" s="31" t="s">
        <v>147</v>
      </c>
      <c r="E915" s="34" t="str">
        <f>"5206"</f>
        <v>5206</v>
      </c>
      <c r="F915" s="31" t="s">
        <v>1049</v>
      </c>
      <c r="G915" s="1"/>
      <c r="H915" s="1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x14ac:dyDescent="0.25">
      <c r="A916" t="str">
        <f t="shared" si="49"/>
        <v>17801</v>
      </c>
      <c r="B916" s="34">
        <v>121</v>
      </c>
      <c r="C916" s="31" t="str">
        <f t="shared" si="48"/>
        <v>27403</v>
      </c>
      <c r="D916" s="31" t="s">
        <v>147</v>
      </c>
      <c r="E916" s="34" t="str">
        <f>"4102"</f>
        <v>4102</v>
      </c>
      <c r="F916" s="31" t="s">
        <v>1267</v>
      </c>
      <c r="G916" s="1"/>
      <c r="H916" s="1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x14ac:dyDescent="0.25">
      <c r="A917" t="str">
        <f t="shared" si="49"/>
        <v>17801</v>
      </c>
      <c r="B917" s="34">
        <v>121</v>
      </c>
      <c r="C917" s="31" t="str">
        <f t="shared" si="48"/>
        <v>27403</v>
      </c>
      <c r="D917" s="31" t="s">
        <v>147</v>
      </c>
      <c r="E917" s="34" t="str">
        <f>"5160"</f>
        <v>5160</v>
      </c>
      <c r="F917" s="31" t="s">
        <v>1287</v>
      </c>
      <c r="G917" s="1"/>
      <c r="H917" s="1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x14ac:dyDescent="0.25">
      <c r="A918" t="str">
        <f t="shared" si="49"/>
        <v>17801</v>
      </c>
      <c r="B918" s="34">
        <v>121</v>
      </c>
      <c r="C918" s="31" t="str">
        <f t="shared" si="48"/>
        <v>27403</v>
      </c>
      <c r="D918" s="31" t="s">
        <v>147</v>
      </c>
      <c r="E918" s="34" t="str">
        <f>"4538"</f>
        <v>4538</v>
      </c>
      <c r="F918" s="31" t="s">
        <v>1314</v>
      </c>
      <c r="G918" s="1"/>
      <c r="H918" s="1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x14ac:dyDescent="0.25">
      <c r="A919" t="str">
        <f t="shared" si="49"/>
        <v>17801</v>
      </c>
      <c r="B919" s="34">
        <v>121</v>
      </c>
      <c r="C919" s="31" t="str">
        <f t="shared" si="48"/>
        <v>27403</v>
      </c>
      <c r="D919" s="31" t="s">
        <v>147</v>
      </c>
      <c r="E919" s="34" t="str">
        <f>"5961"</f>
        <v>5961</v>
      </c>
      <c r="F919" s="31" t="s">
        <v>1442</v>
      </c>
      <c r="G919" s="1"/>
      <c r="H919" s="1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x14ac:dyDescent="0.25">
      <c r="A920" t="str">
        <f t="shared" si="49"/>
        <v>17801</v>
      </c>
      <c r="B920" s="34">
        <v>121</v>
      </c>
      <c r="C920" s="31" t="str">
        <f t="shared" si="48"/>
        <v>27403</v>
      </c>
      <c r="D920" s="31" t="s">
        <v>147</v>
      </c>
      <c r="E920" s="34" t="str">
        <f>"4381"</f>
        <v>4381</v>
      </c>
      <c r="F920" s="31" t="s">
        <v>1452</v>
      </c>
      <c r="G920" s="1"/>
      <c r="H920" s="1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x14ac:dyDescent="0.25">
      <c r="A921" t="str">
        <f t="shared" si="49"/>
        <v>17801</v>
      </c>
      <c r="B921" s="34">
        <v>121</v>
      </c>
      <c r="C921" s="31" t="str">
        <f t="shared" si="48"/>
        <v>27403</v>
      </c>
      <c r="D921" s="31" t="s">
        <v>147</v>
      </c>
      <c r="E921" s="34" t="str">
        <f>"4227"</f>
        <v>4227</v>
      </c>
      <c r="F921" s="31" t="s">
        <v>1552</v>
      </c>
      <c r="G921" s="11"/>
      <c r="H921" s="11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x14ac:dyDescent="0.25">
      <c r="A922" t="str">
        <f t="shared" si="49"/>
        <v>17801</v>
      </c>
      <c r="B922" s="34">
        <v>121</v>
      </c>
      <c r="C922" s="31" t="str">
        <f t="shared" si="48"/>
        <v>27403</v>
      </c>
      <c r="D922" s="31" t="s">
        <v>147</v>
      </c>
      <c r="E922" s="34" t="str">
        <f>"2543"</f>
        <v>2543</v>
      </c>
      <c r="F922" s="31" t="s">
        <v>1567</v>
      </c>
      <c r="G922" s="11"/>
      <c r="H922" s="11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x14ac:dyDescent="0.25">
      <c r="A923" t="str">
        <f t="shared" si="49"/>
        <v>17801</v>
      </c>
      <c r="B923" s="34">
        <v>121</v>
      </c>
      <c r="C923" s="31" t="str">
        <f t="shared" si="48"/>
        <v>27403</v>
      </c>
      <c r="D923" s="31" t="s">
        <v>147</v>
      </c>
      <c r="E923" s="34" t="str">
        <f>"4103"</f>
        <v>4103</v>
      </c>
      <c r="F923" s="31" t="s">
        <v>1642</v>
      </c>
      <c r="G923" s="11"/>
      <c r="H923" s="11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x14ac:dyDescent="0.25">
      <c r="A924" t="str">
        <f t="shared" si="49"/>
        <v>17801</v>
      </c>
      <c r="B924" s="34">
        <v>121</v>
      </c>
      <c r="C924" s="31" t="str">
        <f t="shared" si="48"/>
        <v>27403</v>
      </c>
      <c r="D924" s="31" t="s">
        <v>147</v>
      </c>
      <c r="E924" s="34" t="str">
        <f>"2399"</f>
        <v>2399</v>
      </c>
      <c r="F924" s="31" t="s">
        <v>1699</v>
      </c>
      <c r="G924" s="1"/>
      <c r="H924" s="1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x14ac:dyDescent="0.25">
      <c r="A925" t="str">
        <f t="shared" si="49"/>
        <v>17801</v>
      </c>
      <c r="B925" s="34">
        <v>121</v>
      </c>
      <c r="C925" s="31" t="str">
        <f t="shared" si="48"/>
        <v>27403</v>
      </c>
      <c r="D925" s="31" t="s">
        <v>147</v>
      </c>
      <c r="E925" s="34" t="str">
        <f>"4158"</f>
        <v>4158</v>
      </c>
      <c r="F925" s="31" t="s">
        <v>1700</v>
      </c>
      <c r="G925" s="1"/>
      <c r="H925" s="1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x14ac:dyDescent="0.25">
      <c r="A926" t="str">
        <f t="shared" si="49"/>
        <v>17801</v>
      </c>
      <c r="B926" s="34">
        <v>121</v>
      </c>
      <c r="C926" s="31" t="str">
        <f t="shared" si="48"/>
        <v>27403</v>
      </c>
      <c r="D926" s="31" t="s">
        <v>147</v>
      </c>
      <c r="E926" s="34" t="str">
        <f>"3751"</f>
        <v>3751</v>
      </c>
      <c r="F926" s="31" t="s">
        <v>1701</v>
      </c>
      <c r="G926" s="1"/>
      <c r="H926" s="1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x14ac:dyDescent="0.25">
      <c r="A927" t="str">
        <f t="shared" si="49"/>
        <v>17801</v>
      </c>
      <c r="B927" s="33">
        <v>121</v>
      </c>
      <c r="C927" s="35">
        <v>27019</v>
      </c>
      <c r="D927" t="s">
        <v>2260</v>
      </c>
      <c r="E927" s="36">
        <v>2466</v>
      </c>
      <c r="F927" t="s">
        <v>2261</v>
      </c>
      <c r="G927" s="1"/>
      <c r="H927" s="1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x14ac:dyDescent="0.25">
      <c r="A928" t="str">
        <f t="shared" si="49"/>
        <v>17801</v>
      </c>
      <c r="B928" s="33">
        <v>121</v>
      </c>
      <c r="D928" t="s">
        <v>2262</v>
      </c>
      <c r="E928" s="33"/>
      <c r="F928" t="s">
        <v>2263</v>
      </c>
      <c r="G928" s="1"/>
      <c r="H928" s="1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x14ac:dyDescent="0.25">
      <c r="A929" t="str">
        <f>"34950"</f>
        <v>34950</v>
      </c>
      <c r="B929" s="33">
        <v>121</v>
      </c>
      <c r="C929" t="str">
        <f>"27901"</f>
        <v>27901</v>
      </c>
      <c r="D929" t="s">
        <v>2264</v>
      </c>
      <c r="E929" s="33" t="str">
        <f>"5549"</f>
        <v>5549</v>
      </c>
      <c r="F929" t="s">
        <v>2265</v>
      </c>
      <c r="G929" s="1"/>
      <c r="H929" s="1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x14ac:dyDescent="0.25">
      <c r="A930" t="str">
        <f t="shared" ref="A930:A993" si="50">"17801"</f>
        <v>17801</v>
      </c>
      <c r="B930" s="34">
        <v>121</v>
      </c>
      <c r="C930" s="31" t="str">
        <f t="shared" ref="C930:C955" si="51">"27400"</f>
        <v>27400</v>
      </c>
      <c r="D930" s="31" t="s">
        <v>122</v>
      </c>
      <c r="E930" s="34" t="str">
        <f>"3454"</f>
        <v>3454</v>
      </c>
      <c r="F930" s="31" t="s">
        <v>123</v>
      </c>
      <c r="G930" s="1"/>
      <c r="H930" s="1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x14ac:dyDescent="0.25">
      <c r="A931" t="str">
        <f t="shared" si="50"/>
        <v>17801</v>
      </c>
      <c r="B931" s="34">
        <v>121</v>
      </c>
      <c r="C931" s="31" t="str">
        <f t="shared" si="51"/>
        <v>27400</v>
      </c>
      <c r="D931" s="31" t="s">
        <v>122</v>
      </c>
      <c r="E931" s="34" t="str">
        <f>"3457"</f>
        <v>3457</v>
      </c>
      <c r="F931" s="31" t="s">
        <v>258</v>
      </c>
      <c r="G931" s="1"/>
      <c r="H931" s="1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x14ac:dyDescent="0.25">
      <c r="A932" t="str">
        <f t="shared" si="50"/>
        <v>17801</v>
      </c>
      <c r="B932" s="34">
        <v>121</v>
      </c>
      <c r="C932" s="31" t="str">
        <f t="shared" si="51"/>
        <v>27400</v>
      </c>
      <c r="D932" s="31" t="s">
        <v>122</v>
      </c>
      <c r="E932" s="34" t="str">
        <f>"2425"</f>
        <v>2425</v>
      </c>
      <c r="F932" s="31" t="s">
        <v>378</v>
      </c>
      <c r="G932" s="1"/>
      <c r="H932" s="1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x14ac:dyDescent="0.25">
      <c r="A933" t="str">
        <f t="shared" si="50"/>
        <v>17801</v>
      </c>
      <c r="B933" s="34">
        <v>121</v>
      </c>
      <c r="C933" s="31" t="str">
        <f t="shared" si="51"/>
        <v>27400</v>
      </c>
      <c r="D933" s="31" t="s">
        <v>122</v>
      </c>
      <c r="E933" s="34" t="str">
        <f>"5411"</f>
        <v>5411</v>
      </c>
      <c r="F933" s="31" t="s">
        <v>445</v>
      </c>
      <c r="G933" s="1"/>
      <c r="H933" s="1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x14ac:dyDescent="0.25">
      <c r="A934" t="str">
        <f t="shared" si="50"/>
        <v>17801</v>
      </c>
      <c r="B934" s="34">
        <v>121</v>
      </c>
      <c r="C934" s="31" t="str">
        <f t="shared" si="51"/>
        <v>27400</v>
      </c>
      <c r="D934" s="31" t="s">
        <v>122</v>
      </c>
      <c r="E934" s="34" t="str">
        <f>"2943"</f>
        <v>2943</v>
      </c>
      <c r="F934" s="31" t="s">
        <v>464</v>
      </c>
      <c r="G934" s="1"/>
      <c r="H934" s="1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x14ac:dyDescent="0.25">
      <c r="A935" t="str">
        <f t="shared" si="50"/>
        <v>17801</v>
      </c>
      <c r="B935" s="34">
        <v>121</v>
      </c>
      <c r="C935" s="31" t="str">
        <f t="shared" si="51"/>
        <v>27400</v>
      </c>
      <c r="D935" s="31" t="s">
        <v>122</v>
      </c>
      <c r="E935" s="34" t="str">
        <f>"3455"</f>
        <v>3455</v>
      </c>
      <c r="F935" s="31" t="s">
        <v>513</v>
      </c>
      <c r="G935" s="1"/>
      <c r="H935" s="1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x14ac:dyDescent="0.25">
      <c r="A936" t="str">
        <f t="shared" si="50"/>
        <v>17801</v>
      </c>
      <c r="B936" s="34">
        <v>121</v>
      </c>
      <c r="C936" s="31" t="str">
        <f t="shared" si="51"/>
        <v>27400</v>
      </c>
      <c r="D936" s="31" t="s">
        <v>122</v>
      </c>
      <c r="E936" s="34" t="str">
        <f>"4396"</f>
        <v>4396</v>
      </c>
      <c r="F936" s="31" t="s">
        <v>600</v>
      </c>
      <c r="G936" s="1"/>
      <c r="H936" s="1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x14ac:dyDescent="0.25">
      <c r="A937" t="str">
        <f t="shared" si="50"/>
        <v>17801</v>
      </c>
      <c r="B937" s="34">
        <v>121</v>
      </c>
      <c r="C937" s="31" t="str">
        <f t="shared" si="51"/>
        <v>27400</v>
      </c>
      <c r="D937" s="31" t="s">
        <v>122</v>
      </c>
      <c r="E937" s="34" t="str">
        <f>"2041"</f>
        <v>2041</v>
      </c>
      <c r="F937" s="31" t="s">
        <v>639</v>
      </c>
      <c r="G937" s="1"/>
      <c r="H937" s="1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x14ac:dyDescent="0.25">
      <c r="A938" t="str">
        <f t="shared" si="50"/>
        <v>17801</v>
      </c>
      <c r="B938" s="34">
        <v>121</v>
      </c>
      <c r="C938" s="31" t="str">
        <f t="shared" si="51"/>
        <v>27400</v>
      </c>
      <c r="D938" s="31" t="s">
        <v>122</v>
      </c>
      <c r="E938" s="34" t="str">
        <f>"5387"</f>
        <v>5387</v>
      </c>
      <c r="F938" s="31" t="s">
        <v>656</v>
      </c>
      <c r="G938" s="1"/>
      <c r="H938" s="1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x14ac:dyDescent="0.25">
      <c r="A939" t="str">
        <f t="shared" si="50"/>
        <v>17801</v>
      </c>
      <c r="B939" s="34">
        <v>121</v>
      </c>
      <c r="C939" s="31" t="str">
        <f t="shared" si="51"/>
        <v>27400</v>
      </c>
      <c r="D939" s="31" t="s">
        <v>122</v>
      </c>
      <c r="E939" s="34" t="str">
        <f>"5027"</f>
        <v>5027</v>
      </c>
      <c r="F939" t="s">
        <v>2266</v>
      </c>
      <c r="G939" s="1"/>
      <c r="H939" s="1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x14ac:dyDescent="0.25">
      <c r="A940" t="str">
        <f t="shared" si="50"/>
        <v>17801</v>
      </c>
      <c r="B940" s="34">
        <v>121</v>
      </c>
      <c r="C940" s="31" t="str">
        <f t="shared" si="51"/>
        <v>27400</v>
      </c>
      <c r="D940" s="31" t="s">
        <v>122</v>
      </c>
      <c r="E940" s="34" t="str">
        <f>"3298"</f>
        <v>3298</v>
      </c>
      <c r="F940" s="31" t="s">
        <v>820</v>
      </c>
      <c r="G940" s="1"/>
      <c r="H940" s="1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x14ac:dyDescent="0.25">
      <c r="A941" t="str">
        <f t="shared" si="50"/>
        <v>17801</v>
      </c>
      <c r="B941" s="34">
        <v>121</v>
      </c>
      <c r="C941" s="31" t="str">
        <f t="shared" si="51"/>
        <v>27400</v>
      </c>
      <c r="D941" s="31" t="s">
        <v>122</v>
      </c>
      <c r="E941" s="34" t="str">
        <f>"3248"</f>
        <v>3248</v>
      </c>
      <c r="F941" s="31" t="s">
        <v>853</v>
      </c>
      <c r="G941" s="1"/>
      <c r="H941" s="1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x14ac:dyDescent="0.25">
      <c r="A942" t="str">
        <f t="shared" si="50"/>
        <v>17801</v>
      </c>
      <c r="B942" s="34">
        <v>121</v>
      </c>
      <c r="C942" s="31" t="str">
        <f t="shared" si="51"/>
        <v>27400</v>
      </c>
      <c r="D942" s="31" t="s">
        <v>122</v>
      </c>
      <c r="E942" s="34" t="str">
        <f>"3117"</f>
        <v>3117</v>
      </c>
      <c r="F942" s="31" t="s">
        <v>858</v>
      </c>
      <c r="G942" s="1"/>
      <c r="H942" s="1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x14ac:dyDescent="0.25">
      <c r="A943" t="str">
        <f t="shared" si="50"/>
        <v>17801</v>
      </c>
      <c r="B943" s="34">
        <v>121</v>
      </c>
      <c r="C943" s="31" t="str">
        <f t="shared" si="51"/>
        <v>27400</v>
      </c>
      <c r="D943" s="31" t="s">
        <v>122</v>
      </c>
      <c r="E943" s="34" t="str">
        <f>"3351"</f>
        <v>3351</v>
      </c>
      <c r="F943" s="31" t="s">
        <v>988</v>
      </c>
      <c r="G943" s="1"/>
      <c r="H943" s="1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x14ac:dyDescent="0.25">
      <c r="A944" t="str">
        <f t="shared" si="50"/>
        <v>17801</v>
      </c>
      <c r="B944" s="34">
        <v>121</v>
      </c>
      <c r="C944" s="31" t="str">
        <f t="shared" si="51"/>
        <v>27400</v>
      </c>
      <c r="D944" s="31" t="s">
        <v>122</v>
      </c>
      <c r="E944" s="34" t="str">
        <f>"3456"</f>
        <v>3456</v>
      </c>
      <c r="F944" s="31" t="s">
        <v>1008</v>
      </c>
      <c r="G944" s="29"/>
      <c r="H944" s="29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x14ac:dyDescent="0.25">
      <c r="A945" t="str">
        <f t="shared" si="50"/>
        <v>17801</v>
      </c>
      <c r="B945" s="34">
        <v>121</v>
      </c>
      <c r="C945" s="31" t="str">
        <f t="shared" si="51"/>
        <v>27400</v>
      </c>
      <c r="D945" s="31" t="s">
        <v>122</v>
      </c>
      <c r="E945" s="34" t="str">
        <f>"2652"</f>
        <v>2652</v>
      </c>
      <c r="F945" s="31" t="s">
        <v>1012</v>
      </c>
      <c r="G945" s="1"/>
      <c r="H945" s="1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x14ac:dyDescent="0.25">
      <c r="A946" t="str">
        <f t="shared" si="50"/>
        <v>17801</v>
      </c>
      <c r="B946" s="34">
        <v>121</v>
      </c>
      <c r="C946" s="31" t="str">
        <f t="shared" si="51"/>
        <v>27400</v>
      </c>
      <c r="D946" s="31" t="s">
        <v>122</v>
      </c>
      <c r="E946" s="34" t="str">
        <f>"3602"</f>
        <v>3602</v>
      </c>
      <c r="F946" s="31" t="s">
        <v>1071</v>
      </c>
      <c r="G946" s="1"/>
      <c r="H946" s="1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x14ac:dyDescent="0.25">
      <c r="A947" t="str">
        <f t="shared" si="50"/>
        <v>17801</v>
      </c>
      <c r="B947" s="34">
        <v>121</v>
      </c>
      <c r="C947" s="31" t="str">
        <f t="shared" si="51"/>
        <v>27400</v>
      </c>
      <c r="D947" s="31" t="s">
        <v>122</v>
      </c>
      <c r="E947" s="34" t="str">
        <f>"5364"</f>
        <v>5364</v>
      </c>
      <c r="F947" s="31" t="s">
        <v>1191</v>
      </c>
      <c r="G947" s="1"/>
      <c r="H947" s="1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x14ac:dyDescent="0.25">
      <c r="A948" t="str">
        <f t="shared" si="50"/>
        <v>17801</v>
      </c>
      <c r="B948" s="34">
        <v>121</v>
      </c>
      <c r="C948" s="31" t="str">
        <f t="shared" si="51"/>
        <v>27400</v>
      </c>
      <c r="D948" s="31" t="s">
        <v>122</v>
      </c>
      <c r="E948" s="34" t="str">
        <f>"3910"</f>
        <v>3910</v>
      </c>
      <c r="F948" s="31" t="s">
        <v>1333</v>
      </c>
      <c r="G948" s="1"/>
      <c r="H948" s="1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x14ac:dyDescent="0.25">
      <c r="A949" t="str">
        <f t="shared" si="50"/>
        <v>17801</v>
      </c>
      <c r="B949" s="34">
        <v>121</v>
      </c>
      <c r="C949" s="31" t="str">
        <f t="shared" si="51"/>
        <v>27400</v>
      </c>
      <c r="D949" s="31" t="s">
        <v>122</v>
      </c>
      <c r="E949" s="34" t="str">
        <f>"3763"</f>
        <v>3763</v>
      </c>
      <c r="F949" s="31" t="s">
        <v>1338</v>
      </c>
      <c r="G949" s="1"/>
      <c r="H949" s="1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x14ac:dyDescent="0.25">
      <c r="A950" t="str">
        <f t="shared" si="50"/>
        <v>17801</v>
      </c>
      <c r="B950" s="34">
        <v>121</v>
      </c>
      <c r="C950" s="31" t="str">
        <f t="shared" si="51"/>
        <v>27400</v>
      </c>
      <c r="D950" s="31" t="s">
        <v>122</v>
      </c>
      <c r="E950" s="34" t="str">
        <f>"5298"</f>
        <v>5298</v>
      </c>
      <c r="F950" s="31" t="s">
        <v>2002</v>
      </c>
      <c r="G950" s="1"/>
      <c r="H950" s="1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x14ac:dyDescent="0.25">
      <c r="A951" t="str">
        <f t="shared" si="50"/>
        <v>17801</v>
      </c>
      <c r="B951" s="34">
        <v>121</v>
      </c>
      <c r="C951" s="31" t="str">
        <f t="shared" si="51"/>
        <v>27400</v>
      </c>
      <c r="D951" s="31" t="s">
        <v>122</v>
      </c>
      <c r="E951" s="34" t="str">
        <f>"2189"</f>
        <v>2189</v>
      </c>
      <c r="F951" s="31" t="s">
        <v>1414</v>
      </c>
      <c r="G951" s="1"/>
      <c r="H951" s="1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x14ac:dyDescent="0.25">
      <c r="A952" t="str">
        <f t="shared" si="50"/>
        <v>17801</v>
      </c>
      <c r="B952" s="34">
        <v>121</v>
      </c>
      <c r="C952" s="31" t="str">
        <f t="shared" si="51"/>
        <v>27400</v>
      </c>
      <c r="D952" s="31" t="s">
        <v>122</v>
      </c>
      <c r="E952" s="34" t="str">
        <f>"5365"</f>
        <v>5365</v>
      </c>
      <c r="F952" s="31" t="s">
        <v>1495</v>
      </c>
      <c r="G952" s="1"/>
      <c r="H952" s="1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x14ac:dyDescent="0.25">
      <c r="A953" t="str">
        <f t="shared" si="50"/>
        <v>17801</v>
      </c>
      <c r="B953" s="34">
        <v>121</v>
      </c>
      <c r="C953" s="31" t="str">
        <f t="shared" si="51"/>
        <v>27400</v>
      </c>
      <c r="D953" s="31" t="s">
        <v>122</v>
      </c>
      <c r="E953" s="33" t="str">
        <f>"3500"</f>
        <v>3500</v>
      </c>
      <c r="F953" t="s">
        <v>2267</v>
      </c>
      <c r="G953" s="1"/>
      <c r="H953" s="1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x14ac:dyDescent="0.25">
      <c r="A954" t="str">
        <f t="shared" si="50"/>
        <v>17801</v>
      </c>
      <c r="B954" s="34">
        <v>121</v>
      </c>
      <c r="C954" s="31" t="str">
        <f t="shared" si="51"/>
        <v>27400</v>
      </c>
      <c r="D954" s="31" t="s">
        <v>122</v>
      </c>
      <c r="E954" s="34" t="str">
        <f>"2651"</f>
        <v>2651</v>
      </c>
      <c r="F954" s="31" t="s">
        <v>1798</v>
      </c>
      <c r="G954" s="1"/>
      <c r="H954" s="1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x14ac:dyDescent="0.25">
      <c r="A955" t="str">
        <f t="shared" si="50"/>
        <v>17801</v>
      </c>
      <c r="B955" s="34">
        <v>121</v>
      </c>
      <c r="C955" s="31" t="str">
        <f t="shared" si="51"/>
        <v>27400</v>
      </c>
      <c r="D955" s="31" t="s">
        <v>122</v>
      </c>
      <c r="E955" s="34" t="str">
        <f>"3249"</f>
        <v>3249</v>
      </c>
      <c r="F955" s="31" t="s">
        <v>1835</v>
      </c>
      <c r="G955" s="1"/>
      <c r="H955" s="1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x14ac:dyDescent="0.25">
      <c r="A956" t="str">
        <f t="shared" si="50"/>
        <v>17801</v>
      </c>
      <c r="B956" s="34">
        <v>121</v>
      </c>
      <c r="C956" s="35">
        <v>27343</v>
      </c>
      <c r="D956" s="31" t="s">
        <v>499</v>
      </c>
      <c r="E956" s="36">
        <v>4548</v>
      </c>
      <c r="F956" s="31" t="s">
        <v>500</v>
      </c>
      <c r="G956" s="1"/>
      <c r="H956" s="1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x14ac:dyDescent="0.25">
      <c r="A957" t="str">
        <f t="shared" si="50"/>
        <v>17801</v>
      </c>
      <c r="B957" s="34">
        <v>121</v>
      </c>
      <c r="C957" s="35">
        <v>27343</v>
      </c>
      <c r="D957" s="31" t="s">
        <v>499</v>
      </c>
      <c r="E957" s="36">
        <v>3683</v>
      </c>
      <c r="F957" s="31" t="s">
        <v>998</v>
      </c>
      <c r="G957" s="1"/>
      <c r="H957" s="1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x14ac:dyDescent="0.25">
      <c r="A958" t="str">
        <f t="shared" si="50"/>
        <v>17801</v>
      </c>
      <c r="B958" s="34">
        <v>121</v>
      </c>
      <c r="C958" s="35">
        <v>27343</v>
      </c>
      <c r="D958" s="31" t="s">
        <v>499</v>
      </c>
      <c r="E958" s="36">
        <v>4416</v>
      </c>
      <c r="F958" s="31" t="s">
        <v>1315</v>
      </c>
      <c r="G958" s="1"/>
      <c r="H958" s="1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x14ac:dyDescent="0.25">
      <c r="A959" t="str">
        <f t="shared" si="50"/>
        <v>17801</v>
      </c>
      <c r="B959" s="34">
        <v>121</v>
      </c>
      <c r="C959" s="31" t="str">
        <f t="shared" ref="C959:C964" si="52">"27404"</f>
        <v>27404</v>
      </c>
      <c r="D959" s="31" t="s">
        <v>390</v>
      </c>
      <c r="E959" s="34" t="str">
        <f>"2808"</f>
        <v>2808</v>
      </c>
      <c r="F959" s="31" t="s">
        <v>391</v>
      </c>
      <c r="G959" s="1"/>
      <c r="H959" s="1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x14ac:dyDescent="0.25">
      <c r="A960" t="str">
        <f t="shared" si="50"/>
        <v>17801</v>
      </c>
      <c r="B960" s="34">
        <v>121</v>
      </c>
      <c r="C960" s="31" t="str">
        <f t="shared" si="52"/>
        <v>27404</v>
      </c>
      <c r="D960" s="31" t="s">
        <v>390</v>
      </c>
      <c r="E960" s="34" t="str">
        <f>"2205"</f>
        <v>2205</v>
      </c>
      <c r="F960" s="31" t="s">
        <v>542</v>
      </c>
      <c r="G960" s="1"/>
      <c r="H960" s="1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x14ac:dyDescent="0.25">
      <c r="A961" t="str">
        <f t="shared" si="50"/>
        <v>17801</v>
      </c>
      <c r="B961" s="34">
        <v>121</v>
      </c>
      <c r="C961" s="31" t="str">
        <f t="shared" si="52"/>
        <v>27404</v>
      </c>
      <c r="D961" s="31" t="s">
        <v>390</v>
      </c>
      <c r="E961" s="34" t="str">
        <f>"2206"</f>
        <v>2206</v>
      </c>
      <c r="F961" s="31" t="s">
        <v>543</v>
      </c>
      <c r="G961" s="1"/>
      <c r="H961" s="1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x14ac:dyDescent="0.25">
      <c r="A962" t="str">
        <f t="shared" si="50"/>
        <v>17801</v>
      </c>
      <c r="B962" s="34">
        <v>121</v>
      </c>
      <c r="C962" s="31" t="str">
        <f t="shared" si="52"/>
        <v>27404</v>
      </c>
      <c r="D962" s="31" t="s">
        <v>390</v>
      </c>
      <c r="E962" s="34" t="str">
        <f>"4230"</f>
        <v>4230</v>
      </c>
      <c r="F962" s="31" t="s">
        <v>544</v>
      </c>
      <c r="G962" s="1"/>
      <c r="H962" s="1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x14ac:dyDescent="0.25">
      <c r="A963" t="str">
        <f t="shared" si="50"/>
        <v>17801</v>
      </c>
      <c r="B963" s="34">
        <v>121</v>
      </c>
      <c r="C963" s="31" t="str">
        <f t="shared" si="52"/>
        <v>27404</v>
      </c>
      <c r="D963" s="31" t="s">
        <v>390</v>
      </c>
      <c r="E963" s="34" t="str">
        <f>"5300"</f>
        <v>5300</v>
      </c>
      <c r="F963" s="31" t="s">
        <v>2000</v>
      </c>
      <c r="G963" s="1"/>
      <c r="H963" s="1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x14ac:dyDescent="0.25">
      <c r="A964" t="str">
        <f t="shared" si="50"/>
        <v>17801</v>
      </c>
      <c r="B964" s="34">
        <v>121</v>
      </c>
      <c r="C964" s="31" t="str">
        <f t="shared" si="52"/>
        <v>27404</v>
      </c>
      <c r="D964" s="31" t="s">
        <v>390</v>
      </c>
      <c r="E964" s="34" t="str">
        <f>"2361"</f>
        <v>2361</v>
      </c>
      <c r="F964" s="31" t="s">
        <v>1925</v>
      </c>
      <c r="G964" s="1"/>
      <c r="H964" s="1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x14ac:dyDescent="0.25">
      <c r="A965" t="str">
        <f t="shared" si="50"/>
        <v>17801</v>
      </c>
      <c r="B965" s="34">
        <v>121</v>
      </c>
      <c r="C965" s="31" t="str">
        <f t="shared" ref="C965:C973" si="53">"17216"</f>
        <v>17216</v>
      </c>
      <c r="D965" s="31" t="s">
        <v>160</v>
      </c>
      <c r="E965" s="34" t="str">
        <f>"3430"</f>
        <v>3430</v>
      </c>
      <c r="F965" s="31" t="s">
        <v>161</v>
      </c>
      <c r="G965" s="1"/>
      <c r="H965" s="1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x14ac:dyDescent="0.25">
      <c r="A966" t="str">
        <f t="shared" si="50"/>
        <v>17801</v>
      </c>
      <c r="B966" s="34">
        <v>121</v>
      </c>
      <c r="C966" s="31" t="str">
        <f t="shared" si="53"/>
        <v>17216</v>
      </c>
      <c r="D966" s="31" t="s">
        <v>160</v>
      </c>
      <c r="E966" s="34" t="str">
        <f>"2980"</f>
        <v>2980</v>
      </c>
      <c r="F966" s="31" t="s">
        <v>224</v>
      </c>
      <c r="G966" s="1"/>
      <c r="H966" s="1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x14ac:dyDescent="0.25">
      <c r="A967" t="str">
        <f t="shared" si="50"/>
        <v>17801</v>
      </c>
      <c r="B967" s="34">
        <v>121</v>
      </c>
      <c r="C967" s="31" t="str">
        <f t="shared" si="53"/>
        <v>17216</v>
      </c>
      <c r="D967" s="31" t="s">
        <v>160</v>
      </c>
      <c r="E967" s="34" t="str">
        <f>"4210"</f>
        <v>4210</v>
      </c>
      <c r="F967" s="31" t="s">
        <v>592</v>
      </c>
      <c r="G967" s="1"/>
      <c r="H967" s="1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x14ac:dyDescent="0.25">
      <c r="A968" t="str">
        <f t="shared" si="50"/>
        <v>17801</v>
      </c>
      <c r="B968" s="34">
        <v>121</v>
      </c>
      <c r="C968" s="31" t="str">
        <f t="shared" si="53"/>
        <v>17216</v>
      </c>
      <c r="D968" s="31" t="s">
        <v>160</v>
      </c>
      <c r="E968" s="34" t="str">
        <f>"3330"</f>
        <v>3330</v>
      </c>
      <c r="F968" s="31" t="s">
        <v>593</v>
      </c>
      <c r="G968" s="1"/>
      <c r="H968" s="1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x14ac:dyDescent="0.25">
      <c r="A969" t="str">
        <f t="shared" si="50"/>
        <v>17801</v>
      </c>
      <c r="B969" s="34">
        <v>121</v>
      </c>
      <c r="C969" s="31" t="str">
        <f t="shared" si="53"/>
        <v>17216</v>
      </c>
      <c r="D969" s="31" t="s">
        <v>160</v>
      </c>
      <c r="E969" s="36">
        <v>5491</v>
      </c>
      <c r="F969" s="31" t="s">
        <v>2065</v>
      </c>
      <c r="G969" s="1"/>
      <c r="H969" s="1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x14ac:dyDescent="0.25">
      <c r="A970" t="str">
        <f t="shared" si="50"/>
        <v>17801</v>
      </c>
      <c r="B970" s="34">
        <v>121</v>
      </c>
      <c r="C970" s="31" t="str">
        <f t="shared" si="53"/>
        <v>17216</v>
      </c>
      <c r="D970" s="31" t="s">
        <v>160</v>
      </c>
      <c r="E970" s="34" t="str">
        <f>"3739"</f>
        <v>3739</v>
      </c>
      <c r="F970" s="31" t="s">
        <v>1697</v>
      </c>
      <c r="G970" s="1"/>
      <c r="H970" s="1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x14ac:dyDescent="0.25">
      <c r="A971" t="str">
        <f t="shared" si="50"/>
        <v>17801</v>
      </c>
      <c r="B971" s="34">
        <v>121</v>
      </c>
      <c r="C971" s="31" t="str">
        <f t="shared" si="53"/>
        <v>17216</v>
      </c>
      <c r="D971" s="31" t="s">
        <v>160</v>
      </c>
      <c r="E971" s="34" t="str">
        <f>"4289"</f>
        <v>4289</v>
      </c>
      <c r="F971" s="31" t="s">
        <v>1756</v>
      </c>
      <c r="G971" s="1"/>
      <c r="H971" s="1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x14ac:dyDescent="0.25">
      <c r="A972" t="str">
        <f t="shared" si="50"/>
        <v>17801</v>
      </c>
      <c r="B972" s="34">
        <v>121</v>
      </c>
      <c r="C972" s="31" t="str">
        <f t="shared" si="53"/>
        <v>17216</v>
      </c>
      <c r="D972" s="31" t="s">
        <v>160</v>
      </c>
      <c r="E972" s="34" t="str">
        <f>"4550"</f>
        <v>4550</v>
      </c>
      <c r="F972" s="31" t="s">
        <v>1793</v>
      </c>
      <c r="G972" s="1"/>
      <c r="H972" s="1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x14ac:dyDescent="0.25">
      <c r="A973" t="str">
        <f t="shared" si="50"/>
        <v>17801</v>
      </c>
      <c r="B973" s="34">
        <v>121</v>
      </c>
      <c r="C973" s="31" t="str">
        <f t="shared" si="53"/>
        <v>17216</v>
      </c>
      <c r="D973" s="31" t="s">
        <v>160</v>
      </c>
      <c r="E973" s="34" t="str">
        <f>"3585"</f>
        <v>3585</v>
      </c>
      <c r="F973" s="31" t="s">
        <v>1923</v>
      </c>
      <c r="G973" s="1"/>
      <c r="H973" s="1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x14ac:dyDescent="0.25">
      <c r="A974" t="str">
        <f t="shared" si="50"/>
        <v>17801</v>
      </c>
      <c r="B974" s="63">
        <v>121</v>
      </c>
      <c r="C974" s="64" t="str">
        <f t="shared" ref="C974:C1010" si="54">"17210"</f>
        <v>17210</v>
      </c>
      <c r="D974" s="64" t="s">
        <v>24</v>
      </c>
      <c r="E974" s="63" t="str">
        <f>"3519"</f>
        <v>3519</v>
      </c>
      <c r="F974" s="64" t="s">
        <v>25</v>
      </c>
      <c r="G974" s="1"/>
      <c r="H974" s="1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x14ac:dyDescent="0.25">
      <c r="A975" t="str">
        <f t="shared" si="50"/>
        <v>17801</v>
      </c>
      <c r="B975" s="63">
        <v>121</v>
      </c>
      <c r="C975" s="64" t="str">
        <f t="shared" si="54"/>
        <v>17210</v>
      </c>
      <c r="D975" s="64" t="s">
        <v>24</v>
      </c>
      <c r="E975" s="63" t="str">
        <f>"3700"</f>
        <v>3700</v>
      </c>
      <c r="F975" s="64" t="s">
        <v>201</v>
      </c>
      <c r="G975" s="1"/>
      <c r="H975" s="1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x14ac:dyDescent="0.25">
      <c r="A976" t="str">
        <f t="shared" si="50"/>
        <v>17801</v>
      </c>
      <c r="B976" s="63">
        <v>121</v>
      </c>
      <c r="C976" s="64" t="str">
        <f t="shared" si="54"/>
        <v>17210</v>
      </c>
      <c r="D976" s="64" t="s">
        <v>24</v>
      </c>
      <c r="E976" s="63" t="str">
        <f>"3547"</f>
        <v>3547</v>
      </c>
      <c r="F976" s="64" t="s">
        <v>231</v>
      </c>
      <c r="G976" s="1"/>
      <c r="H976" s="1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x14ac:dyDescent="0.25">
      <c r="A977" t="str">
        <f t="shared" si="50"/>
        <v>17801</v>
      </c>
      <c r="B977" s="63">
        <v>121</v>
      </c>
      <c r="C977" s="64" t="str">
        <f t="shared" si="54"/>
        <v>17210</v>
      </c>
      <c r="D977" s="64" t="s">
        <v>24</v>
      </c>
      <c r="E977" s="63" t="str">
        <f>"5163"</f>
        <v>5163</v>
      </c>
      <c r="F977" s="64" t="s">
        <v>248</v>
      </c>
      <c r="G977" s="1"/>
      <c r="H977" s="1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x14ac:dyDescent="0.25">
      <c r="A978" t="str">
        <f t="shared" si="50"/>
        <v>17801</v>
      </c>
      <c r="B978" s="63">
        <v>121</v>
      </c>
      <c r="C978" s="64" t="str">
        <f t="shared" si="54"/>
        <v>17210</v>
      </c>
      <c r="D978" s="64" t="s">
        <v>24</v>
      </c>
      <c r="E978" s="63" t="str">
        <f>"3766"</f>
        <v>3766</v>
      </c>
      <c r="F978" s="64" t="s">
        <v>488</v>
      </c>
      <c r="G978" s="1"/>
      <c r="H978" s="1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x14ac:dyDescent="0.25">
      <c r="A979" t="str">
        <f t="shared" si="50"/>
        <v>17801</v>
      </c>
      <c r="B979" s="63">
        <v>121</v>
      </c>
      <c r="C979" s="64" t="str">
        <f t="shared" si="54"/>
        <v>17210</v>
      </c>
      <c r="D979" s="64" t="s">
        <v>24</v>
      </c>
      <c r="E979" s="63" t="str">
        <f>"1950"</f>
        <v>1950</v>
      </c>
      <c r="F979" s="64" t="s">
        <v>582</v>
      </c>
      <c r="G979" s="1"/>
      <c r="H979" s="1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x14ac:dyDescent="0.25">
      <c r="A980" t="str">
        <f t="shared" si="50"/>
        <v>17801</v>
      </c>
      <c r="B980" s="63">
        <v>121</v>
      </c>
      <c r="C980" s="64" t="str">
        <f t="shared" si="54"/>
        <v>17210</v>
      </c>
      <c r="D980" s="64" t="s">
        <v>24</v>
      </c>
      <c r="E980" s="63" t="str">
        <f>"4470"</f>
        <v>4470</v>
      </c>
      <c r="F980" s="64" t="s">
        <v>589</v>
      </c>
      <c r="G980" s="1"/>
      <c r="H980" s="1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x14ac:dyDescent="0.25">
      <c r="A981" t="str">
        <f t="shared" si="50"/>
        <v>17801</v>
      </c>
      <c r="B981" s="63">
        <v>121</v>
      </c>
      <c r="C981" s="64" t="str">
        <f t="shared" si="54"/>
        <v>17210</v>
      </c>
      <c r="D981" s="64" t="s">
        <v>24</v>
      </c>
      <c r="E981" s="63" t="str">
        <f>"2417"</f>
        <v>2417</v>
      </c>
      <c r="F981" s="64" t="s">
        <v>620</v>
      </c>
      <c r="G981" s="1"/>
      <c r="H981" s="1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x14ac:dyDescent="0.25">
      <c r="A982" t="str">
        <f t="shared" si="50"/>
        <v>17801</v>
      </c>
      <c r="B982" s="63">
        <v>121</v>
      </c>
      <c r="C982" s="64" t="str">
        <f t="shared" si="54"/>
        <v>17210</v>
      </c>
      <c r="D982" s="64" t="s">
        <v>24</v>
      </c>
      <c r="E982" s="63" t="str">
        <f>"1789"</f>
        <v>1789</v>
      </c>
      <c r="F982" s="64" t="s">
        <v>621</v>
      </c>
      <c r="G982" s="1"/>
      <c r="H982" s="1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x14ac:dyDescent="0.25">
      <c r="A983" t="str">
        <f t="shared" si="50"/>
        <v>17801</v>
      </c>
      <c r="B983" s="63">
        <v>121</v>
      </c>
      <c r="C983" s="64" t="str">
        <f t="shared" si="54"/>
        <v>17210</v>
      </c>
      <c r="D983" s="64" t="s">
        <v>24</v>
      </c>
      <c r="E983" s="63" t="str">
        <f>"4426"</f>
        <v>4426</v>
      </c>
      <c r="F983" s="64" t="s">
        <v>746</v>
      </c>
      <c r="G983" s="1"/>
      <c r="H983" s="1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x14ac:dyDescent="0.25">
      <c r="A984" t="str">
        <f t="shared" si="50"/>
        <v>17801</v>
      </c>
      <c r="B984" s="63">
        <v>121</v>
      </c>
      <c r="C984" s="64" t="str">
        <f t="shared" si="54"/>
        <v>17210</v>
      </c>
      <c r="D984" s="64" t="s">
        <v>24</v>
      </c>
      <c r="E984" s="63" t="str">
        <f>"3898"</f>
        <v>3898</v>
      </c>
      <c r="F984" s="64" t="s">
        <v>861</v>
      </c>
      <c r="G984" s="1"/>
      <c r="H984" s="1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x14ac:dyDescent="0.25">
      <c r="A985" t="str">
        <f t="shared" si="50"/>
        <v>17801</v>
      </c>
      <c r="B985" s="63">
        <v>121</v>
      </c>
      <c r="C985" s="64" t="str">
        <f t="shared" si="54"/>
        <v>17210</v>
      </c>
      <c r="D985" s="64" t="s">
        <v>24</v>
      </c>
      <c r="E985" s="63" t="str">
        <f>"3701"</f>
        <v>3701</v>
      </c>
      <c r="F985" s="64" t="s">
        <v>948</v>
      </c>
      <c r="G985" s="1"/>
      <c r="H985" s="1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x14ac:dyDescent="0.25">
      <c r="A986" t="str">
        <f t="shared" si="50"/>
        <v>17801</v>
      </c>
      <c r="B986" s="63">
        <v>121</v>
      </c>
      <c r="C986" s="64" t="str">
        <f t="shared" si="54"/>
        <v>17210</v>
      </c>
      <c r="D986" s="64" t="s">
        <v>24</v>
      </c>
      <c r="E986" s="63" t="str">
        <f>"3738"</f>
        <v>3738</v>
      </c>
      <c r="F986" s="64" t="s">
        <v>984</v>
      </c>
      <c r="G986" s="1"/>
      <c r="H986" s="1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x14ac:dyDescent="0.25">
      <c r="A987" t="str">
        <f t="shared" si="50"/>
        <v>17801</v>
      </c>
      <c r="B987" s="63">
        <v>121</v>
      </c>
      <c r="C987" s="64" t="str">
        <f t="shared" si="54"/>
        <v>17210</v>
      </c>
      <c r="D987" s="64" t="s">
        <v>24</v>
      </c>
      <c r="E987" s="63" t="str">
        <f>"3568"</f>
        <v>3568</v>
      </c>
      <c r="F987" s="64" t="s">
        <v>986</v>
      </c>
      <c r="G987" s="1"/>
      <c r="H987" s="1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x14ac:dyDescent="0.25">
      <c r="A988" t="str">
        <f t="shared" si="50"/>
        <v>17801</v>
      </c>
      <c r="B988" s="63">
        <v>121</v>
      </c>
      <c r="C988" s="64" t="str">
        <f t="shared" si="54"/>
        <v>17210</v>
      </c>
      <c r="D988" s="64" t="s">
        <v>24</v>
      </c>
      <c r="E988" s="63" t="str">
        <f>"2841"</f>
        <v>2841</v>
      </c>
      <c r="F988" s="64" t="s">
        <v>1003</v>
      </c>
      <c r="G988" s="1"/>
      <c r="H988" s="1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x14ac:dyDescent="0.25">
      <c r="A989" t="str">
        <f t="shared" si="50"/>
        <v>17801</v>
      </c>
      <c r="B989" s="63">
        <v>121</v>
      </c>
      <c r="C989" s="64" t="str">
        <f t="shared" si="54"/>
        <v>17210</v>
      </c>
      <c r="D989" s="64" t="s">
        <v>24</v>
      </c>
      <c r="E989" s="63" t="str">
        <f>"3381"</f>
        <v>3381</v>
      </c>
      <c r="F989" s="64" t="s">
        <v>1017</v>
      </c>
      <c r="G989" s="1"/>
      <c r="H989" s="1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x14ac:dyDescent="0.25">
      <c r="A990" t="str">
        <f t="shared" si="50"/>
        <v>17801</v>
      </c>
      <c r="B990" s="63">
        <v>121</v>
      </c>
      <c r="C990" s="64" t="str">
        <f t="shared" si="54"/>
        <v>17210</v>
      </c>
      <c r="D990" s="64" t="s">
        <v>24</v>
      </c>
      <c r="E990" s="63" t="str">
        <f>"3627"</f>
        <v>3627</v>
      </c>
      <c r="F990" s="64" t="s">
        <v>1129</v>
      </c>
      <c r="G990" s="1"/>
      <c r="H990" s="1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x14ac:dyDescent="0.25">
      <c r="A991" t="str">
        <f t="shared" si="50"/>
        <v>17801</v>
      </c>
      <c r="B991" s="63">
        <v>121</v>
      </c>
      <c r="C991" s="64" t="str">
        <f t="shared" si="54"/>
        <v>17210</v>
      </c>
      <c r="D991" s="64" t="s">
        <v>24</v>
      </c>
      <c r="E991" s="63" t="str">
        <f>"4480"</f>
        <v>4480</v>
      </c>
      <c r="F991" s="64" t="s">
        <v>1185</v>
      </c>
      <c r="G991" s="1"/>
      <c r="H991" s="1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x14ac:dyDescent="0.25">
      <c r="A992" t="str">
        <f t="shared" si="50"/>
        <v>17801</v>
      </c>
      <c r="B992" s="63">
        <v>121</v>
      </c>
      <c r="C992" s="64" t="str">
        <f t="shared" si="54"/>
        <v>17210</v>
      </c>
      <c r="D992" s="64" t="s">
        <v>24</v>
      </c>
      <c r="E992" s="63" t="str">
        <f>"3159"</f>
        <v>3159</v>
      </c>
      <c r="F992" s="64" t="s">
        <v>1212</v>
      </c>
      <c r="G992" s="1"/>
      <c r="H992" s="1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x14ac:dyDescent="0.25">
      <c r="A993" t="str">
        <f t="shared" si="50"/>
        <v>17801</v>
      </c>
      <c r="B993" s="63">
        <v>121</v>
      </c>
      <c r="C993" s="64" t="str">
        <f t="shared" si="54"/>
        <v>17210</v>
      </c>
      <c r="D993" s="64" t="s">
        <v>24</v>
      </c>
      <c r="E993" s="63" t="str">
        <f>"3625"</f>
        <v>3625</v>
      </c>
      <c r="F993" s="64" t="s">
        <v>1281</v>
      </c>
      <c r="G993" s="1"/>
      <c r="H993" s="1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x14ac:dyDescent="0.25">
      <c r="A994" t="str">
        <f t="shared" ref="A994:A1057" si="55">"17801"</f>
        <v>17801</v>
      </c>
      <c r="B994" s="63">
        <v>121</v>
      </c>
      <c r="C994" s="64" t="str">
        <f t="shared" si="54"/>
        <v>17210</v>
      </c>
      <c r="D994" s="64" t="s">
        <v>24</v>
      </c>
      <c r="E994" s="63" t="str">
        <f>"3432"</f>
        <v>3432</v>
      </c>
      <c r="F994" s="64" t="s">
        <v>1369</v>
      </c>
      <c r="G994" s="1"/>
      <c r="H994" s="1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x14ac:dyDescent="0.25">
      <c r="A995" t="str">
        <f t="shared" si="55"/>
        <v>17801</v>
      </c>
      <c r="B995" s="63">
        <v>121</v>
      </c>
      <c r="C995" s="64" t="str">
        <f t="shared" si="54"/>
        <v>17210</v>
      </c>
      <c r="D995" s="64" t="s">
        <v>24</v>
      </c>
      <c r="E995" s="63" t="str">
        <f>"3329"</f>
        <v>3329</v>
      </c>
      <c r="F995" s="64" t="s">
        <v>1411</v>
      </c>
      <c r="G995" s="1"/>
      <c r="H995" s="1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x14ac:dyDescent="0.25">
      <c r="A996" t="str">
        <f t="shared" si="55"/>
        <v>17801</v>
      </c>
      <c r="B996" s="63">
        <v>121</v>
      </c>
      <c r="C996" s="64" t="str">
        <f t="shared" si="54"/>
        <v>17210</v>
      </c>
      <c r="D996" s="64" t="s">
        <v>24</v>
      </c>
      <c r="E996" s="63" t="str">
        <f>"4422"</f>
        <v>4422</v>
      </c>
      <c r="F996" s="64" t="s">
        <v>1498</v>
      </c>
      <c r="G996" s="1"/>
      <c r="H996" s="1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x14ac:dyDescent="0.25">
      <c r="A997" t="str">
        <f t="shared" si="55"/>
        <v>17801</v>
      </c>
      <c r="B997" s="63">
        <v>121</v>
      </c>
      <c r="C997" s="64" t="str">
        <f t="shared" si="54"/>
        <v>17210</v>
      </c>
      <c r="D997" s="64" t="s">
        <v>24</v>
      </c>
      <c r="E997" s="63" t="str">
        <f>"3626"</f>
        <v>3626</v>
      </c>
      <c r="F997" s="64" t="s">
        <v>1574</v>
      </c>
      <c r="G997" s="1"/>
      <c r="H997" s="1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x14ac:dyDescent="0.25">
      <c r="A998" t="str">
        <f t="shared" si="55"/>
        <v>17801</v>
      </c>
      <c r="B998" s="63">
        <v>121</v>
      </c>
      <c r="C998" s="64" t="str">
        <f t="shared" si="54"/>
        <v>17210</v>
      </c>
      <c r="D998" s="64" t="s">
        <v>24</v>
      </c>
      <c r="E998" s="63" t="str">
        <f>"5029"</f>
        <v>5029</v>
      </c>
      <c r="F998" s="64" t="s">
        <v>1623</v>
      </c>
      <c r="G998" s="1"/>
      <c r="H998" s="1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x14ac:dyDescent="0.25">
      <c r="A999" t="str">
        <f t="shared" si="55"/>
        <v>17801</v>
      </c>
      <c r="B999" s="63">
        <v>121</v>
      </c>
      <c r="C999" s="64" t="str">
        <f t="shared" si="54"/>
        <v>17210</v>
      </c>
      <c r="D999" s="64" t="s">
        <v>24</v>
      </c>
      <c r="E999" s="63" t="str">
        <f>"4374"</f>
        <v>4374</v>
      </c>
      <c r="F999" s="64" t="s">
        <v>1640</v>
      </c>
      <c r="G999" s="1"/>
      <c r="H999" s="1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x14ac:dyDescent="0.25">
      <c r="A1000" t="str">
        <f t="shared" si="55"/>
        <v>17801</v>
      </c>
      <c r="B1000" s="63">
        <v>121</v>
      </c>
      <c r="C1000" s="64" t="str">
        <f t="shared" si="54"/>
        <v>17210</v>
      </c>
      <c r="D1000" s="64" t="s">
        <v>24</v>
      </c>
      <c r="E1000" s="63" t="str">
        <f>"4343"</f>
        <v>4343</v>
      </c>
      <c r="F1000" s="64" t="s">
        <v>1656</v>
      </c>
      <c r="G1000" s="1"/>
      <c r="H1000" s="1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  <row r="1001" spans="1:22" x14ac:dyDescent="0.25">
      <c r="A1001" t="str">
        <f t="shared" si="55"/>
        <v>17801</v>
      </c>
      <c r="B1001" s="63">
        <v>121</v>
      </c>
      <c r="C1001" s="64" t="str">
        <f t="shared" si="54"/>
        <v>17210</v>
      </c>
      <c r="D1001" s="64" t="s">
        <v>24</v>
      </c>
      <c r="E1001" s="63" t="str">
        <f>"3160"</f>
        <v>3160</v>
      </c>
      <c r="F1001" s="64" t="s">
        <v>1725</v>
      </c>
      <c r="G1001" s="1"/>
      <c r="H1001" s="1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</row>
    <row r="1002" spans="1:22" x14ac:dyDescent="0.25">
      <c r="A1002" t="str">
        <f t="shared" si="55"/>
        <v>17801</v>
      </c>
      <c r="B1002" s="63">
        <v>121</v>
      </c>
      <c r="C1002" s="64" t="str">
        <f t="shared" si="54"/>
        <v>17210</v>
      </c>
      <c r="D1002" s="64" t="s">
        <v>24</v>
      </c>
      <c r="E1002" s="63" t="str">
        <f>"3567"</f>
        <v>3567</v>
      </c>
      <c r="F1002" s="64" t="s">
        <v>1751</v>
      </c>
      <c r="G1002" s="1"/>
      <c r="H1002" s="1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</row>
    <row r="1003" spans="1:22" x14ac:dyDescent="0.25">
      <c r="A1003" t="str">
        <f t="shared" si="55"/>
        <v>17801</v>
      </c>
      <c r="B1003" s="63">
        <v>121</v>
      </c>
      <c r="C1003" s="64" t="str">
        <f t="shared" si="54"/>
        <v>17210</v>
      </c>
      <c r="D1003" s="64" t="s">
        <v>24</v>
      </c>
      <c r="E1003" s="63" t="str">
        <f>"5473"</f>
        <v>5473</v>
      </c>
      <c r="F1003" s="64" t="s">
        <v>1767</v>
      </c>
      <c r="G1003" s="1"/>
      <c r="H1003" s="1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</row>
    <row r="1004" spans="1:22" x14ac:dyDescent="0.25">
      <c r="A1004" t="str">
        <f t="shared" si="55"/>
        <v>17801</v>
      </c>
      <c r="B1004" s="63">
        <v>121</v>
      </c>
      <c r="C1004" s="64" t="str">
        <f t="shared" si="54"/>
        <v>17210</v>
      </c>
      <c r="D1004" s="64" t="s">
        <v>24</v>
      </c>
      <c r="E1004" s="63" t="str">
        <f>"3584"</f>
        <v>3584</v>
      </c>
      <c r="F1004" s="64" t="s">
        <v>1787</v>
      </c>
      <c r="G1004" s="1"/>
      <c r="H1004" s="1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</row>
    <row r="1005" spans="1:22" x14ac:dyDescent="0.25">
      <c r="A1005" t="str">
        <f t="shared" si="55"/>
        <v>17801</v>
      </c>
      <c r="B1005" s="63">
        <v>121</v>
      </c>
      <c r="C1005" s="64" t="str">
        <f t="shared" si="54"/>
        <v>17210</v>
      </c>
      <c r="D1005" s="64" t="s">
        <v>24</v>
      </c>
      <c r="E1005" s="63" t="str">
        <f>"4570"</f>
        <v>4570</v>
      </c>
      <c r="F1005" s="64" t="s">
        <v>1803</v>
      </c>
      <c r="G1005" s="1"/>
      <c r="H1005" s="1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</row>
    <row r="1006" spans="1:22" x14ac:dyDescent="0.25">
      <c r="A1006" t="str">
        <f t="shared" si="55"/>
        <v>17801</v>
      </c>
      <c r="B1006" s="63">
        <v>121</v>
      </c>
      <c r="C1006" s="64" t="str">
        <f t="shared" si="54"/>
        <v>17210</v>
      </c>
      <c r="D1006" s="64" t="s">
        <v>24</v>
      </c>
      <c r="E1006" s="63" t="str">
        <f>"3431"</f>
        <v>3431</v>
      </c>
      <c r="F1006" s="64" t="s">
        <v>1815</v>
      </c>
      <c r="G1006" s="1"/>
      <c r="H1006" s="1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</row>
    <row r="1007" spans="1:22" x14ac:dyDescent="0.25">
      <c r="A1007" t="str">
        <f t="shared" si="55"/>
        <v>17801</v>
      </c>
      <c r="B1007" s="63">
        <v>121</v>
      </c>
      <c r="C1007" s="64" t="str">
        <f t="shared" si="54"/>
        <v>17210</v>
      </c>
      <c r="D1007" s="64" t="s">
        <v>24</v>
      </c>
      <c r="E1007" s="63" t="str">
        <f>"3628"</f>
        <v>3628</v>
      </c>
      <c r="F1007" s="64" t="s">
        <v>1831</v>
      </c>
      <c r="G1007" s="1"/>
      <c r="H1007" s="1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</row>
    <row r="1008" spans="1:22" x14ac:dyDescent="0.25">
      <c r="A1008" t="str">
        <f t="shared" si="55"/>
        <v>17801</v>
      </c>
      <c r="B1008" s="63">
        <v>121</v>
      </c>
      <c r="C1008" s="64" t="str">
        <f t="shared" si="54"/>
        <v>17210</v>
      </c>
      <c r="D1008" s="64" t="s">
        <v>24</v>
      </c>
      <c r="E1008" s="63" t="str">
        <f>"3582"</f>
        <v>3582</v>
      </c>
      <c r="F1008" s="64" t="s">
        <v>1843</v>
      </c>
      <c r="G1008" s="1"/>
      <c r="H1008" s="1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</row>
    <row r="1009" spans="1:22" x14ac:dyDescent="0.25">
      <c r="A1009" t="str">
        <f t="shared" si="55"/>
        <v>17801</v>
      </c>
      <c r="B1009" s="63">
        <v>121</v>
      </c>
      <c r="C1009" s="64" t="str">
        <f t="shared" si="54"/>
        <v>17210</v>
      </c>
      <c r="D1009" s="64" t="s">
        <v>24</v>
      </c>
      <c r="E1009" s="63" t="str">
        <f>"3583"</f>
        <v>3583</v>
      </c>
      <c r="F1009" s="64" t="s">
        <v>1945</v>
      </c>
      <c r="G1009" s="1"/>
      <c r="H1009" s="1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</row>
    <row r="1010" spans="1:22" x14ac:dyDescent="0.25">
      <c r="A1010" t="str">
        <f t="shared" si="55"/>
        <v>17801</v>
      </c>
      <c r="B1010" s="63">
        <v>121</v>
      </c>
      <c r="C1010" s="64" t="str">
        <f t="shared" si="54"/>
        <v>17210</v>
      </c>
      <c r="D1010" s="64" t="s">
        <v>24</v>
      </c>
      <c r="E1010" s="63" t="str">
        <f>"3328"</f>
        <v>3328</v>
      </c>
      <c r="F1010" s="64" t="s">
        <v>1972</v>
      </c>
      <c r="G1010" s="1"/>
      <c r="H1010" s="1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</row>
    <row r="1011" spans="1:22" x14ac:dyDescent="0.25">
      <c r="A1011" t="str">
        <f t="shared" si="55"/>
        <v>17801</v>
      </c>
      <c r="B1011" s="34">
        <v>121</v>
      </c>
      <c r="C1011" s="31" t="str">
        <f t="shared" ref="C1011:C1016" si="56">"27417"</f>
        <v>27417</v>
      </c>
      <c r="D1011" s="31" t="s">
        <v>399</v>
      </c>
      <c r="E1011" s="34" t="str">
        <f>"4582"</f>
        <v>4582</v>
      </c>
      <c r="F1011" s="31" t="s">
        <v>400</v>
      </c>
      <c r="G1011" s="1"/>
      <c r="H1011" s="1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</row>
    <row r="1012" spans="1:22" x14ac:dyDescent="0.25">
      <c r="A1012" t="str">
        <f t="shared" si="55"/>
        <v>17801</v>
      </c>
      <c r="B1012" s="34">
        <v>121</v>
      </c>
      <c r="C1012" s="31" t="str">
        <f t="shared" si="56"/>
        <v>27417</v>
      </c>
      <c r="D1012" s="31" t="s">
        <v>399</v>
      </c>
      <c r="E1012" s="34" t="str">
        <f>"2878"</f>
        <v>2878</v>
      </c>
      <c r="F1012" s="31" t="s">
        <v>508</v>
      </c>
      <c r="G1012" s="1"/>
      <c r="H1012" s="1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</row>
    <row r="1013" spans="1:22" x14ac:dyDescent="0.25">
      <c r="A1013" t="str">
        <f t="shared" si="55"/>
        <v>17801</v>
      </c>
      <c r="B1013" s="34">
        <v>121</v>
      </c>
      <c r="C1013" s="31" t="str">
        <f t="shared" si="56"/>
        <v>27417</v>
      </c>
      <c r="D1013" s="31" t="s">
        <v>399</v>
      </c>
      <c r="E1013" s="34" t="str">
        <f>"2809"</f>
        <v>2809</v>
      </c>
      <c r="F1013" s="31" t="s">
        <v>587</v>
      </c>
      <c r="G1013" s="1"/>
      <c r="H1013" s="1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</row>
    <row r="1014" spans="1:22" x14ac:dyDescent="0.25">
      <c r="A1014" t="str">
        <f t="shared" si="55"/>
        <v>17801</v>
      </c>
      <c r="B1014" s="34">
        <v>121</v>
      </c>
      <c r="C1014" s="31" t="str">
        <f t="shared" si="56"/>
        <v>27417</v>
      </c>
      <c r="D1014" s="31" t="s">
        <v>399</v>
      </c>
      <c r="E1014" s="34" t="str">
        <f>"2773"</f>
        <v>2773</v>
      </c>
      <c r="F1014" s="31" t="s">
        <v>629</v>
      </c>
      <c r="G1014" s="1"/>
      <c r="H1014" s="1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</row>
    <row r="1015" spans="1:22" x14ac:dyDescent="0.25">
      <c r="A1015" t="str">
        <f t="shared" si="55"/>
        <v>17801</v>
      </c>
      <c r="B1015" s="34">
        <v>121</v>
      </c>
      <c r="C1015" s="31" t="str">
        <f t="shared" si="56"/>
        <v>27417</v>
      </c>
      <c r="D1015" s="31" t="s">
        <v>399</v>
      </c>
      <c r="E1015" s="34" t="str">
        <f>"4557"</f>
        <v>4557</v>
      </c>
      <c r="F1015" s="31" t="s">
        <v>795</v>
      </c>
      <c r="G1015" s="1"/>
      <c r="H1015" s="1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</row>
    <row r="1016" spans="1:22" x14ac:dyDescent="0.25">
      <c r="A1016" t="str">
        <f t="shared" si="55"/>
        <v>17801</v>
      </c>
      <c r="B1016" s="34">
        <v>121</v>
      </c>
      <c r="C1016" s="31" t="str">
        <f t="shared" si="56"/>
        <v>27417</v>
      </c>
      <c r="D1016" s="31" t="s">
        <v>399</v>
      </c>
      <c r="E1016" s="34" t="str">
        <f>"3798"</f>
        <v>3798</v>
      </c>
      <c r="F1016" s="31" t="s">
        <v>1763</v>
      </c>
      <c r="G1016" s="1"/>
      <c r="H1016" s="1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</row>
    <row r="1017" spans="1:22" x14ac:dyDescent="0.25">
      <c r="A1017" t="str">
        <f t="shared" si="55"/>
        <v>17801</v>
      </c>
      <c r="B1017" s="34">
        <v>121</v>
      </c>
      <c r="C1017" s="31" t="str">
        <f t="shared" ref="C1017:C1029" si="57">"27402"</f>
        <v>27402</v>
      </c>
      <c r="D1017" s="31" t="s">
        <v>208</v>
      </c>
      <c r="E1017" s="34" t="str">
        <f>"3180"</f>
        <v>3180</v>
      </c>
      <c r="F1017" s="31" t="s">
        <v>209</v>
      </c>
      <c r="G1017" s="1"/>
      <c r="H1017" s="1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</row>
    <row r="1018" spans="1:22" x14ac:dyDescent="0.25">
      <c r="A1018" t="str">
        <f t="shared" si="55"/>
        <v>17801</v>
      </c>
      <c r="B1018" s="34">
        <v>121</v>
      </c>
      <c r="C1018" s="31" t="str">
        <f t="shared" si="57"/>
        <v>27402</v>
      </c>
      <c r="D1018" s="31" t="s">
        <v>208</v>
      </c>
      <c r="E1018" s="34" t="str">
        <f>"2398"</f>
        <v>2398</v>
      </c>
      <c r="F1018" s="31" t="s">
        <v>307</v>
      </c>
      <c r="G1018" s="1"/>
      <c r="H1018" s="1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</row>
    <row r="1019" spans="1:22" x14ac:dyDescent="0.25">
      <c r="A1019" t="str">
        <f t="shared" si="55"/>
        <v>17801</v>
      </c>
      <c r="B1019" s="34">
        <v>121</v>
      </c>
      <c r="C1019" s="31" t="str">
        <f t="shared" si="57"/>
        <v>27402</v>
      </c>
      <c r="D1019" s="31" t="s">
        <v>208</v>
      </c>
      <c r="E1019" s="34" t="str">
        <f>"3301"</f>
        <v>3301</v>
      </c>
      <c r="F1019" s="31" t="s">
        <v>366</v>
      </c>
      <c r="G1019" s="1"/>
      <c r="H1019" s="1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</row>
    <row r="1020" spans="1:22" x14ac:dyDescent="0.25">
      <c r="A1020" t="str">
        <f t="shared" si="55"/>
        <v>17801</v>
      </c>
      <c r="B1020" s="34">
        <v>121</v>
      </c>
      <c r="C1020" s="31" t="str">
        <f t="shared" si="57"/>
        <v>27402</v>
      </c>
      <c r="D1020" s="31" t="s">
        <v>208</v>
      </c>
      <c r="E1020" s="34" t="str">
        <f>"2257"</f>
        <v>2257</v>
      </c>
      <c r="F1020" s="31" t="s">
        <v>388</v>
      </c>
      <c r="G1020" s="1"/>
      <c r="H1020" s="1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</row>
    <row r="1021" spans="1:22" x14ac:dyDescent="0.25">
      <c r="A1021" t="str">
        <f t="shared" si="55"/>
        <v>17801</v>
      </c>
      <c r="B1021" s="34">
        <v>121</v>
      </c>
      <c r="C1021" s="31" t="str">
        <f t="shared" si="57"/>
        <v>27402</v>
      </c>
      <c r="D1021" s="31" t="s">
        <v>208</v>
      </c>
      <c r="E1021" s="34" t="str">
        <f>"3532"</f>
        <v>3532</v>
      </c>
      <c r="F1021" s="31" t="s">
        <v>573</v>
      </c>
      <c r="G1021" s="1"/>
      <c r="H1021" s="1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</row>
    <row r="1022" spans="1:22" x14ac:dyDescent="0.25">
      <c r="A1022" t="str">
        <f t="shared" si="55"/>
        <v>17801</v>
      </c>
      <c r="B1022" s="34">
        <v>121</v>
      </c>
      <c r="C1022" s="31" t="str">
        <f t="shared" si="57"/>
        <v>27402</v>
      </c>
      <c r="D1022" s="31" t="s">
        <v>208</v>
      </c>
      <c r="E1022" s="34" t="str">
        <f>"2876"</f>
        <v>2876</v>
      </c>
      <c r="F1022" s="31" t="s">
        <v>664</v>
      </c>
      <c r="G1022" s="1"/>
      <c r="H1022" s="1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</row>
    <row r="1023" spans="1:22" x14ac:dyDescent="0.25">
      <c r="A1023" t="str">
        <f t="shared" si="55"/>
        <v>17801</v>
      </c>
      <c r="B1023" s="34">
        <v>121</v>
      </c>
      <c r="C1023" s="31" t="str">
        <f t="shared" si="57"/>
        <v>27402</v>
      </c>
      <c r="D1023" s="31" t="s">
        <v>208</v>
      </c>
      <c r="E1023" s="34" t="str">
        <f>"4063"</f>
        <v>4063</v>
      </c>
      <c r="F1023" s="31" t="s">
        <v>690</v>
      </c>
      <c r="G1023" s="1"/>
      <c r="H1023" s="1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</row>
    <row r="1024" spans="1:22" x14ac:dyDescent="0.25">
      <c r="A1024" t="str">
        <f t="shared" si="55"/>
        <v>17801</v>
      </c>
      <c r="B1024" s="34">
        <v>121</v>
      </c>
      <c r="C1024" s="31" t="str">
        <f t="shared" si="57"/>
        <v>27402</v>
      </c>
      <c r="D1024" s="31" t="s">
        <v>208</v>
      </c>
      <c r="E1024" s="34" t="str">
        <f>"3000"</f>
        <v>3000</v>
      </c>
      <c r="F1024" s="31" t="s">
        <v>781</v>
      </c>
      <c r="G1024" s="1"/>
      <c r="H1024" s="1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</row>
    <row r="1025" spans="1:22" x14ac:dyDescent="0.25">
      <c r="A1025" t="str">
        <f t="shared" si="55"/>
        <v>17801</v>
      </c>
      <c r="B1025" s="34">
        <v>121</v>
      </c>
      <c r="C1025" s="31" t="str">
        <f t="shared" si="57"/>
        <v>27402</v>
      </c>
      <c r="D1025" s="31" t="s">
        <v>208</v>
      </c>
      <c r="E1025" s="34" t="str">
        <f>"2945"</f>
        <v>2945</v>
      </c>
      <c r="F1025" s="31" t="s">
        <v>889</v>
      </c>
      <c r="G1025" s="1"/>
      <c r="H1025" s="1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</row>
    <row r="1026" spans="1:22" x14ac:dyDescent="0.25">
      <c r="A1026" t="str">
        <f t="shared" si="55"/>
        <v>17801</v>
      </c>
      <c r="B1026" s="34">
        <v>121</v>
      </c>
      <c r="C1026" s="31" t="str">
        <f t="shared" si="57"/>
        <v>27402</v>
      </c>
      <c r="D1026" s="31" t="s">
        <v>208</v>
      </c>
      <c r="E1026" s="34" t="str">
        <f>"2340"</f>
        <v>2340</v>
      </c>
      <c r="F1026" s="31" t="s">
        <v>1199</v>
      </c>
      <c r="G1026" s="1"/>
      <c r="H1026" s="1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</row>
    <row r="1027" spans="1:22" x14ac:dyDescent="0.25">
      <c r="A1027" t="str">
        <f t="shared" si="55"/>
        <v>17801</v>
      </c>
      <c r="B1027" s="34">
        <v>121</v>
      </c>
      <c r="C1027" s="31" t="str">
        <f t="shared" si="57"/>
        <v>27402</v>
      </c>
      <c r="D1027" s="31" t="s">
        <v>208</v>
      </c>
      <c r="E1027" s="34" t="str">
        <f>"3300"</f>
        <v>3300</v>
      </c>
      <c r="F1027" s="31" t="s">
        <v>1225</v>
      </c>
      <c r="G1027" s="1"/>
      <c r="H1027" s="1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</row>
    <row r="1028" spans="1:22" x14ac:dyDescent="0.25">
      <c r="A1028" t="str">
        <f t="shared" si="55"/>
        <v>17801</v>
      </c>
      <c r="B1028" s="34">
        <v>121</v>
      </c>
      <c r="C1028" s="31" t="str">
        <f t="shared" si="57"/>
        <v>27402</v>
      </c>
      <c r="D1028" s="31" t="s">
        <v>208</v>
      </c>
      <c r="E1028" s="34" t="str">
        <f>"3401"</f>
        <v>3401</v>
      </c>
      <c r="F1028" s="31" t="s">
        <v>1434</v>
      </c>
      <c r="G1028" s="1"/>
      <c r="H1028" s="1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</row>
    <row r="1029" spans="1:22" x14ac:dyDescent="0.25">
      <c r="A1029" t="str">
        <f t="shared" si="55"/>
        <v>17801</v>
      </c>
      <c r="B1029" s="34">
        <v>121</v>
      </c>
      <c r="C1029" s="31" t="str">
        <f t="shared" si="57"/>
        <v>27402</v>
      </c>
      <c r="D1029" s="31" t="s">
        <v>208</v>
      </c>
      <c r="E1029" s="34" t="str">
        <f>"3648"</f>
        <v>3648</v>
      </c>
      <c r="F1029" s="31" t="s">
        <v>1892</v>
      </c>
      <c r="G1029" s="1"/>
      <c r="H1029" s="1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</row>
    <row r="1030" spans="1:22" x14ac:dyDescent="0.25">
      <c r="A1030" t="str">
        <f t="shared" si="55"/>
        <v>17801</v>
      </c>
      <c r="B1030" s="34">
        <v>121</v>
      </c>
      <c r="C1030" s="31" t="str">
        <f t="shared" ref="C1030:C1038" si="58">"17401"</f>
        <v>17401</v>
      </c>
      <c r="D1030" s="31" t="s">
        <v>153</v>
      </c>
      <c r="E1030" s="34" t="str">
        <f>"2765"</f>
        <v>2765</v>
      </c>
      <c r="F1030" s="31" t="s">
        <v>154</v>
      </c>
      <c r="G1030" s="1"/>
      <c r="H1030" s="1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</row>
    <row r="1031" spans="1:22" x14ac:dyDescent="0.25">
      <c r="A1031" t="str">
        <f t="shared" si="55"/>
        <v>17801</v>
      </c>
      <c r="B1031" s="34">
        <v>121</v>
      </c>
      <c r="C1031" s="31" t="str">
        <f t="shared" si="58"/>
        <v>17401</v>
      </c>
      <c r="D1031" s="31" t="s">
        <v>153</v>
      </c>
      <c r="E1031" s="34" t="str">
        <f>"5028"</f>
        <v>5028</v>
      </c>
      <c r="F1031" s="31" t="s">
        <v>157</v>
      </c>
      <c r="G1031" s="1"/>
      <c r="H1031" s="1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</row>
    <row r="1032" spans="1:22" x14ac:dyDescent="0.25">
      <c r="A1032" t="str">
        <f t="shared" si="55"/>
        <v>17801</v>
      </c>
      <c r="B1032" s="34">
        <v>121</v>
      </c>
      <c r="C1032" s="31" t="str">
        <f t="shared" si="58"/>
        <v>17401</v>
      </c>
      <c r="D1032" s="31" t="s">
        <v>153</v>
      </c>
      <c r="E1032" s="34" t="str">
        <f>"2982"</f>
        <v>2982</v>
      </c>
      <c r="F1032" s="31" t="s">
        <v>180</v>
      </c>
      <c r="G1032" s="1"/>
      <c r="H1032" s="1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</row>
    <row r="1033" spans="1:22" x14ac:dyDescent="0.25">
      <c r="A1033" t="str">
        <f t="shared" si="55"/>
        <v>17801</v>
      </c>
      <c r="B1033" s="34">
        <v>121</v>
      </c>
      <c r="C1033" s="31" t="str">
        <f t="shared" si="58"/>
        <v>17401</v>
      </c>
      <c r="D1033" s="31" t="s">
        <v>153</v>
      </c>
      <c r="E1033" s="34" t="str">
        <f>"3163"</f>
        <v>3163</v>
      </c>
      <c r="F1033" s="31" t="s">
        <v>266</v>
      </c>
      <c r="G1033" s="1"/>
      <c r="H1033" s="1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</row>
    <row r="1034" spans="1:22" x14ac:dyDescent="0.25">
      <c r="A1034" t="str">
        <f t="shared" si="55"/>
        <v>17801</v>
      </c>
      <c r="B1034" s="34">
        <v>121</v>
      </c>
      <c r="C1034" s="31" t="str">
        <f t="shared" si="58"/>
        <v>17401</v>
      </c>
      <c r="D1034" s="31" t="s">
        <v>153</v>
      </c>
      <c r="E1034" s="34" t="str">
        <f>"2926"</f>
        <v>2926</v>
      </c>
      <c r="F1034" s="31" t="s">
        <v>300</v>
      </c>
      <c r="G1034" s="1"/>
      <c r="H1034" s="1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</row>
    <row r="1035" spans="1:22" x14ac:dyDescent="0.25">
      <c r="A1035" t="str">
        <f t="shared" si="55"/>
        <v>17801</v>
      </c>
      <c r="B1035" s="34">
        <v>121</v>
      </c>
      <c r="C1035" s="31" t="str">
        <f t="shared" si="58"/>
        <v>17401</v>
      </c>
      <c r="D1035" s="31" t="s">
        <v>153</v>
      </c>
      <c r="E1035" s="34" t="str">
        <f>"3098"</f>
        <v>3098</v>
      </c>
      <c r="F1035" s="31" t="s">
        <v>361</v>
      </c>
      <c r="G1035" s="1"/>
      <c r="H1035" s="1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</row>
    <row r="1036" spans="1:22" x14ac:dyDescent="0.25">
      <c r="A1036" t="str">
        <f t="shared" si="55"/>
        <v>17801</v>
      </c>
      <c r="B1036" s="34">
        <v>121</v>
      </c>
      <c r="C1036" s="31" t="str">
        <f t="shared" si="58"/>
        <v>17401</v>
      </c>
      <c r="D1036" s="31" t="s">
        <v>153</v>
      </c>
      <c r="E1036" s="34" t="str">
        <f>"1539"</f>
        <v>1539</v>
      </c>
      <c r="F1036" s="31" t="s">
        <v>364</v>
      </c>
      <c r="G1036" s="1"/>
      <c r="H1036" s="1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</row>
    <row r="1037" spans="1:22" x14ac:dyDescent="0.25">
      <c r="A1037" t="str">
        <f t="shared" si="55"/>
        <v>17801</v>
      </c>
      <c r="B1037" s="34">
        <v>121</v>
      </c>
      <c r="C1037" s="31" t="str">
        <f t="shared" si="58"/>
        <v>17401</v>
      </c>
      <c r="D1037" s="31" t="s">
        <v>153</v>
      </c>
      <c r="E1037" s="34" t="str">
        <f>"2418"</f>
        <v>2418</v>
      </c>
      <c r="F1037" s="31" t="s">
        <v>494</v>
      </c>
      <c r="G1037" s="1"/>
      <c r="H1037" s="1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</row>
    <row r="1038" spans="1:22" x14ac:dyDescent="0.25">
      <c r="A1038" t="str">
        <f t="shared" si="55"/>
        <v>17801</v>
      </c>
      <c r="B1038" s="34">
        <v>121</v>
      </c>
      <c r="C1038" s="31" t="str">
        <f t="shared" si="58"/>
        <v>17401</v>
      </c>
      <c r="D1038" s="31" t="s">
        <v>153</v>
      </c>
      <c r="E1038" s="34" t="str">
        <f>"3099"</f>
        <v>3099</v>
      </c>
      <c r="F1038" s="31" t="s">
        <v>603</v>
      </c>
      <c r="G1038" s="1"/>
      <c r="H1038" s="1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</row>
    <row r="1039" spans="1:22" x14ac:dyDescent="0.25">
      <c r="A1039" t="str">
        <f t="shared" si="55"/>
        <v>17801</v>
      </c>
      <c r="B1039" s="34">
        <v>121</v>
      </c>
      <c r="C1039" s="31">
        <v>17401</v>
      </c>
      <c r="D1039" s="31" t="s">
        <v>153</v>
      </c>
      <c r="E1039" s="34">
        <v>5551</v>
      </c>
      <c r="F1039" s="31" t="s">
        <v>708</v>
      </c>
      <c r="G1039" s="1"/>
      <c r="H1039" s="1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</row>
    <row r="1040" spans="1:22" x14ac:dyDescent="0.25">
      <c r="A1040" t="str">
        <f t="shared" si="55"/>
        <v>17801</v>
      </c>
      <c r="B1040" s="34">
        <v>121</v>
      </c>
      <c r="C1040" s="31" t="str">
        <f t="shared" ref="C1040:C1063" si="59">"17401"</f>
        <v>17401</v>
      </c>
      <c r="D1040" s="31" t="s">
        <v>153</v>
      </c>
      <c r="E1040" s="34" t="str">
        <f>"2844"</f>
        <v>2844</v>
      </c>
      <c r="F1040" s="31" t="s">
        <v>754</v>
      </c>
      <c r="G1040" s="1"/>
      <c r="H1040" s="1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</row>
    <row r="1041" spans="1:22" x14ac:dyDescent="0.25">
      <c r="A1041" t="str">
        <f t="shared" si="55"/>
        <v>17801</v>
      </c>
      <c r="B1041" s="34">
        <v>121</v>
      </c>
      <c r="C1041" s="31" t="str">
        <f t="shared" si="59"/>
        <v>17401</v>
      </c>
      <c r="D1041" s="31" t="s">
        <v>153</v>
      </c>
      <c r="E1041" s="34" t="str">
        <f>"2699"</f>
        <v>2699</v>
      </c>
      <c r="F1041" s="31" t="s">
        <v>788</v>
      </c>
      <c r="G1041" s="1"/>
      <c r="H1041" s="1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</row>
    <row r="1042" spans="1:22" x14ac:dyDescent="0.25">
      <c r="A1042" t="str">
        <f t="shared" si="55"/>
        <v>17801</v>
      </c>
      <c r="B1042" s="34">
        <v>121</v>
      </c>
      <c r="C1042" s="31" t="str">
        <f t="shared" si="59"/>
        <v>17401</v>
      </c>
      <c r="D1042" s="31" t="s">
        <v>153</v>
      </c>
      <c r="E1042" s="34" t="str">
        <f>"2325"</f>
        <v>2325</v>
      </c>
      <c r="F1042" s="31" t="s">
        <v>816</v>
      </c>
      <c r="G1042" s="1"/>
      <c r="H1042" s="1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</row>
    <row r="1043" spans="1:22" x14ac:dyDescent="0.25">
      <c r="A1043" t="str">
        <f t="shared" si="55"/>
        <v>17801</v>
      </c>
      <c r="B1043" s="34">
        <v>121</v>
      </c>
      <c r="C1043" s="31" t="str">
        <f t="shared" si="59"/>
        <v>17401</v>
      </c>
      <c r="D1043" s="31" t="s">
        <v>153</v>
      </c>
      <c r="E1043" s="34" t="str">
        <f>"5370"</f>
        <v>5370</v>
      </c>
      <c r="F1043" s="31" t="s">
        <v>1997</v>
      </c>
      <c r="G1043" s="1"/>
      <c r="H1043" s="1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</row>
    <row r="1044" spans="1:22" x14ac:dyDescent="0.25">
      <c r="A1044" t="str">
        <f t="shared" si="55"/>
        <v>17801</v>
      </c>
      <c r="B1044" s="34">
        <v>121</v>
      </c>
      <c r="C1044" s="31" t="str">
        <f t="shared" si="59"/>
        <v>17401</v>
      </c>
      <c r="D1044" s="31" t="s">
        <v>153</v>
      </c>
      <c r="E1044" s="34" t="str">
        <f>"3165"</f>
        <v>3165</v>
      </c>
      <c r="F1044" s="31" t="s">
        <v>821</v>
      </c>
      <c r="G1044" s="1"/>
      <c r="H1044" s="1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</row>
    <row r="1045" spans="1:22" x14ac:dyDescent="0.25">
      <c r="A1045" t="str">
        <f t="shared" si="55"/>
        <v>17801</v>
      </c>
      <c r="B1045" s="34">
        <v>121</v>
      </c>
      <c r="C1045" s="31" t="str">
        <f t="shared" si="59"/>
        <v>17401</v>
      </c>
      <c r="D1045" s="31" t="s">
        <v>153</v>
      </c>
      <c r="E1045" s="34" t="str">
        <f>"3278"</f>
        <v>3278</v>
      </c>
      <c r="F1045" s="31" t="s">
        <v>1106</v>
      </c>
      <c r="G1045" s="1"/>
      <c r="H1045" s="1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</row>
    <row r="1046" spans="1:22" x14ac:dyDescent="0.25">
      <c r="A1046" t="str">
        <f t="shared" si="55"/>
        <v>17801</v>
      </c>
      <c r="B1046" s="34">
        <v>121</v>
      </c>
      <c r="C1046" s="31" t="str">
        <f t="shared" si="59"/>
        <v>17401</v>
      </c>
      <c r="D1046" s="31" t="s">
        <v>153</v>
      </c>
      <c r="E1046" s="34" t="str">
        <f>"3097"</f>
        <v>3097</v>
      </c>
      <c r="F1046" s="31" t="s">
        <v>1137</v>
      </c>
      <c r="G1046" s="1"/>
      <c r="H1046" s="1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</row>
    <row r="1047" spans="1:22" x14ac:dyDescent="0.25">
      <c r="A1047" t="str">
        <f t="shared" si="55"/>
        <v>17801</v>
      </c>
      <c r="B1047" s="34">
        <v>121</v>
      </c>
      <c r="C1047" s="31" t="str">
        <f t="shared" si="59"/>
        <v>17401</v>
      </c>
      <c r="D1047" s="31" t="s">
        <v>153</v>
      </c>
      <c r="E1047" s="34" t="str">
        <f>"2734"</f>
        <v>2734</v>
      </c>
      <c r="F1047" s="31" t="s">
        <v>1165</v>
      </c>
      <c r="G1047" s="1"/>
      <c r="H1047" s="1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</row>
    <row r="1048" spans="1:22" x14ac:dyDescent="0.25">
      <c r="A1048" t="str">
        <f t="shared" si="55"/>
        <v>17801</v>
      </c>
      <c r="B1048" s="34">
        <v>121</v>
      </c>
      <c r="C1048" s="31" t="str">
        <f t="shared" si="59"/>
        <v>17401</v>
      </c>
      <c r="D1048" s="31" t="s">
        <v>153</v>
      </c>
      <c r="E1048" s="34" t="str">
        <f>"2984"</f>
        <v>2984</v>
      </c>
      <c r="F1048" s="31" t="s">
        <v>1200</v>
      </c>
      <c r="G1048" s="1"/>
      <c r="H1048" s="1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</row>
    <row r="1049" spans="1:22" x14ac:dyDescent="0.25">
      <c r="A1049" t="str">
        <f t="shared" si="55"/>
        <v>17801</v>
      </c>
      <c r="B1049" s="34">
        <v>121</v>
      </c>
      <c r="C1049" s="31" t="str">
        <f t="shared" si="59"/>
        <v>17401</v>
      </c>
      <c r="D1049" s="31" t="s">
        <v>153</v>
      </c>
      <c r="E1049" s="34" t="str">
        <f>"3279"</f>
        <v>3279</v>
      </c>
      <c r="F1049" s="31" t="s">
        <v>1242</v>
      </c>
      <c r="G1049" s="1"/>
      <c r="H1049" s="1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</row>
    <row r="1050" spans="1:22" x14ac:dyDescent="0.25">
      <c r="A1050" t="str">
        <f t="shared" si="55"/>
        <v>17801</v>
      </c>
      <c r="B1050" s="34">
        <v>121</v>
      </c>
      <c r="C1050" s="31" t="str">
        <f t="shared" si="59"/>
        <v>17401</v>
      </c>
      <c r="D1050" s="31" t="s">
        <v>153</v>
      </c>
      <c r="E1050" s="34" t="str">
        <f>"2144"</f>
        <v>2144</v>
      </c>
      <c r="F1050" s="31" t="s">
        <v>1245</v>
      </c>
      <c r="G1050" s="1"/>
      <c r="H1050" s="1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</row>
    <row r="1051" spans="1:22" x14ac:dyDescent="0.25">
      <c r="A1051" t="str">
        <f t="shared" si="55"/>
        <v>17801</v>
      </c>
      <c r="B1051" s="34">
        <v>121</v>
      </c>
      <c r="C1051" s="31" t="str">
        <f t="shared" si="59"/>
        <v>17401</v>
      </c>
      <c r="D1051" s="31" t="s">
        <v>153</v>
      </c>
      <c r="E1051" s="34" t="str">
        <f>"1972"</f>
        <v>1972</v>
      </c>
      <c r="F1051" s="31" t="s">
        <v>1290</v>
      </c>
      <c r="G1051" s="1"/>
      <c r="H1051" s="1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</row>
    <row r="1052" spans="1:22" x14ac:dyDescent="0.25">
      <c r="A1052" t="str">
        <f t="shared" si="55"/>
        <v>17801</v>
      </c>
      <c r="B1052" s="34">
        <v>121</v>
      </c>
      <c r="C1052" s="31" t="str">
        <f t="shared" si="59"/>
        <v>17401</v>
      </c>
      <c r="D1052" s="31" t="s">
        <v>153</v>
      </c>
      <c r="E1052" s="34" t="str">
        <f>"2983"</f>
        <v>2983</v>
      </c>
      <c r="F1052" s="31" t="s">
        <v>1308</v>
      </c>
      <c r="G1052" s="1"/>
      <c r="H1052" s="1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</row>
    <row r="1053" spans="1:22" x14ac:dyDescent="0.25">
      <c r="A1053" t="str">
        <f t="shared" si="55"/>
        <v>17801</v>
      </c>
      <c r="B1053" s="34">
        <v>121</v>
      </c>
      <c r="C1053" s="31" t="str">
        <f t="shared" si="59"/>
        <v>17401</v>
      </c>
      <c r="D1053" s="31" t="s">
        <v>153</v>
      </c>
      <c r="E1053" s="34" t="str">
        <f>"3333"</f>
        <v>3333</v>
      </c>
      <c r="F1053" s="31" t="s">
        <v>1403</v>
      </c>
      <c r="G1053" s="1"/>
      <c r="H1053" s="1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</row>
    <row r="1054" spans="1:22" x14ac:dyDescent="0.25">
      <c r="A1054" t="str">
        <f t="shared" si="55"/>
        <v>17801</v>
      </c>
      <c r="B1054" s="34">
        <v>121</v>
      </c>
      <c r="C1054" s="31" t="str">
        <f t="shared" si="59"/>
        <v>17401</v>
      </c>
      <c r="D1054" s="31" t="s">
        <v>153</v>
      </c>
      <c r="E1054" s="34" t="str">
        <f>"3335"</f>
        <v>3335</v>
      </c>
      <c r="F1054" s="31" t="s">
        <v>1420</v>
      </c>
      <c r="G1054" s="1"/>
      <c r="H1054" s="1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</row>
    <row r="1055" spans="1:22" x14ac:dyDescent="0.25">
      <c r="A1055" t="str">
        <f t="shared" si="55"/>
        <v>17801</v>
      </c>
      <c r="B1055" s="34">
        <v>121</v>
      </c>
      <c r="C1055" s="31" t="str">
        <f t="shared" si="59"/>
        <v>17401</v>
      </c>
      <c r="D1055" s="31" t="s">
        <v>153</v>
      </c>
      <c r="E1055" s="34" t="str">
        <f>"2270"</f>
        <v>2270</v>
      </c>
      <c r="F1055" s="31" t="s">
        <v>1483</v>
      </c>
      <c r="G1055" s="1"/>
      <c r="H1055" s="1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</row>
    <row r="1056" spans="1:22" x14ac:dyDescent="0.25">
      <c r="A1056" t="str">
        <f t="shared" si="55"/>
        <v>17801</v>
      </c>
      <c r="B1056" s="34">
        <v>121</v>
      </c>
      <c r="C1056" s="31" t="str">
        <f t="shared" si="59"/>
        <v>17401</v>
      </c>
      <c r="D1056" s="31" t="s">
        <v>153</v>
      </c>
      <c r="E1056" s="34" t="str">
        <f>"3553"</f>
        <v>3553</v>
      </c>
      <c r="F1056" s="31" t="s">
        <v>1499</v>
      </c>
      <c r="G1056" s="1"/>
      <c r="H1056" s="1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</row>
    <row r="1057" spans="1:22" x14ac:dyDescent="0.25">
      <c r="A1057" t="str">
        <f t="shared" si="55"/>
        <v>17801</v>
      </c>
      <c r="B1057" s="34">
        <v>121</v>
      </c>
      <c r="C1057" s="31" t="str">
        <f t="shared" si="59"/>
        <v>17401</v>
      </c>
      <c r="D1057" s="31" t="s">
        <v>153</v>
      </c>
      <c r="E1057" s="34" t="str">
        <f>"1973"</f>
        <v>1973</v>
      </c>
      <c r="F1057" s="31" t="s">
        <v>1595</v>
      </c>
      <c r="G1057" s="1"/>
      <c r="H1057" s="1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</row>
    <row r="1058" spans="1:22" x14ac:dyDescent="0.25">
      <c r="A1058" t="str">
        <f t="shared" ref="A1058:A1063" si="60">"17801"</f>
        <v>17801</v>
      </c>
      <c r="B1058" s="34">
        <v>121</v>
      </c>
      <c r="C1058" s="31" t="str">
        <f t="shared" si="59"/>
        <v>17401</v>
      </c>
      <c r="D1058" s="31" t="s">
        <v>153</v>
      </c>
      <c r="E1058" s="34" t="str">
        <f>"3382"</f>
        <v>3382</v>
      </c>
      <c r="F1058" s="31" t="s">
        <v>1604</v>
      </c>
      <c r="G1058" s="1"/>
      <c r="H1058" s="1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</row>
    <row r="1059" spans="1:22" x14ac:dyDescent="0.25">
      <c r="A1059" t="str">
        <f t="shared" si="60"/>
        <v>17801</v>
      </c>
      <c r="B1059" s="34">
        <v>121</v>
      </c>
      <c r="C1059" s="31" t="str">
        <f t="shared" si="59"/>
        <v>17401</v>
      </c>
      <c r="D1059" s="31" t="s">
        <v>153</v>
      </c>
      <c r="E1059" s="34" t="str">
        <f>"2842"</f>
        <v>2842</v>
      </c>
      <c r="F1059" s="31" t="s">
        <v>1644</v>
      </c>
      <c r="G1059" s="1"/>
      <c r="H1059" s="1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</row>
    <row r="1060" spans="1:22" x14ac:dyDescent="0.25">
      <c r="A1060" t="str">
        <f t="shared" si="60"/>
        <v>17801</v>
      </c>
      <c r="B1060" s="34">
        <v>121</v>
      </c>
      <c r="C1060" s="31" t="str">
        <f t="shared" si="59"/>
        <v>17401</v>
      </c>
      <c r="D1060" s="31" t="s">
        <v>153</v>
      </c>
      <c r="E1060" s="34" t="str">
        <f>"3032"</f>
        <v>3032</v>
      </c>
      <c r="F1060" s="31" t="s">
        <v>1694</v>
      </c>
      <c r="G1060" s="1"/>
      <c r="H1060" s="1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</row>
    <row r="1061" spans="1:22" x14ac:dyDescent="0.25">
      <c r="A1061" t="str">
        <f t="shared" si="60"/>
        <v>17801</v>
      </c>
      <c r="B1061" s="34">
        <v>121</v>
      </c>
      <c r="C1061" s="31" t="str">
        <f t="shared" si="59"/>
        <v>17401</v>
      </c>
      <c r="D1061" s="31" t="s">
        <v>153</v>
      </c>
      <c r="E1061" s="34" t="str">
        <f>"2927"</f>
        <v>2927</v>
      </c>
      <c r="F1061" s="31" t="s">
        <v>1765</v>
      </c>
      <c r="G1061" s="1"/>
      <c r="H1061" s="1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</row>
    <row r="1062" spans="1:22" x14ac:dyDescent="0.25">
      <c r="A1062" t="str">
        <f t="shared" si="60"/>
        <v>17801</v>
      </c>
      <c r="B1062" s="34">
        <v>121</v>
      </c>
      <c r="C1062" s="31" t="str">
        <f t="shared" si="59"/>
        <v>17401</v>
      </c>
      <c r="D1062" s="31" t="s">
        <v>153</v>
      </c>
      <c r="E1062" s="34" t="str">
        <f>"3483"</f>
        <v>3483</v>
      </c>
      <c r="F1062" s="31" t="s">
        <v>1833</v>
      </c>
      <c r="G1062" s="1"/>
      <c r="H1062" s="1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</row>
    <row r="1063" spans="1:22" x14ac:dyDescent="0.25">
      <c r="A1063" t="str">
        <f t="shared" si="60"/>
        <v>17801</v>
      </c>
      <c r="B1063" s="34">
        <v>121</v>
      </c>
      <c r="C1063" s="31" t="str">
        <f t="shared" si="59"/>
        <v>17401</v>
      </c>
      <c r="D1063" s="31" t="s">
        <v>153</v>
      </c>
      <c r="E1063" s="34" t="str">
        <f>"2639"</f>
        <v>2639</v>
      </c>
      <c r="F1063" s="31" t="s">
        <v>1928</v>
      </c>
      <c r="G1063" s="1"/>
      <c r="H1063" s="1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</row>
    <row r="1064" spans="1:22" x14ac:dyDescent="0.25">
      <c r="A1064" t="str">
        <f>"34950"</f>
        <v>34950</v>
      </c>
      <c r="B1064" s="33">
        <v>121</v>
      </c>
      <c r="C1064" s="2"/>
      <c r="D1064" t="s">
        <v>2268</v>
      </c>
      <c r="E1064" s="33" t="str">
        <f>"5608"</f>
        <v>5608</v>
      </c>
      <c r="F1064" t="s">
        <v>2269</v>
      </c>
      <c r="G1064" s="1"/>
      <c r="H1064" s="1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</row>
    <row r="1065" spans="1:22" x14ac:dyDescent="0.25">
      <c r="A1065" t="str">
        <f>"34950"</f>
        <v>34950</v>
      </c>
      <c r="B1065" s="33">
        <v>121</v>
      </c>
      <c r="C1065" s="2" t="str">
        <f>"17911"</f>
        <v>17911</v>
      </c>
      <c r="D1065" t="s">
        <v>2268</v>
      </c>
      <c r="E1065" s="33" t="str">
        <f>"5517"</f>
        <v>5517</v>
      </c>
      <c r="F1065" t="s">
        <v>2270</v>
      </c>
      <c r="G1065" s="1"/>
      <c r="H1065" s="1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</row>
    <row r="1066" spans="1:22" x14ac:dyDescent="0.25">
      <c r="A1066" t="str">
        <f>"34950"</f>
        <v>34950</v>
      </c>
      <c r="B1066" s="33">
        <v>121</v>
      </c>
      <c r="C1066" s="2" t="str">
        <f>"17916"</f>
        <v>17916</v>
      </c>
      <c r="D1066" t="s">
        <v>2268</v>
      </c>
      <c r="E1066" s="33" t="str">
        <f>"5608"</f>
        <v>5608</v>
      </c>
      <c r="F1066" t="s">
        <v>2271</v>
      </c>
      <c r="G1066" s="1"/>
      <c r="H1066" s="1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</row>
    <row r="1067" spans="1:22" x14ac:dyDescent="0.25">
      <c r="A1067" t="str">
        <f t="shared" ref="A1067:A1130" si="61">"17801"</f>
        <v>17801</v>
      </c>
      <c r="B1067" s="34">
        <v>121</v>
      </c>
      <c r="C1067" s="31" t="str">
        <f t="shared" ref="C1067:C1091" si="62">"17411"</f>
        <v>17411</v>
      </c>
      <c r="D1067" s="31" t="s">
        <v>65</v>
      </c>
      <c r="E1067" s="34" t="str">
        <f>"3746"</f>
        <v>3746</v>
      </c>
      <c r="F1067" s="31" t="s">
        <v>66</v>
      </c>
      <c r="G1067" s="1"/>
      <c r="H1067" s="1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</row>
    <row r="1068" spans="1:22" x14ac:dyDescent="0.25">
      <c r="A1068" t="str">
        <f t="shared" si="61"/>
        <v>17801</v>
      </c>
      <c r="B1068" s="34">
        <v>121</v>
      </c>
      <c r="C1068" s="31" t="str">
        <f t="shared" si="62"/>
        <v>17411</v>
      </c>
      <c r="D1068" s="31" t="s">
        <v>65</v>
      </c>
      <c r="E1068" s="34" t="str">
        <f>"4460"</f>
        <v>4460</v>
      </c>
      <c r="F1068" s="31" t="s">
        <v>129</v>
      </c>
      <c r="G1068" s="1"/>
      <c r="H1068" s="1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</row>
    <row r="1069" spans="1:22" x14ac:dyDescent="0.25">
      <c r="A1069" t="str">
        <f t="shared" si="61"/>
        <v>17801</v>
      </c>
      <c r="B1069" s="34">
        <v>121</v>
      </c>
      <c r="C1069" s="31" t="str">
        <f t="shared" si="62"/>
        <v>17411</v>
      </c>
      <c r="D1069" s="31" t="s">
        <v>65</v>
      </c>
      <c r="E1069" s="34" t="str">
        <f>"3440"</f>
        <v>3440</v>
      </c>
      <c r="F1069" s="31" t="s">
        <v>192</v>
      </c>
      <c r="G1069" s="11"/>
      <c r="H1069" s="11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</row>
    <row r="1070" spans="1:22" x14ac:dyDescent="0.25">
      <c r="A1070" t="str">
        <f t="shared" si="61"/>
        <v>17801</v>
      </c>
      <c r="B1070" s="34">
        <v>121</v>
      </c>
      <c r="C1070" s="31" t="str">
        <f t="shared" si="62"/>
        <v>17411</v>
      </c>
      <c r="D1070" s="31" t="s">
        <v>65</v>
      </c>
      <c r="E1070" s="34" t="str">
        <f>"4565"</f>
        <v>4565</v>
      </c>
      <c r="F1070" s="31" t="s">
        <v>268</v>
      </c>
      <c r="G1070" s="1"/>
      <c r="H1070" s="1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</row>
    <row r="1071" spans="1:22" x14ac:dyDescent="0.25">
      <c r="A1071" t="str">
        <f t="shared" si="61"/>
        <v>17801</v>
      </c>
      <c r="B1071" s="34">
        <v>121</v>
      </c>
      <c r="C1071" s="31" t="str">
        <f t="shared" si="62"/>
        <v>17411</v>
      </c>
      <c r="D1071" s="31" t="s">
        <v>65</v>
      </c>
      <c r="E1071" s="34" t="str">
        <f>"4300"</f>
        <v>4300</v>
      </c>
      <c r="F1071" s="31" t="s">
        <v>321</v>
      </c>
      <c r="G1071" s="1"/>
      <c r="H1071" s="11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</row>
    <row r="1072" spans="1:22" x14ac:dyDescent="0.25">
      <c r="A1072" t="str">
        <f t="shared" si="61"/>
        <v>17801</v>
      </c>
      <c r="B1072" s="34">
        <v>121</v>
      </c>
      <c r="C1072" s="31" t="str">
        <f t="shared" si="62"/>
        <v>17411</v>
      </c>
      <c r="D1072" s="31" t="s">
        <v>65</v>
      </c>
      <c r="E1072" s="34" t="str">
        <f>"2738"</f>
        <v>2738</v>
      </c>
      <c r="F1072" s="31" t="s">
        <v>369</v>
      </c>
      <c r="G1072" s="1"/>
      <c r="H1072" s="11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</row>
    <row r="1073" spans="1:22" x14ac:dyDescent="0.25">
      <c r="A1073" t="str">
        <f t="shared" si="61"/>
        <v>17801</v>
      </c>
      <c r="B1073" s="34">
        <v>121</v>
      </c>
      <c r="C1073" s="31" t="str">
        <f t="shared" si="62"/>
        <v>17411</v>
      </c>
      <c r="D1073" s="31" t="s">
        <v>65</v>
      </c>
      <c r="E1073" s="34" t="str">
        <f>"4375"</f>
        <v>4375</v>
      </c>
      <c r="F1073" s="31" t="s">
        <v>433</v>
      </c>
      <c r="G1073" s="1"/>
      <c r="H1073" s="1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</row>
    <row r="1074" spans="1:22" x14ac:dyDescent="0.25">
      <c r="A1074" t="str">
        <f t="shared" si="61"/>
        <v>17801</v>
      </c>
      <c r="B1074" s="34">
        <v>121</v>
      </c>
      <c r="C1074" s="31" t="str">
        <f t="shared" si="62"/>
        <v>17411</v>
      </c>
      <c r="D1074" s="31" t="s">
        <v>65</v>
      </c>
      <c r="E1074" s="34" t="str">
        <f>"5201"</f>
        <v>5201</v>
      </c>
      <c r="F1074" s="31" t="s">
        <v>446</v>
      </c>
      <c r="G1074" s="1"/>
      <c r="H1074" s="1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</row>
    <row r="1075" spans="1:22" x14ac:dyDescent="0.25">
      <c r="A1075" t="str">
        <f t="shared" si="61"/>
        <v>17801</v>
      </c>
      <c r="B1075" s="34">
        <v>121</v>
      </c>
      <c r="C1075" s="31" t="str">
        <f t="shared" si="62"/>
        <v>17411</v>
      </c>
      <c r="D1075" s="31" t="s">
        <v>65</v>
      </c>
      <c r="E1075" s="34" t="str">
        <f>"4376"</f>
        <v>4376</v>
      </c>
      <c r="F1075" s="31" t="s">
        <v>503</v>
      </c>
      <c r="G1075" s="1"/>
      <c r="H1075" s="1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</row>
    <row r="1076" spans="1:22" x14ac:dyDescent="0.25">
      <c r="A1076" t="str">
        <f t="shared" si="61"/>
        <v>17801</v>
      </c>
      <c r="B1076" s="34">
        <v>121</v>
      </c>
      <c r="C1076" s="31" t="str">
        <f t="shared" si="62"/>
        <v>17411</v>
      </c>
      <c r="D1076" s="31" t="s">
        <v>65</v>
      </c>
      <c r="E1076" s="34" t="str">
        <f>"3569"</f>
        <v>3569</v>
      </c>
      <c r="F1076" s="31" t="s">
        <v>545</v>
      </c>
      <c r="G1076" s="1"/>
      <c r="H1076" s="1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</row>
    <row r="1077" spans="1:22" x14ac:dyDescent="0.25">
      <c r="A1077" t="str">
        <f t="shared" si="61"/>
        <v>17801</v>
      </c>
      <c r="B1077" s="34">
        <v>121</v>
      </c>
      <c r="C1077" s="31" t="str">
        <f t="shared" si="62"/>
        <v>17411</v>
      </c>
      <c r="D1077" s="31" t="s">
        <v>65</v>
      </c>
      <c r="E1077" s="34" t="str">
        <f>"4493"</f>
        <v>4493</v>
      </c>
      <c r="F1077" s="31" t="s">
        <v>586</v>
      </c>
      <c r="G1077" s="1"/>
      <c r="H1077" s="1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</row>
    <row r="1078" spans="1:22" x14ac:dyDescent="0.25">
      <c r="A1078" t="str">
        <f t="shared" si="61"/>
        <v>17801</v>
      </c>
      <c r="B1078" s="34">
        <v>121</v>
      </c>
      <c r="C1078" s="31" t="str">
        <f t="shared" si="62"/>
        <v>17411</v>
      </c>
      <c r="D1078" s="31" t="s">
        <v>65</v>
      </c>
      <c r="E1078" s="34" t="str">
        <f>"5437"</f>
        <v>5437</v>
      </c>
      <c r="F1078" s="31" t="s">
        <v>704</v>
      </c>
      <c r="G1078" s="1"/>
      <c r="H1078" s="11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</row>
    <row r="1079" spans="1:22" s="2" customFormat="1" x14ac:dyDescent="0.25">
      <c r="A1079" t="str">
        <f t="shared" si="61"/>
        <v>17801</v>
      </c>
      <c r="B1079" s="34">
        <v>121</v>
      </c>
      <c r="C1079" s="31" t="str">
        <f t="shared" si="62"/>
        <v>17411</v>
      </c>
      <c r="D1079" s="31" t="s">
        <v>65</v>
      </c>
      <c r="E1079" s="34" t="str">
        <f>"5056"</f>
        <v>5056</v>
      </c>
      <c r="F1079" s="31" t="s">
        <v>730</v>
      </c>
      <c r="G1079" s="1"/>
      <c r="H1079" s="1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x14ac:dyDescent="0.25">
      <c r="A1080" t="str">
        <f t="shared" si="61"/>
        <v>17801</v>
      </c>
      <c r="B1080" s="34">
        <v>121</v>
      </c>
      <c r="C1080" s="31" t="str">
        <f t="shared" si="62"/>
        <v>17411</v>
      </c>
      <c r="D1080" s="31" t="s">
        <v>65</v>
      </c>
      <c r="E1080" s="34" t="str">
        <f>"3385"</f>
        <v>3385</v>
      </c>
      <c r="F1080" s="31" t="s">
        <v>882</v>
      </c>
      <c r="G1080" s="1"/>
      <c r="H1080" s="1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</row>
    <row r="1081" spans="1:22" x14ac:dyDescent="0.25">
      <c r="A1081" t="str">
        <f t="shared" si="61"/>
        <v>17801</v>
      </c>
      <c r="B1081" s="34">
        <v>121</v>
      </c>
      <c r="C1081" s="31" t="str">
        <f t="shared" si="62"/>
        <v>17411</v>
      </c>
      <c r="D1081" s="31" t="s">
        <v>65</v>
      </c>
      <c r="E1081" s="34" t="str">
        <f>"3038"</f>
        <v>3038</v>
      </c>
      <c r="F1081" s="31" t="s">
        <v>883</v>
      </c>
      <c r="G1081" s="1"/>
      <c r="H1081" s="1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</row>
    <row r="1082" spans="1:22" x14ac:dyDescent="0.25">
      <c r="A1082" t="str">
        <f t="shared" si="61"/>
        <v>17801</v>
      </c>
      <c r="B1082" s="34">
        <v>121</v>
      </c>
      <c r="C1082" s="31" t="str">
        <f t="shared" si="62"/>
        <v>17411</v>
      </c>
      <c r="D1082" s="31" t="s">
        <v>65</v>
      </c>
      <c r="E1082" s="34" t="str">
        <f>"3673"</f>
        <v>3673</v>
      </c>
      <c r="F1082" s="31" t="s">
        <v>884</v>
      </c>
      <c r="G1082" s="1"/>
      <c r="H1082" s="1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</row>
    <row r="1083" spans="1:22" x14ac:dyDescent="0.25">
      <c r="A1083" t="str">
        <f t="shared" si="61"/>
        <v>17801</v>
      </c>
      <c r="B1083" s="34">
        <v>121</v>
      </c>
      <c r="C1083" s="31" t="str">
        <f t="shared" si="62"/>
        <v>17411</v>
      </c>
      <c r="D1083" s="31" t="s">
        <v>65</v>
      </c>
      <c r="E1083" s="34" t="str">
        <f>"3962"</f>
        <v>3962</v>
      </c>
      <c r="F1083" s="31" t="s">
        <v>1051</v>
      </c>
      <c r="G1083" s="1"/>
      <c r="H1083" s="1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</row>
    <row r="1084" spans="1:22" x14ac:dyDescent="0.25">
      <c r="A1084" t="str">
        <f t="shared" si="61"/>
        <v>17801</v>
      </c>
      <c r="B1084" s="34">
        <v>121</v>
      </c>
      <c r="C1084" s="31" t="str">
        <f t="shared" si="62"/>
        <v>17411</v>
      </c>
      <c r="D1084" s="31" t="s">
        <v>65</v>
      </c>
      <c r="E1084" s="34" t="str">
        <f>"3637"</f>
        <v>3637</v>
      </c>
      <c r="F1084" s="31" t="s">
        <v>1117</v>
      </c>
      <c r="G1084" s="1"/>
      <c r="H1084" s="1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</row>
    <row r="1085" spans="1:22" x14ac:dyDescent="0.25">
      <c r="A1085" t="str">
        <f t="shared" si="61"/>
        <v>17801</v>
      </c>
      <c r="B1085" s="34">
        <v>121</v>
      </c>
      <c r="C1085" s="31" t="str">
        <f t="shared" si="62"/>
        <v>17411</v>
      </c>
      <c r="D1085" s="31" t="s">
        <v>65</v>
      </c>
      <c r="E1085" s="34" t="str">
        <f>"3636"</f>
        <v>3636</v>
      </c>
      <c r="F1085" s="31" t="s">
        <v>1149</v>
      </c>
      <c r="G1085" s="1"/>
      <c r="H1085" s="1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</row>
    <row r="1086" spans="1:22" x14ac:dyDescent="0.25">
      <c r="A1086" t="str">
        <f t="shared" si="61"/>
        <v>17801</v>
      </c>
      <c r="B1086" s="34">
        <v>121</v>
      </c>
      <c r="C1086" s="31" t="str">
        <f t="shared" si="62"/>
        <v>17411</v>
      </c>
      <c r="D1086" s="31" t="s">
        <v>65</v>
      </c>
      <c r="E1086" s="34" t="str">
        <f>"4592"</f>
        <v>4592</v>
      </c>
      <c r="F1086" s="31" t="s">
        <v>1291</v>
      </c>
      <c r="G1086" s="1"/>
      <c r="H1086" s="1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</row>
    <row r="1087" spans="1:22" x14ac:dyDescent="0.25">
      <c r="A1087" t="str">
        <f t="shared" si="61"/>
        <v>17801</v>
      </c>
      <c r="B1087" s="34">
        <v>121</v>
      </c>
      <c r="C1087" s="31" t="str">
        <f t="shared" si="62"/>
        <v>17411</v>
      </c>
      <c r="D1087" s="31" t="s">
        <v>65</v>
      </c>
      <c r="E1087" s="34" t="str">
        <f>"5200"</f>
        <v>5200</v>
      </c>
      <c r="F1087" s="31" t="s">
        <v>1402</v>
      </c>
      <c r="G1087" s="1"/>
      <c r="H1087" s="1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</row>
    <row r="1088" spans="1:22" x14ac:dyDescent="0.25">
      <c r="A1088" t="str">
        <f t="shared" si="61"/>
        <v>17801</v>
      </c>
      <c r="B1088" s="34">
        <v>121</v>
      </c>
      <c r="C1088" s="31" t="str">
        <f t="shared" si="62"/>
        <v>17411</v>
      </c>
      <c r="D1088" s="31" t="s">
        <v>65</v>
      </c>
      <c r="E1088" s="34" t="str">
        <f>"3879"</f>
        <v>3879</v>
      </c>
      <c r="F1088" s="31" t="s">
        <v>1443</v>
      </c>
      <c r="G1088" s="1"/>
      <c r="H1088" s="1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</row>
    <row r="1089" spans="1:22" x14ac:dyDescent="0.25">
      <c r="A1089" t="str">
        <f t="shared" si="61"/>
        <v>17801</v>
      </c>
      <c r="B1089" s="34">
        <v>121</v>
      </c>
      <c r="C1089" s="31" t="str">
        <f t="shared" si="62"/>
        <v>17411</v>
      </c>
      <c r="D1089" s="31" t="s">
        <v>65</v>
      </c>
      <c r="E1089" s="34" t="str">
        <f>"4495"</f>
        <v>4495</v>
      </c>
      <c r="F1089" s="31" t="s">
        <v>1669</v>
      </c>
      <c r="G1089" s="1"/>
      <c r="H1089" s="1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</row>
    <row r="1090" spans="1:22" x14ac:dyDescent="0.25">
      <c r="A1090" t="str">
        <f t="shared" si="61"/>
        <v>17801</v>
      </c>
      <c r="B1090" s="34">
        <v>121</v>
      </c>
      <c r="C1090" s="31" t="str">
        <f t="shared" si="62"/>
        <v>17411</v>
      </c>
      <c r="D1090" s="31" t="s">
        <v>65</v>
      </c>
      <c r="E1090" s="34" t="str">
        <f>"3386"</f>
        <v>3386</v>
      </c>
      <c r="F1090" s="31" t="s">
        <v>1750</v>
      </c>
      <c r="G1090" s="1"/>
      <c r="H1090" s="1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</row>
    <row r="1091" spans="1:22" x14ac:dyDescent="0.25">
      <c r="A1091" t="str">
        <f t="shared" si="61"/>
        <v>17801</v>
      </c>
      <c r="B1091" s="34">
        <v>121</v>
      </c>
      <c r="C1091" s="31" t="str">
        <f t="shared" si="62"/>
        <v>17411</v>
      </c>
      <c r="D1091" s="31" t="s">
        <v>65</v>
      </c>
      <c r="E1091" s="34" t="str">
        <f>"3228"</f>
        <v>3228</v>
      </c>
      <c r="F1091" s="31" t="s">
        <v>1758</v>
      </c>
      <c r="G1091" s="1"/>
      <c r="H1091" s="1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</row>
    <row r="1092" spans="1:22" x14ac:dyDescent="0.25">
      <c r="A1092" t="str">
        <f t="shared" si="61"/>
        <v>17801</v>
      </c>
      <c r="B1092" s="65">
        <v>121</v>
      </c>
      <c r="C1092" s="65" t="str">
        <f t="shared" ref="C1092:C1134" si="63">"17415"</f>
        <v>17415</v>
      </c>
      <c r="D1092" s="66" t="s">
        <v>253</v>
      </c>
      <c r="E1092" s="65" t="str">
        <f>"4353"</f>
        <v>4353</v>
      </c>
      <c r="F1092" s="66" t="s">
        <v>254</v>
      </c>
      <c r="G1092" s="1"/>
      <c r="H1092" s="1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</row>
    <row r="1093" spans="1:22" x14ac:dyDescent="0.25">
      <c r="A1093" t="str">
        <f t="shared" si="61"/>
        <v>17801</v>
      </c>
      <c r="B1093" s="65">
        <v>121</v>
      </c>
      <c r="C1093" s="65" t="str">
        <f t="shared" si="63"/>
        <v>17415</v>
      </c>
      <c r="D1093" s="66" t="s">
        <v>253</v>
      </c>
      <c r="E1093" s="65" t="str">
        <f>"4440"</f>
        <v>4440</v>
      </c>
      <c r="F1093" s="66" t="s">
        <v>287</v>
      </c>
      <c r="G1093" s="1"/>
      <c r="H1093" s="1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</row>
    <row r="1094" spans="1:22" x14ac:dyDescent="0.25">
      <c r="A1094" t="str">
        <f t="shared" si="61"/>
        <v>17801</v>
      </c>
      <c r="B1094" s="65">
        <v>121</v>
      </c>
      <c r="C1094" s="65" t="str">
        <f t="shared" si="63"/>
        <v>17415</v>
      </c>
      <c r="D1094" s="66" t="s">
        <v>253</v>
      </c>
      <c r="E1094" s="65" t="str">
        <f>"3676"</f>
        <v>3676</v>
      </c>
      <c r="F1094" s="66" t="s">
        <v>292</v>
      </c>
      <c r="G1094" s="1"/>
      <c r="H1094" s="1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</row>
    <row r="1095" spans="1:22" x14ac:dyDescent="0.25">
      <c r="A1095" t="str">
        <f t="shared" si="61"/>
        <v>17801</v>
      </c>
      <c r="B1095" s="65">
        <v>121</v>
      </c>
      <c r="C1095" s="65" t="str">
        <f t="shared" si="63"/>
        <v>17415</v>
      </c>
      <c r="D1095" s="66" t="s">
        <v>253</v>
      </c>
      <c r="E1095" s="65" t="str">
        <f>"3388"</f>
        <v>3388</v>
      </c>
      <c r="F1095" s="66" t="s">
        <v>440</v>
      </c>
      <c r="G1095" s="1"/>
      <c r="H1095" s="1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</row>
    <row r="1096" spans="1:22" x14ac:dyDescent="0.25">
      <c r="A1096" t="str">
        <f t="shared" si="61"/>
        <v>17801</v>
      </c>
      <c r="B1096" s="65">
        <v>121</v>
      </c>
      <c r="C1096" s="65" t="str">
        <f t="shared" si="63"/>
        <v>17415</v>
      </c>
      <c r="D1096" s="66" t="s">
        <v>253</v>
      </c>
      <c r="E1096" s="65" t="str">
        <f>"4126"</f>
        <v>4126</v>
      </c>
      <c r="F1096" s="66" t="s">
        <v>452</v>
      </c>
      <c r="G1096" s="1"/>
      <c r="H1096" s="1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</row>
    <row r="1097" spans="1:22" x14ac:dyDescent="0.25">
      <c r="A1097" t="str">
        <f t="shared" si="61"/>
        <v>17801</v>
      </c>
      <c r="B1097" s="65">
        <v>121</v>
      </c>
      <c r="C1097" s="65" t="str">
        <f t="shared" si="63"/>
        <v>17415</v>
      </c>
      <c r="D1097" s="66" t="s">
        <v>253</v>
      </c>
      <c r="E1097" s="65" t="str">
        <f>"2851"</f>
        <v>2851</v>
      </c>
      <c r="F1097" s="66" t="s">
        <v>529</v>
      </c>
      <c r="G1097" s="1"/>
      <c r="H1097" s="1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</row>
    <row r="1098" spans="1:22" x14ac:dyDescent="0.25">
      <c r="A1098" t="str">
        <f t="shared" si="61"/>
        <v>17801</v>
      </c>
      <c r="B1098" s="65">
        <v>121</v>
      </c>
      <c r="C1098" s="65" t="str">
        <f t="shared" si="63"/>
        <v>17415</v>
      </c>
      <c r="D1098" s="66" t="s">
        <v>253</v>
      </c>
      <c r="E1098" s="65" t="str">
        <f>"4545"</f>
        <v>4545</v>
      </c>
      <c r="F1098" s="66" t="s">
        <v>576</v>
      </c>
      <c r="G1098" s="1"/>
      <c r="H1098" s="1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</row>
    <row r="1099" spans="1:22" x14ac:dyDescent="0.25">
      <c r="A1099" t="str">
        <f t="shared" si="61"/>
        <v>17801</v>
      </c>
      <c r="B1099" s="65">
        <v>121</v>
      </c>
      <c r="C1099" s="65" t="str">
        <f t="shared" si="63"/>
        <v>17415</v>
      </c>
      <c r="D1099" s="66" t="s">
        <v>253</v>
      </c>
      <c r="E1099" s="65" t="str">
        <f>"3678"</f>
        <v>3678</v>
      </c>
      <c r="F1099" s="66" t="s">
        <v>615</v>
      </c>
      <c r="G1099" s="1"/>
      <c r="H1099" s="1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</row>
    <row r="1100" spans="1:22" x14ac:dyDescent="0.25">
      <c r="A1100" t="str">
        <f t="shared" si="61"/>
        <v>17801</v>
      </c>
      <c r="B1100" s="65">
        <v>121</v>
      </c>
      <c r="C1100" s="65" t="str">
        <f t="shared" si="63"/>
        <v>17415</v>
      </c>
      <c r="D1100" s="66" t="s">
        <v>253</v>
      </c>
      <c r="E1100" s="65" t="str">
        <f>"4413"</f>
        <v>4413</v>
      </c>
      <c r="F1100" s="66" t="s">
        <v>700</v>
      </c>
      <c r="G1100" s="1"/>
      <c r="H1100" s="1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</row>
    <row r="1101" spans="1:22" x14ac:dyDescent="0.25">
      <c r="A1101" t="str">
        <f t="shared" si="61"/>
        <v>17801</v>
      </c>
      <c r="B1101" s="65">
        <v>121</v>
      </c>
      <c r="C1101" s="65" t="str">
        <f t="shared" si="63"/>
        <v>17415</v>
      </c>
      <c r="D1101" s="66" t="s">
        <v>253</v>
      </c>
      <c r="E1101" s="65" t="str">
        <f>"4489"</f>
        <v>4489</v>
      </c>
      <c r="F1101" s="66" t="s">
        <v>712</v>
      </c>
      <c r="G1101" s="1"/>
      <c r="H1101" s="1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</row>
    <row r="1102" spans="1:22" x14ac:dyDescent="0.25">
      <c r="A1102" t="str">
        <f t="shared" si="61"/>
        <v>17801</v>
      </c>
      <c r="B1102" s="65">
        <v>121</v>
      </c>
      <c r="C1102" s="65" t="str">
        <f t="shared" si="63"/>
        <v>17415</v>
      </c>
      <c r="D1102" s="66" t="s">
        <v>253</v>
      </c>
      <c r="E1102" s="65" t="str">
        <f>"3708"</f>
        <v>3708</v>
      </c>
      <c r="F1102" s="66" t="s">
        <v>742</v>
      </c>
      <c r="G1102" s="1"/>
      <c r="H1102" s="1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</row>
    <row r="1103" spans="1:22" x14ac:dyDescent="0.25">
      <c r="A1103" t="str">
        <f t="shared" si="61"/>
        <v>17801</v>
      </c>
      <c r="B1103" s="65">
        <v>121</v>
      </c>
      <c r="C1103" s="65" t="str">
        <f t="shared" si="63"/>
        <v>17415</v>
      </c>
      <c r="D1103" s="66" t="s">
        <v>253</v>
      </c>
      <c r="E1103" s="65" t="str">
        <f>"4345"</f>
        <v>4345</v>
      </c>
      <c r="F1103" s="66" t="s">
        <v>845</v>
      </c>
      <c r="G1103" s="1"/>
      <c r="H1103" s="1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</row>
    <row r="1104" spans="1:22" x14ac:dyDescent="0.25">
      <c r="A1104" t="str">
        <f t="shared" si="61"/>
        <v>17801</v>
      </c>
      <c r="B1104" s="65">
        <v>121</v>
      </c>
      <c r="C1104" s="65" t="str">
        <f t="shared" si="63"/>
        <v>17415</v>
      </c>
      <c r="D1104" s="66" t="s">
        <v>253</v>
      </c>
      <c r="E1104" s="65" t="str">
        <f>"5275"</f>
        <v>5275</v>
      </c>
      <c r="F1104" s="66" t="s">
        <v>2272</v>
      </c>
      <c r="G1104" s="1"/>
      <c r="H1104" s="1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</row>
    <row r="1105" spans="1:22" x14ac:dyDescent="0.25">
      <c r="A1105" t="str">
        <f t="shared" si="61"/>
        <v>17801</v>
      </c>
      <c r="B1105" s="65">
        <v>121</v>
      </c>
      <c r="C1105" s="65" t="str">
        <f t="shared" si="63"/>
        <v>17415</v>
      </c>
      <c r="D1105" s="66" t="s">
        <v>253</v>
      </c>
      <c r="E1105" s="65" t="str">
        <f>"4301"</f>
        <v>4301</v>
      </c>
      <c r="F1105" s="66" t="s">
        <v>899</v>
      </c>
      <c r="G1105" s="1"/>
      <c r="H1105" s="1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</row>
    <row r="1106" spans="1:22" x14ac:dyDescent="0.25">
      <c r="A1106" t="str">
        <f t="shared" si="61"/>
        <v>17801</v>
      </c>
      <c r="B1106" s="65">
        <v>121</v>
      </c>
      <c r="C1106" s="65" t="str">
        <f t="shared" si="63"/>
        <v>17415</v>
      </c>
      <c r="D1106" s="66" t="s">
        <v>253</v>
      </c>
      <c r="E1106" s="65" t="str">
        <f>"4520"</f>
        <v>4520</v>
      </c>
      <c r="F1106" s="66" t="s">
        <v>934</v>
      </c>
      <c r="G1106" s="1"/>
      <c r="H1106" s="1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</row>
    <row r="1107" spans="1:22" x14ac:dyDescent="0.25">
      <c r="A1107" t="str">
        <f t="shared" si="61"/>
        <v>17801</v>
      </c>
      <c r="B1107" s="65">
        <v>121</v>
      </c>
      <c r="C1107" s="65" t="str">
        <f t="shared" si="63"/>
        <v>17415</v>
      </c>
      <c r="D1107" s="66" t="s">
        <v>253</v>
      </c>
      <c r="E1107" s="65" t="str">
        <f>"3014"</f>
        <v>3014</v>
      </c>
      <c r="F1107" s="66" t="s">
        <v>935</v>
      </c>
      <c r="G1107" s="1"/>
      <c r="H1107" s="1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</row>
    <row r="1108" spans="1:22" x14ac:dyDescent="0.25">
      <c r="A1108" t="str">
        <f t="shared" si="61"/>
        <v>17801</v>
      </c>
      <c r="B1108" s="65">
        <v>121</v>
      </c>
      <c r="C1108" s="65" t="str">
        <f t="shared" si="63"/>
        <v>17415</v>
      </c>
      <c r="D1108" s="66" t="s">
        <v>253</v>
      </c>
      <c r="E1108" s="65" t="str">
        <f>"5098"</f>
        <v>5098</v>
      </c>
      <c r="F1108" s="66" t="s">
        <v>936</v>
      </c>
      <c r="G1108" s="1"/>
      <c r="H1108" s="1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</row>
    <row r="1109" spans="1:22" x14ac:dyDescent="0.25">
      <c r="A1109" t="str">
        <f t="shared" si="61"/>
        <v>17801</v>
      </c>
      <c r="B1109" s="65">
        <v>121</v>
      </c>
      <c r="C1109" s="65" t="str">
        <f t="shared" si="63"/>
        <v>17415</v>
      </c>
      <c r="D1109" s="66" t="s">
        <v>253</v>
      </c>
      <c r="E1109" s="65" t="str">
        <f>"4492"</f>
        <v>4492</v>
      </c>
      <c r="F1109" s="66" t="s">
        <v>938</v>
      </c>
      <c r="G1109" s="1"/>
      <c r="H1109" s="1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</row>
    <row r="1110" spans="1:22" x14ac:dyDescent="0.25">
      <c r="A1110" t="str">
        <f t="shared" si="61"/>
        <v>17801</v>
      </c>
      <c r="B1110" s="65">
        <v>121</v>
      </c>
      <c r="C1110" s="65" t="str">
        <f t="shared" si="63"/>
        <v>17415</v>
      </c>
      <c r="D1110" s="66" t="s">
        <v>253</v>
      </c>
      <c r="E1110" s="65" t="str">
        <f>"2797"</f>
        <v>2797</v>
      </c>
      <c r="F1110" s="66" t="s">
        <v>939</v>
      </c>
      <c r="G1110" s="1"/>
      <c r="H1110" s="1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</row>
    <row r="1111" spans="1:22" x14ac:dyDescent="0.25">
      <c r="A1111" t="str">
        <f t="shared" si="61"/>
        <v>17801</v>
      </c>
      <c r="B1111" s="65">
        <v>121</v>
      </c>
      <c r="C1111" s="65" t="str">
        <f t="shared" si="63"/>
        <v>17415</v>
      </c>
      <c r="D1111" s="66" t="s">
        <v>253</v>
      </c>
      <c r="E1111" s="65" t="str">
        <f>"3640"</f>
        <v>3640</v>
      </c>
      <c r="F1111" s="66" t="s">
        <v>940</v>
      </c>
      <c r="G1111" s="1"/>
      <c r="H1111" s="1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</row>
    <row r="1112" spans="1:22" x14ac:dyDescent="0.25">
      <c r="A1112" t="str">
        <f t="shared" si="61"/>
        <v>17801</v>
      </c>
      <c r="B1112" s="65">
        <v>121</v>
      </c>
      <c r="C1112" s="65" t="str">
        <f t="shared" si="63"/>
        <v>17415</v>
      </c>
      <c r="D1112" s="66" t="s">
        <v>253</v>
      </c>
      <c r="E1112" s="65" t="str">
        <f>"4128"</f>
        <v>4128</v>
      </c>
      <c r="F1112" s="66" t="s">
        <v>941</v>
      </c>
      <c r="G1112" s="1"/>
      <c r="H1112" s="1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</row>
    <row r="1113" spans="1:22" x14ac:dyDescent="0.25">
      <c r="A1113" t="str">
        <f t="shared" si="61"/>
        <v>17801</v>
      </c>
      <c r="B1113" s="65">
        <v>121</v>
      </c>
      <c r="C1113" s="65" t="str">
        <f t="shared" si="63"/>
        <v>17415</v>
      </c>
      <c r="D1113" s="66" t="s">
        <v>253</v>
      </c>
      <c r="E1113" s="65" t="str">
        <f>"3550"</f>
        <v>3550</v>
      </c>
      <c r="F1113" s="66" t="s">
        <v>1002</v>
      </c>
      <c r="G1113" s="1"/>
      <c r="H1113" s="1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</row>
    <row r="1114" spans="1:22" x14ac:dyDescent="0.25">
      <c r="A1114" t="str">
        <f t="shared" si="61"/>
        <v>17801</v>
      </c>
      <c r="B1114" s="65">
        <v>121</v>
      </c>
      <c r="C1114" s="65" t="str">
        <f t="shared" si="63"/>
        <v>17415</v>
      </c>
      <c r="D1114" s="66" t="s">
        <v>253</v>
      </c>
      <c r="E1114" s="65" t="str">
        <f>"4294"</f>
        <v>4294</v>
      </c>
      <c r="F1114" s="66" t="s">
        <v>1136</v>
      </c>
      <c r="G1114" s="1"/>
      <c r="H1114" s="1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</row>
    <row r="1115" spans="1:22" x14ac:dyDescent="0.25">
      <c r="A1115" t="str">
        <f t="shared" si="61"/>
        <v>17801</v>
      </c>
      <c r="B1115" s="65">
        <v>121</v>
      </c>
      <c r="C1115" s="65" t="str">
        <f t="shared" si="63"/>
        <v>17415</v>
      </c>
      <c r="D1115" s="66" t="s">
        <v>253</v>
      </c>
      <c r="E1115" s="65" t="str">
        <f>"4127"</f>
        <v>4127</v>
      </c>
      <c r="F1115" s="66" t="s">
        <v>1146</v>
      </c>
      <c r="G1115" s="1"/>
      <c r="H1115" s="1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</row>
    <row r="1116" spans="1:22" x14ac:dyDescent="0.25">
      <c r="A1116" t="str">
        <f t="shared" si="61"/>
        <v>17801</v>
      </c>
      <c r="B1116" s="65">
        <v>121</v>
      </c>
      <c r="C1116" s="65" t="str">
        <f t="shared" si="63"/>
        <v>17415</v>
      </c>
      <c r="D1116" s="66" t="s">
        <v>253</v>
      </c>
      <c r="E1116" s="65" t="str">
        <f>"4465"</f>
        <v>4465</v>
      </c>
      <c r="F1116" s="66" t="s">
        <v>1170</v>
      </c>
      <c r="G1116" s="1"/>
      <c r="H1116" s="1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</row>
    <row r="1117" spans="1:22" x14ac:dyDescent="0.25">
      <c r="A1117" t="str">
        <f t="shared" si="61"/>
        <v>17801</v>
      </c>
      <c r="B1117" s="65">
        <v>121</v>
      </c>
      <c r="C1117" s="65" t="str">
        <f t="shared" si="63"/>
        <v>17415</v>
      </c>
      <c r="D1117" s="66" t="s">
        <v>253</v>
      </c>
      <c r="E1117" s="65" t="str">
        <f>"3764"</f>
        <v>3764</v>
      </c>
      <c r="F1117" s="66" t="s">
        <v>1181</v>
      </c>
      <c r="G1117" s="1"/>
      <c r="H1117" s="1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</row>
    <row r="1118" spans="1:22" x14ac:dyDescent="0.25">
      <c r="A1118" t="str">
        <f t="shared" si="61"/>
        <v>17801</v>
      </c>
      <c r="B1118" s="65">
        <v>121</v>
      </c>
      <c r="C1118" s="65" t="str">
        <f t="shared" si="63"/>
        <v>17415</v>
      </c>
      <c r="D1118" s="66" t="s">
        <v>253</v>
      </c>
      <c r="E1118" s="65" t="str">
        <f>"2565"</f>
        <v>2565</v>
      </c>
      <c r="F1118" s="66" t="s">
        <v>1186</v>
      </c>
      <c r="G1118" s="1"/>
      <c r="H1118" s="1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</row>
    <row r="1119" spans="1:22" x14ac:dyDescent="0.25">
      <c r="A1119" t="str">
        <f t="shared" si="61"/>
        <v>17801</v>
      </c>
      <c r="B1119" s="65">
        <v>121</v>
      </c>
      <c r="C1119" s="65" t="str">
        <f t="shared" si="63"/>
        <v>17415</v>
      </c>
      <c r="D1119" s="66" t="s">
        <v>253</v>
      </c>
      <c r="E1119" s="65" t="str">
        <f>"3233"</f>
        <v>3233</v>
      </c>
      <c r="F1119" s="66" t="s">
        <v>1188</v>
      </c>
      <c r="G1119" s="1"/>
      <c r="H1119" s="1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</row>
    <row r="1120" spans="1:22" x14ac:dyDescent="0.25">
      <c r="A1120" t="str">
        <f t="shared" si="61"/>
        <v>17801</v>
      </c>
      <c r="B1120" s="65">
        <v>121</v>
      </c>
      <c r="C1120" s="65" t="str">
        <f t="shared" si="63"/>
        <v>17415</v>
      </c>
      <c r="D1120" s="66" t="s">
        <v>253</v>
      </c>
      <c r="E1120" s="65" t="str">
        <f>"5016"</f>
        <v>5016</v>
      </c>
      <c r="F1120" s="66" t="s">
        <v>1203</v>
      </c>
      <c r="G1120" s="1"/>
      <c r="H1120" s="1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</row>
    <row r="1121" spans="1:22" x14ac:dyDescent="0.25">
      <c r="A1121" t="str">
        <f t="shared" si="61"/>
        <v>17801</v>
      </c>
      <c r="B1121" s="65">
        <v>121</v>
      </c>
      <c r="C1121" s="65" t="str">
        <f t="shared" si="63"/>
        <v>17415</v>
      </c>
      <c r="D1121" s="66" t="s">
        <v>253</v>
      </c>
      <c r="E1121" s="65" t="str">
        <f>"4581"</f>
        <v>4581</v>
      </c>
      <c r="F1121" s="66" t="s">
        <v>1206</v>
      </c>
      <c r="G1121" s="1"/>
      <c r="H1121" s="1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</row>
    <row r="1122" spans="1:22" x14ac:dyDescent="0.25">
      <c r="A1122" t="str">
        <f t="shared" si="61"/>
        <v>17801</v>
      </c>
      <c r="B1122" s="65">
        <v>121</v>
      </c>
      <c r="C1122" s="65" t="str">
        <f t="shared" si="63"/>
        <v>17415</v>
      </c>
      <c r="D1122" s="66" t="s">
        <v>253</v>
      </c>
      <c r="E1122" s="65" t="str">
        <f>"4356"</f>
        <v>4356</v>
      </c>
      <c r="F1122" s="66" t="s">
        <v>1285</v>
      </c>
      <c r="G1122" s="1"/>
      <c r="H1122" s="1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</row>
    <row r="1123" spans="1:22" x14ac:dyDescent="0.25">
      <c r="A1123" t="str">
        <f t="shared" si="61"/>
        <v>17801</v>
      </c>
      <c r="B1123" s="65">
        <v>121</v>
      </c>
      <c r="C1123" s="65" t="str">
        <f t="shared" si="63"/>
        <v>17415</v>
      </c>
      <c r="D1123" s="66" t="s">
        <v>253</v>
      </c>
      <c r="E1123" s="65" t="str">
        <f>"4485"</f>
        <v>4485</v>
      </c>
      <c r="F1123" s="66" t="s">
        <v>1331</v>
      </c>
      <c r="G1123" s="1"/>
      <c r="H1123" s="1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</row>
    <row r="1124" spans="1:22" x14ac:dyDescent="0.25">
      <c r="A1124" t="str">
        <f t="shared" si="61"/>
        <v>17801</v>
      </c>
      <c r="B1124" s="65">
        <v>121</v>
      </c>
      <c r="C1124" s="65" t="str">
        <f t="shared" si="63"/>
        <v>17415</v>
      </c>
      <c r="D1124" s="66" t="s">
        <v>253</v>
      </c>
      <c r="E1124" s="65" t="str">
        <f>"5178"</f>
        <v>5178</v>
      </c>
      <c r="F1124" s="66" t="s">
        <v>1411</v>
      </c>
      <c r="G1124" s="1"/>
      <c r="H1124" s="1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</row>
    <row r="1125" spans="1:22" x14ac:dyDescent="0.25">
      <c r="A1125" t="str">
        <f t="shared" si="61"/>
        <v>17801</v>
      </c>
      <c r="B1125" s="65">
        <v>121</v>
      </c>
      <c r="C1125" s="65" t="str">
        <f t="shared" si="63"/>
        <v>17415</v>
      </c>
      <c r="D1125" s="66" t="s">
        <v>253</v>
      </c>
      <c r="E1125" s="65" t="str">
        <f>"3491"</f>
        <v>3491</v>
      </c>
      <c r="F1125" s="66" t="s">
        <v>1416</v>
      </c>
      <c r="G1125" s="1"/>
      <c r="H1125" s="1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</row>
    <row r="1126" spans="1:22" x14ac:dyDescent="0.25">
      <c r="A1126" t="str">
        <f t="shared" si="61"/>
        <v>17801</v>
      </c>
      <c r="B1126" s="65">
        <v>121</v>
      </c>
      <c r="C1126" s="65" t="str">
        <f t="shared" si="63"/>
        <v>17415</v>
      </c>
      <c r="D1126" s="66" t="s">
        <v>253</v>
      </c>
      <c r="E1126" s="65" t="str">
        <f>"3593"</f>
        <v>3593</v>
      </c>
      <c r="F1126" s="66" t="s">
        <v>1444</v>
      </c>
      <c r="G1126" s="1"/>
      <c r="H1126" s="1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</row>
    <row r="1127" spans="1:22" x14ac:dyDescent="0.25">
      <c r="A1127" t="str">
        <f t="shared" si="61"/>
        <v>17801</v>
      </c>
      <c r="B1127" s="65">
        <v>121</v>
      </c>
      <c r="C1127" s="65" t="str">
        <f t="shared" si="63"/>
        <v>17415</v>
      </c>
      <c r="D1127" s="66" t="s">
        <v>253</v>
      </c>
      <c r="E1127" s="65" t="str">
        <f>"1807"</f>
        <v>1807</v>
      </c>
      <c r="F1127" s="66" t="s">
        <v>2006</v>
      </c>
      <c r="G1127" s="1"/>
      <c r="H1127" s="1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</row>
    <row r="1128" spans="1:22" x14ac:dyDescent="0.25">
      <c r="A1128" t="str">
        <f t="shared" si="61"/>
        <v>17801</v>
      </c>
      <c r="B1128" s="65">
        <v>121</v>
      </c>
      <c r="C1128" s="65" t="str">
        <f t="shared" si="63"/>
        <v>17415</v>
      </c>
      <c r="D1128" s="66" t="s">
        <v>253</v>
      </c>
      <c r="E1128" s="65" t="str">
        <f>"4293"</f>
        <v>4293</v>
      </c>
      <c r="F1128" s="66" t="s">
        <v>1530</v>
      </c>
      <c r="G1128" s="1"/>
      <c r="H1128" s="1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</row>
    <row r="1129" spans="1:22" x14ac:dyDescent="0.25">
      <c r="A1129" t="str">
        <f t="shared" si="61"/>
        <v>17801</v>
      </c>
      <c r="B1129" s="65">
        <v>121</v>
      </c>
      <c r="C1129" s="65" t="str">
        <f t="shared" si="63"/>
        <v>17415</v>
      </c>
      <c r="D1129" s="66" t="s">
        <v>253</v>
      </c>
      <c r="E1129" s="65" t="str">
        <f>"4466"</f>
        <v>4466</v>
      </c>
      <c r="F1129" s="66" t="s">
        <v>1597</v>
      </c>
      <c r="G1129" s="1"/>
      <c r="H1129" s="1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</row>
    <row r="1130" spans="1:22" x14ac:dyDescent="0.25">
      <c r="A1130" t="str">
        <f t="shared" si="61"/>
        <v>17801</v>
      </c>
      <c r="B1130" s="65">
        <v>121</v>
      </c>
      <c r="C1130" s="65" t="str">
        <f t="shared" si="63"/>
        <v>17415</v>
      </c>
      <c r="D1130" s="66" t="s">
        <v>253</v>
      </c>
      <c r="E1130" s="65" t="str">
        <f>"3389"</f>
        <v>3389</v>
      </c>
      <c r="F1130" s="66" t="s">
        <v>1598</v>
      </c>
      <c r="G1130" s="1"/>
      <c r="H1130" s="1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</row>
    <row r="1131" spans="1:22" x14ac:dyDescent="0.25">
      <c r="A1131" t="str">
        <f t="shared" ref="A1131:A1194" si="64">"17801"</f>
        <v>17801</v>
      </c>
      <c r="B1131" s="65">
        <v>121</v>
      </c>
      <c r="C1131" s="65" t="str">
        <f t="shared" si="63"/>
        <v>17415</v>
      </c>
      <c r="D1131" s="66" t="s">
        <v>253</v>
      </c>
      <c r="E1131" s="65" t="str">
        <f>"3707"</f>
        <v>3707</v>
      </c>
      <c r="F1131" s="66" t="s">
        <v>1681</v>
      </c>
      <c r="G1131" s="1"/>
      <c r="H1131" s="1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</row>
    <row r="1132" spans="1:22" x14ac:dyDescent="0.25">
      <c r="A1132" t="str">
        <f t="shared" si="64"/>
        <v>17801</v>
      </c>
      <c r="B1132" s="65">
        <v>121</v>
      </c>
      <c r="C1132" s="65" t="str">
        <f t="shared" si="63"/>
        <v>17415</v>
      </c>
      <c r="D1132" s="66" t="s">
        <v>253</v>
      </c>
      <c r="E1132" s="65" t="str">
        <f>"3677"</f>
        <v>3677</v>
      </c>
      <c r="F1132" s="66" t="s">
        <v>1713</v>
      </c>
      <c r="G1132" s="1"/>
      <c r="H1132" s="1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</row>
    <row r="1133" spans="1:22" x14ac:dyDescent="0.25">
      <c r="A1133" t="str">
        <f t="shared" si="64"/>
        <v>17801</v>
      </c>
      <c r="B1133" s="65">
        <v>121</v>
      </c>
      <c r="C1133" s="65" t="str">
        <f t="shared" si="63"/>
        <v>17415</v>
      </c>
      <c r="D1133" s="66" t="s">
        <v>253</v>
      </c>
      <c r="E1133" s="65" t="str">
        <f>"4420"</f>
        <v>4420</v>
      </c>
      <c r="F1133" s="66" t="s">
        <v>1757</v>
      </c>
      <c r="G1133" s="1"/>
      <c r="H1133" s="1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</row>
    <row r="1134" spans="1:22" x14ac:dyDescent="0.25">
      <c r="A1134" t="str">
        <f t="shared" si="64"/>
        <v>17801</v>
      </c>
      <c r="B1134" s="65">
        <v>121</v>
      </c>
      <c r="C1134" s="65" t="str">
        <f t="shared" si="63"/>
        <v>17415</v>
      </c>
      <c r="D1134" s="66" t="s">
        <v>253</v>
      </c>
      <c r="E1134" s="65" t="str">
        <f>"5440"</f>
        <v>5440</v>
      </c>
      <c r="F1134" s="66" t="s">
        <v>1786</v>
      </c>
      <c r="G1134" s="1"/>
      <c r="H1134" s="1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</row>
    <row r="1135" spans="1:22" x14ac:dyDescent="0.25">
      <c r="A1135" t="str">
        <f t="shared" si="64"/>
        <v>17801</v>
      </c>
      <c r="B1135" s="34">
        <v>121</v>
      </c>
      <c r="C1135" s="31" t="str">
        <f t="shared" ref="C1135:C1188" si="65">"17414"</f>
        <v>17414</v>
      </c>
      <c r="D1135" s="31" t="s">
        <v>36</v>
      </c>
      <c r="E1135" s="34" t="str">
        <f>"4424"</f>
        <v>4424</v>
      </c>
      <c r="F1135" s="31" t="s">
        <v>2080</v>
      </c>
      <c r="G1135" s="1"/>
      <c r="H1135" s="1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</row>
    <row r="1136" spans="1:22" x14ac:dyDescent="0.25">
      <c r="A1136" t="str">
        <f t="shared" si="64"/>
        <v>17801</v>
      </c>
      <c r="B1136" s="34">
        <v>121</v>
      </c>
      <c r="C1136" s="31" t="str">
        <f t="shared" si="65"/>
        <v>17414</v>
      </c>
      <c r="D1136" s="31" t="s">
        <v>36</v>
      </c>
      <c r="E1136" s="34" t="str">
        <f>"3592"</f>
        <v>3592</v>
      </c>
      <c r="F1136" s="31" t="s">
        <v>2081</v>
      </c>
      <c r="G1136" s="1"/>
      <c r="H1136" s="1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</row>
    <row r="1137" spans="1:22" x14ac:dyDescent="0.25">
      <c r="A1137" t="str">
        <f t="shared" si="64"/>
        <v>17801</v>
      </c>
      <c r="B1137" s="34">
        <v>121</v>
      </c>
      <c r="C1137" s="31" t="str">
        <f t="shared" si="65"/>
        <v>17414</v>
      </c>
      <c r="D1137" s="31" t="s">
        <v>36</v>
      </c>
      <c r="E1137" s="34" t="str">
        <f>"3591"</f>
        <v>3591</v>
      </c>
      <c r="F1137" s="31" t="s">
        <v>139</v>
      </c>
      <c r="G1137" s="1"/>
      <c r="H1137" s="1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</row>
    <row r="1138" spans="1:22" x14ac:dyDescent="0.25">
      <c r="A1138" t="str">
        <f t="shared" si="64"/>
        <v>17801</v>
      </c>
      <c r="B1138" s="34">
        <v>121</v>
      </c>
      <c r="C1138" s="31" t="str">
        <f t="shared" si="65"/>
        <v>17414</v>
      </c>
      <c r="D1138" s="31" t="s">
        <v>36</v>
      </c>
      <c r="E1138" s="34" t="str">
        <f>"3703"</f>
        <v>3703</v>
      </c>
      <c r="F1138" s="31" t="s">
        <v>2082</v>
      </c>
      <c r="G1138" s="1"/>
      <c r="H1138" s="1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</row>
    <row r="1139" spans="1:22" x14ac:dyDescent="0.25">
      <c r="A1139" t="str">
        <f t="shared" si="64"/>
        <v>17801</v>
      </c>
      <c r="B1139" s="34">
        <v>121</v>
      </c>
      <c r="C1139" s="31" t="str">
        <f t="shared" si="65"/>
        <v>17414</v>
      </c>
      <c r="D1139" s="31" t="s">
        <v>36</v>
      </c>
      <c r="E1139" s="34" t="str">
        <f>"3747"</f>
        <v>3747</v>
      </c>
      <c r="F1139" s="31" t="s">
        <v>2083</v>
      </c>
      <c r="G1139" s="1"/>
      <c r="H1139" s="1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</row>
    <row r="1140" spans="1:22" x14ac:dyDescent="0.25">
      <c r="A1140" t="str">
        <f t="shared" si="64"/>
        <v>17801</v>
      </c>
      <c r="B1140" s="34">
        <v>121</v>
      </c>
      <c r="C1140" s="31" t="str">
        <f t="shared" si="65"/>
        <v>17414</v>
      </c>
      <c r="D1140" s="31" t="s">
        <v>36</v>
      </c>
      <c r="E1140" s="34" t="str">
        <f>"4354"</f>
        <v>4354</v>
      </c>
      <c r="F1140" s="31" t="s">
        <v>2084</v>
      </c>
      <c r="G1140" s="1"/>
      <c r="H1140" s="1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</row>
    <row r="1141" spans="1:22" x14ac:dyDescent="0.25">
      <c r="A1141" t="str">
        <f t="shared" si="64"/>
        <v>17801</v>
      </c>
      <c r="B1141" s="34">
        <v>121</v>
      </c>
      <c r="C1141" s="31" t="str">
        <f t="shared" si="65"/>
        <v>17414</v>
      </c>
      <c r="D1141" s="31" t="s">
        <v>36</v>
      </c>
      <c r="E1141" s="34">
        <v>5511</v>
      </c>
      <c r="F1141" s="31" t="s">
        <v>2085</v>
      </c>
      <c r="G1141" s="1"/>
      <c r="H1141" s="1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</row>
    <row r="1142" spans="1:22" x14ac:dyDescent="0.25">
      <c r="A1142" t="str">
        <f t="shared" si="64"/>
        <v>17801</v>
      </c>
      <c r="B1142" s="34">
        <v>121</v>
      </c>
      <c r="C1142" s="31" t="str">
        <f t="shared" si="65"/>
        <v>17414</v>
      </c>
      <c r="D1142" s="31" t="s">
        <v>36</v>
      </c>
      <c r="E1142" s="34" t="str">
        <f>"3856"</f>
        <v>3856</v>
      </c>
      <c r="F1142" s="31" t="s">
        <v>412</v>
      </c>
      <c r="G1142" s="1"/>
      <c r="H1142" s="1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</row>
    <row r="1143" spans="1:22" x14ac:dyDescent="0.25">
      <c r="A1143" t="str">
        <f t="shared" si="64"/>
        <v>17801</v>
      </c>
      <c r="B1143" s="34">
        <v>121</v>
      </c>
      <c r="C1143" s="31" t="str">
        <f t="shared" si="65"/>
        <v>17414</v>
      </c>
      <c r="D1143" s="31" t="s">
        <v>36</v>
      </c>
      <c r="E1143" s="34" t="str">
        <f>"1658"</f>
        <v>1658</v>
      </c>
      <c r="F1143" s="31" t="s">
        <v>509</v>
      </c>
      <c r="G1143" s="1"/>
      <c r="H1143" s="1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</row>
    <row r="1144" spans="1:22" x14ac:dyDescent="0.25">
      <c r="A1144" t="str">
        <f t="shared" si="64"/>
        <v>17801</v>
      </c>
      <c r="B1144" s="34">
        <v>121</v>
      </c>
      <c r="C1144" s="31" t="str">
        <f t="shared" si="65"/>
        <v>17414</v>
      </c>
      <c r="D1144" s="31" t="s">
        <v>36</v>
      </c>
      <c r="E1144" s="34" t="str">
        <f>"4439"</f>
        <v>4439</v>
      </c>
      <c r="F1144" s="31" t="s">
        <v>539</v>
      </c>
      <c r="G1144" s="1"/>
      <c r="H1144" s="1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</row>
    <row r="1145" spans="1:22" x14ac:dyDescent="0.25">
      <c r="A1145" t="str">
        <f t="shared" si="64"/>
        <v>17801</v>
      </c>
      <c r="B1145" s="34">
        <v>121</v>
      </c>
      <c r="C1145" s="31" t="str">
        <f t="shared" si="65"/>
        <v>17414</v>
      </c>
      <c r="D1145" s="31" t="s">
        <v>36</v>
      </c>
      <c r="E1145" s="34" t="str">
        <f>"4532"</f>
        <v>4532</v>
      </c>
      <c r="F1145" s="31" t="s">
        <v>2086</v>
      </c>
      <c r="G1145" s="1"/>
      <c r="H1145" s="1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</row>
    <row r="1146" spans="1:22" x14ac:dyDescent="0.25">
      <c r="A1146" t="str">
        <f t="shared" si="64"/>
        <v>17801</v>
      </c>
      <c r="B1146" s="34">
        <v>121</v>
      </c>
      <c r="C1146" s="31" t="str">
        <f t="shared" si="65"/>
        <v>17414</v>
      </c>
      <c r="D1146" s="31" t="s">
        <v>36</v>
      </c>
      <c r="E1146" s="34">
        <v>5512</v>
      </c>
      <c r="F1146" s="31" t="s">
        <v>2087</v>
      </c>
      <c r="G1146" s="1"/>
      <c r="H1146" s="1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</row>
    <row r="1147" spans="1:22" x14ac:dyDescent="0.25">
      <c r="A1147" t="str">
        <f t="shared" si="64"/>
        <v>17801</v>
      </c>
      <c r="B1147" s="34">
        <v>121</v>
      </c>
      <c r="C1147" s="31" t="str">
        <f t="shared" si="65"/>
        <v>17414</v>
      </c>
      <c r="D1147" s="31" t="s">
        <v>36</v>
      </c>
      <c r="E1147" s="34" t="str">
        <f>"3855"</f>
        <v>3855</v>
      </c>
      <c r="F1147" s="31" t="s">
        <v>580</v>
      </c>
      <c r="G1147" s="1"/>
      <c r="H1147" s="1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</row>
    <row r="1148" spans="1:22" x14ac:dyDescent="0.25">
      <c r="A1148" t="str">
        <f t="shared" si="64"/>
        <v>17801</v>
      </c>
      <c r="B1148" s="34">
        <v>121</v>
      </c>
      <c r="C1148" s="31" t="str">
        <f t="shared" si="65"/>
        <v>17414</v>
      </c>
      <c r="D1148" s="31" t="s">
        <v>36</v>
      </c>
      <c r="E1148" s="34" t="str">
        <f>"1688"</f>
        <v>1688</v>
      </c>
      <c r="F1148" s="31" t="s">
        <v>581</v>
      </c>
      <c r="G1148" s="1"/>
      <c r="H1148" s="1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</row>
    <row r="1149" spans="1:22" x14ac:dyDescent="0.25">
      <c r="A1149" t="str">
        <f t="shared" si="64"/>
        <v>17801</v>
      </c>
      <c r="B1149" s="34">
        <v>121</v>
      </c>
      <c r="C1149" s="31" t="str">
        <f t="shared" si="65"/>
        <v>17414</v>
      </c>
      <c r="D1149" s="31" t="s">
        <v>36</v>
      </c>
      <c r="E1149" s="34" t="str">
        <f>"4018"</f>
        <v>4018</v>
      </c>
      <c r="F1149" s="31" t="s">
        <v>2088</v>
      </c>
      <c r="G1149" s="1"/>
      <c r="H1149" s="1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</row>
    <row r="1150" spans="1:22" x14ac:dyDescent="0.25">
      <c r="A1150" t="str">
        <f t="shared" si="64"/>
        <v>17801</v>
      </c>
      <c r="B1150" s="34">
        <v>121</v>
      </c>
      <c r="C1150" s="31" t="str">
        <f t="shared" si="65"/>
        <v>17414</v>
      </c>
      <c r="D1150" s="31" t="s">
        <v>36</v>
      </c>
      <c r="E1150" s="34" t="str">
        <f>"1800"</f>
        <v>1800</v>
      </c>
      <c r="F1150" s="31" t="s">
        <v>594</v>
      </c>
      <c r="G1150" s="1"/>
      <c r="H1150" s="1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</row>
    <row r="1151" spans="1:22" x14ac:dyDescent="0.25">
      <c r="A1151" t="str">
        <f t="shared" si="64"/>
        <v>17801</v>
      </c>
      <c r="B1151" s="34">
        <v>121</v>
      </c>
      <c r="C1151" s="31" t="str">
        <f t="shared" si="65"/>
        <v>17414</v>
      </c>
      <c r="D1151" s="31" t="s">
        <v>36</v>
      </c>
      <c r="E1151" s="34" t="str">
        <f>"4148"</f>
        <v>4148</v>
      </c>
      <c r="F1151" s="31" t="s">
        <v>604</v>
      </c>
      <c r="G1151" s="1"/>
      <c r="H1151" s="1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</row>
    <row r="1152" spans="1:22" x14ac:dyDescent="0.25">
      <c r="A1152" t="str">
        <f t="shared" si="64"/>
        <v>17801</v>
      </c>
      <c r="B1152" s="34">
        <v>121</v>
      </c>
      <c r="C1152" s="31" t="str">
        <f t="shared" si="65"/>
        <v>17414</v>
      </c>
      <c r="D1152" s="31" t="s">
        <v>36</v>
      </c>
      <c r="E1152" s="34" t="str">
        <f>"1687"</f>
        <v>1687</v>
      </c>
      <c r="F1152" s="31" t="s">
        <v>609</v>
      </c>
      <c r="G1152" s="1"/>
      <c r="H1152" s="1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</row>
    <row r="1153" spans="1:22" x14ac:dyDescent="0.25">
      <c r="A1153" t="str">
        <f t="shared" si="64"/>
        <v>17801</v>
      </c>
      <c r="B1153" s="34">
        <v>121</v>
      </c>
      <c r="C1153" s="31" t="str">
        <f t="shared" si="65"/>
        <v>17414</v>
      </c>
      <c r="D1153" s="31" t="s">
        <v>36</v>
      </c>
      <c r="E1153" s="34" t="str">
        <f>"3590"</f>
        <v>3590</v>
      </c>
      <c r="F1153" s="31" t="s">
        <v>634</v>
      </c>
      <c r="G1153" s="1"/>
      <c r="H1153" s="1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</row>
    <row r="1154" spans="1:22" x14ac:dyDescent="0.25">
      <c r="A1154" t="str">
        <f t="shared" si="64"/>
        <v>17801</v>
      </c>
      <c r="B1154" s="34">
        <v>121</v>
      </c>
      <c r="C1154" s="31" t="str">
        <f t="shared" si="65"/>
        <v>17414</v>
      </c>
      <c r="D1154" s="31" t="s">
        <v>36</v>
      </c>
      <c r="E1154" s="34" t="str">
        <f>"1804"</f>
        <v>1804</v>
      </c>
      <c r="F1154" s="31" t="s">
        <v>679</v>
      </c>
      <c r="G1154" s="1"/>
      <c r="H1154" s="1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</row>
    <row r="1155" spans="1:22" x14ac:dyDescent="0.25">
      <c r="A1155" t="str">
        <f t="shared" si="64"/>
        <v>17801</v>
      </c>
      <c r="B1155" s="34">
        <v>121</v>
      </c>
      <c r="C1155" s="31" t="str">
        <f t="shared" si="65"/>
        <v>17414</v>
      </c>
      <c r="D1155" s="31" t="s">
        <v>36</v>
      </c>
      <c r="E1155" s="34" t="str">
        <f>"3704"</f>
        <v>3704</v>
      </c>
      <c r="F1155" s="31" t="s">
        <v>2089</v>
      </c>
      <c r="G1155" s="1"/>
      <c r="H1155" s="1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</row>
    <row r="1156" spans="1:22" x14ac:dyDescent="0.25">
      <c r="A1156" t="str">
        <f t="shared" si="64"/>
        <v>17801</v>
      </c>
      <c r="B1156" s="34">
        <v>121</v>
      </c>
      <c r="C1156" s="31" t="str">
        <f t="shared" si="65"/>
        <v>17414</v>
      </c>
      <c r="D1156" s="31" t="s">
        <v>36</v>
      </c>
      <c r="E1156" s="34" t="str">
        <f>"3490"</f>
        <v>3490</v>
      </c>
      <c r="F1156" s="31" t="s">
        <v>2090</v>
      </c>
      <c r="G1156" s="1"/>
      <c r="H1156" s="1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</row>
    <row r="1157" spans="1:22" x14ac:dyDescent="0.25">
      <c r="A1157" t="str">
        <f t="shared" si="64"/>
        <v>17801</v>
      </c>
      <c r="B1157" s="34">
        <v>121</v>
      </c>
      <c r="C1157" s="31" t="str">
        <f t="shared" si="65"/>
        <v>17414</v>
      </c>
      <c r="D1157" s="31" t="s">
        <v>36</v>
      </c>
      <c r="E1157" s="34" t="str">
        <f>"3529"</f>
        <v>3529</v>
      </c>
      <c r="F1157" s="31" t="s">
        <v>2091</v>
      </c>
      <c r="G1157" s="1"/>
      <c r="H1157" s="1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</row>
    <row r="1158" spans="1:22" x14ac:dyDescent="0.25">
      <c r="A1158" t="str">
        <f t="shared" si="64"/>
        <v>17801</v>
      </c>
      <c r="B1158" s="34">
        <v>121</v>
      </c>
      <c r="C1158" s="31" t="str">
        <f t="shared" si="65"/>
        <v>17414</v>
      </c>
      <c r="D1158" s="31" t="s">
        <v>36</v>
      </c>
      <c r="E1158" s="34" t="str">
        <f>"4386"</f>
        <v>4386</v>
      </c>
      <c r="F1158" s="31" t="s">
        <v>868</v>
      </c>
      <c r="G1158" s="1"/>
      <c r="H1158" s="1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</row>
    <row r="1159" spans="1:22" x14ac:dyDescent="0.25">
      <c r="A1159" t="str">
        <f t="shared" si="64"/>
        <v>17801</v>
      </c>
      <c r="B1159" s="34">
        <v>121</v>
      </c>
      <c r="C1159" s="31" t="str">
        <f t="shared" si="65"/>
        <v>17414</v>
      </c>
      <c r="D1159" s="31" t="s">
        <v>36</v>
      </c>
      <c r="E1159" s="34" t="str">
        <f>"1706"</f>
        <v>1706</v>
      </c>
      <c r="F1159" s="31" t="s">
        <v>872</v>
      </c>
      <c r="G1159" s="1"/>
      <c r="H1159" s="1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</row>
    <row r="1160" spans="1:22" x14ac:dyDescent="0.25">
      <c r="A1160" t="str">
        <f t="shared" si="64"/>
        <v>17801</v>
      </c>
      <c r="B1160" s="34">
        <v>121</v>
      </c>
      <c r="C1160" s="31" t="str">
        <f t="shared" si="65"/>
        <v>17414</v>
      </c>
      <c r="D1160" s="31" t="s">
        <v>36</v>
      </c>
      <c r="E1160" s="34" t="str">
        <f>"3548"</f>
        <v>3548</v>
      </c>
      <c r="F1160" s="31" t="s">
        <v>2092</v>
      </c>
      <c r="G1160" s="1"/>
      <c r="H1160" s="1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</row>
    <row r="1161" spans="1:22" x14ac:dyDescent="0.25">
      <c r="A1161" t="str">
        <f t="shared" si="64"/>
        <v>17801</v>
      </c>
      <c r="B1161" s="34">
        <v>121</v>
      </c>
      <c r="C1161" s="31" t="str">
        <f t="shared" si="65"/>
        <v>17414</v>
      </c>
      <c r="D1161" s="31" t="s">
        <v>36</v>
      </c>
      <c r="E1161" s="34" t="str">
        <f>"3748"</f>
        <v>3748</v>
      </c>
      <c r="F1161" s="31" t="s">
        <v>2093</v>
      </c>
      <c r="G1161" s="1"/>
      <c r="H1161" s="1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</row>
    <row r="1162" spans="1:22" x14ac:dyDescent="0.25">
      <c r="A1162" t="str">
        <f t="shared" si="64"/>
        <v>17801</v>
      </c>
      <c r="B1162" s="34">
        <v>121</v>
      </c>
      <c r="C1162" s="31" t="str">
        <f t="shared" si="65"/>
        <v>17414</v>
      </c>
      <c r="D1162" s="31" t="s">
        <v>36</v>
      </c>
      <c r="E1162" s="34" t="str">
        <f>"2796"</f>
        <v>2796</v>
      </c>
      <c r="F1162" s="31" t="s">
        <v>912</v>
      </c>
      <c r="G1162" s="1"/>
      <c r="H1162" s="1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</row>
    <row r="1163" spans="1:22" x14ac:dyDescent="0.25">
      <c r="A1163" t="str">
        <f t="shared" si="64"/>
        <v>17801</v>
      </c>
      <c r="B1163" s="34">
        <v>121</v>
      </c>
      <c r="C1163" s="31" t="str">
        <f t="shared" si="65"/>
        <v>17414</v>
      </c>
      <c r="D1163" s="31" t="s">
        <v>36</v>
      </c>
      <c r="E1163" s="34" t="str">
        <f>"3771"</f>
        <v>3771</v>
      </c>
      <c r="F1163" s="31" t="s">
        <v>913</v>
      </c>
      <c r="G1163" s="1"/>
      <c r="H1163" s="1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</row>
    <row r="1164" spans="1:22" x14ac:dyDescent="0.25">
      <c r="A1164" t="str">
        <f t="shared" si="64"/>
        <v>17801</v>
      </c>
      <c r="B1164" s="34">
        <v>121</v>
      </c>
      <c r="C1164" s="31" t="str">
        <f t="shared" si="65"/>
        <v>17414</v>
      </c>
      <c r="D1164" s="31" t="s">
        <v>36</v>
      </c>
      <c r="E1164" s="34" t="str">
        <f>"3922"</f>
        <v>3922</v>
      </c>
      <c r="F1164" s="31" t="s">
        <v>920</v>
      </c>
      <c r="G1164" s="1"/>
      <c r="H1164" s="1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</row>
    <row r="1165" spans="1:22" x14ac:dyDescent="0.25">
      <c r="A1165" t="str">
        <f t="shared" si="64"/>
        <v>17801</v>
      </c>
      <c r="B1165" s="34">
        <v>121</v>
      </c>
      <c r="C1165" s="31" t="str">
        <f t="shared" si="65"/>
        <v>17414</v>
      </c>
      <c r="D1165" s="31" t="s">
        <v>36</v>
      </c>
      <c r="E1165" s="34" t="str">
        <f>"2308"</f>
        <v>2308</v>
      </c>
      <c r="F1165" s="31" t="s">
        <v>957</v>
      </c>
      <c r="G1165" s="1"/>
      <c r="H1165" s="1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</row>
    <row r="1166" spans="1:22" x14ac:dyDescent="0.25">
      <c r="A1166" t="str">
        <f t="shared" si="64"/>
        <v>17801</v>
      </c>
      <c r="B1166" s="34">
        <v>121</v>
      </c>
      <c r="C1166" s="31" t="str">
        <f t="shared" si="65"/>
        <v>17414</v>
      </c>
      <c r="D1166" s="31" t="s">
        <v>36</v>
      </c>
      <c r="E1166" s="34" t="str">
        <f>"2739"</f>
        <v>2739</v>
      </c>
      <c r="F1166" s="31" t="s">
        <v>1000</v>
      </c>
      <c r="G1166" s="1"/>
      <c r="H1166" s="1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</row>
    <row r="1167" spans="1:22" x14ac:dyDescent="0.25">
      <c r="A1167" t="str">
        <f t="shared" si="64"/>
        <v>17801</v>
      </c>
      <c r="B1167" s="34">
        <v>121</v>
      </c>
      <c r="C1167" s="31" t="str">
        <f t="shared" si="65"/>
        <v>17414</v>
      </c>
      <c r="D1167" s="31" t="s">
        <v>36</v>
      </c>
      <c r="E1167" s="34" t="str">
        <f>"3041"</f>
        <v>3041</v>
      </c>
      <c r="F1167" s="31" t="s">
        <v>1011</v>
      </c>
      <c r="G1167" s="1"/>
      <c r="H1167" s="1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</row>
    <row r="1168" spans="1:22" x14ac:dyDescent="0.25">
      <c r="A1168" t="str">
        <f t="shared" si="64"/>
        <v>17801</v>
      </c>
      <c r="B1168" s="34">
        <v>121</v>
      </c>
      <c r="C1168" s="31" t="str">
        <f t="shared" si="65"/>
        <v>17414</v>
      </c>
      <c r="D1168" s="31" t="s">
        <v>36</v>
      </c>
      <c r="E1168" s="34" t="str">
        <f>"4336"</f>
        <v>4336</v>
      </c>
      <c r="F1168" s="31" t="s">
        <v>2094</v>
      </c>
      <c r="G1168" s="1"/>
      <c r="H1168" s="1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</row>
    <row r="1169" spans="1:22" x14ac:dyDescent="0.25">
      <c r="A1169" t="str">
        <f t="shared" si="64"/>
        <v>17801</v>
      </c>
      <c r="B1169" s="34">
        <v>121</v>
      </c>
      <c r="C1169" s="31" t="str">
        <f t="shared" si="65"/>
        <v>17414</v>
      </c>
      <c r="D1169" s="31" t="s">
        <v>36</v>
      </c>
      <c r="E1169" s="34" t="str">
        <f>"4256"</f>
        <v>4256</v>
      </c>
      <c r="F1169" s="31" t="s">
        <v>2095</v>
      </c>
      <c r="G1169" s="1"/>
      <c r="H1169" s="1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</row>
    <row r="1170" spans="1:22" x14ac:dyDescent="0.25">
      <c r="A1170" t="str">
        <f t="shared" si="64"/>
        <v>17801</v>
      </c>
      <c r="B1170" s="34">
        <v>121</v>
      </c>
      <c r="C1170" s="31" t="str">
        <f t="shared" si="65"/>
        <v>17414</v>
      </c>
      <c r="D1170" s="31" t="s">
        <v>36</v>
      </c>
      <c r="E1170" s="34" t="str">
        <f>"4096"</f>
        <v>4096</v>
      </c>
      <c r="F1170" s="31" t="s">
        <v>2096</v>
      </c>
      <c r="G1170" s="1"/>
      <c r="H1170" s="1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</row>
    <row r="1171" spans="1:22" x14ac:dyDescent="0.25">
      <c r="A1171" t="str">
        <f t="shared" si="64"/>
        <v>17801</v>
      </c>
      <c r="B1171" s="34">
        <v>121</v>
      </c>
      <c r="C1171" s="31" t="str">
        <f t="shared" si="65"/>
        <v>17414</v>
      </c>
      <c r="D1171" s="31" t="s">
        <v>36</v>
      </c>
      <c r="E1171" s="34" t="str">
        <f>"3441"</f>
        <v>3441</v>
      </c>
      <c r="F1171" s="31" t="s">
        <v>1128</v>
      </c>
      <c r="G1171" s="1"/>
      <c r="H1171" s="1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</row>
    <row r="1172" spans="1:22" x14ac:dyDescent="0.25">
      <c r="A1172" t="str">
        <f t="shared" si="64"/>
        <v>17801</v>
      </c>
      <c r="B1172" s="34">
        <v>121</v>
      </c>
      <c r="C1172" s="31" t="str">
        <f t="shared" si="65"/>
        <v>17414</v>
      </c>
      <c r="D1172" s="31" t="s">
        <v>36</v>
      </c>
      <c r="E1172" s="34" t="str">
        <f>"5265"</f>
        <v>5265</v>
      </c>
      <c r="F1172" s="31" t="s">
        <v>2097</v>
      </c>
      <c r="G1172" s="1"/>
      <c r="H1172" s="1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</row>
    <row r="1173" spans="1:22" x14ac:dyDescent="0.25">
      <c r="A1173" t="str">
        <f t="shared" si="64"/>
        <v>17801</v>
      </c>
      <c r="B1173" s="34">
        <v>121</v>
      </c>
      <c r="C1173" s="31" t="str">
        <f t="shared" si="65"/>
        <v>17414</v>
      </c>
      <c r="D1173" s="31" t="s">
        <v>36</v>
      </c>
      <c r="E1173" s="34" t="str">
        <f>"4147"</f>
        <v>4147</v>
      </c>
      <c r="F1173" s="31" t="s">
        <v>2098</v>
      </c>
      <c r="G1173" s="1"/>
      <c r="H1173" s="1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</row>
    <row r="1174" spans="1:22" x14ac:dyDescent="0.25">
      <c r="A1174" t="str">
        <f t="shared" si="64"/>
        <v>17801</v>
      </c>
      <c r="B1174" s="34">
        <v>121</v>
      </c>
      <c r="C1174" s="31" t="str">
        <f t="shared" si="65"/>
        <v>17414</v>
      </c>
      <c r="D1174" s="31" t="s">
        <v>36</v>
      </c>
      <c r="E1174" s="34" t="str">
        <f>"4167"</f>
        <v>4167</v>
      </c>
      <c r="F1174" s="31" t="s">
        <v>1327</v>
      </c>
      <c r="G1174" s="1"/>
      <c r="H1174" s="1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</row>
    <row r="1175" spans="1:22" x14ac:dyDescent="0.25">
      <c r="A1175" t="str">
        <f t="shared" si="64"/>
        <v>17801</v>
      </c>
      <c r="B1175" s="34">
        <v>121</v>
      </c>
      <c r="C1175" s="31" t="str">
        <f t="shared" si="65"/>
        <v>17414</v>
      </c>
      <c r="D1175" s="31" t="s">
        <v>36</v>
      </c>
      <c r="E1175" s="34" t="str">
        <f>"3941"</f>
        <v>3941</v>
      </c>
      <c r="F1175" s="31" t="s">
        <v>2099</v>
      </c>
      <c r="G1175" s="1"/>
      <c r="H1175" s="1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</row>
    <row r="1176" spans="1:22" x14ac:dyDescent="0.25">
      <c r="A1176" t="str">
        <f t="shared" si="64"/>
        <v>17801</v>
      </c>
      <c r="B1176" s="34">
        <v>121</v>
      </c>
      <c r="C1176" s="31" t="str">
        <f t="shared" si="65"/>
        <v>17414</v>
      </c>
      <c r="D1176" s="31" t="s">
        <v>36</v>
      </c>
      <c r="E1176" s="34" t="str">
        <f>"5139"</f>
        <v>5139</v>
      </c>
      <c r="F1176" s="31" t="s">
        <v>2273</v>
      </c>
      <c r="G1176" s="1"/>
      <c r="H1176" s="1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</row>
    <row r="1177" spans="1:22" x14ac:dyDescent="0.25">
      <c r="A1177" t="str">
        <f t="shared" si="64"/>
        <v>17801</v>
      </c>
      <c r="B1177" s="34">
        <v>121</v>
      </c>
      <c r="C1177" s="31" t="str">
        <f t="shared" si="65"/>
        <v>17414</v>
      </c>
      <c r="D1177" s="31" t="s">
        <v>36</v>
      </c>
      <c r="E1177" s="34" t="str">
        <f>"2289"</f>
        <v>2289</v>
      </c>
      <c r="F1177" s="31" t="s">
        <v>1508</v>
      </c>
      <c r="G1177" s="1"/>
      <c r="H1177" s="1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</row>
    <row r="1178" spans="1:22" x14ac:dyDescent="0.25">
      <c r="A1178" t="str">
        <f t="shared" si="64"/>
        <v>17801</v>
      </c>
      <c r="B1178" s="34">
        <v>121</v>
      </c>
      <c r="C1178" s="31" t="str">
        <f t="shared" si="65"/>
        <v>17414</v>
      </c>
      <c r="D1178" s="31" t="s">
        <v>36</v>
      </c>
      <c r="E1178" s="34" t="str">
        <f>"3528"</f>
        <v>3528</v>
      </c>
      <c r="F1178" s="31" t="s">
        <v>1509</v>
      </c>
      <c r="G1178" s="1"/>
      <c r="H1178" s="1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</row>
    <row r="1179" spans="1:22" x14ac:dyDescent="0.25">
      <c r="A1179" t="str">
        <f t="shared" si="64"/>
        <v>17801</v>
      </c>
      <c r="B1179" s="34">
        <v>121</v>
      </c>
      <c r="C1179" s="31" t="str">
        <f t="shared" si="65"/>
        <v>17414</v>
      </c>
      <c r="D1179" s="31" t="s">
        <v>36</v>
      </c>
      <c r="E1179" s="34" t="str">
        <f>"3232"</f>
        <v>3232</v>
      </c>
      <c r="F1179" s="31" t="s">
        <v>1510</v>
      </c>
      <c r="G1179" s="1"/>
      <c r="H1179" s="1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</row>
    <row r="1180" spans="1:22" x14ac:dyDescent="0.25">
      <c r="A1180" t="str">
        <f t="shared" si="64"/>
        <v>17801</v>
      </c>
      <c r="B1180" s="34">
        <v>121</v>
      </c>
      <c r="C1180" s="31" t="str">
        <f t="shared" si="65"/>
        <v>17414</v>
      </c>
      <c r="D1180" s="31" t="s">
        <v>36</v>
      </c>
      <c r="E1180" s="34" t="str">
        <f>"5057"</f>
        <v>5057</v>
      </c>
      <c r="F1180" s="31" t="s">
        <v>2100</v>
      </c>
      <c r="G1180" s="1"/>
      <c r="H1180" s="1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</row>
    <row r="1181" spans="1:22" x14ac:dyDescent="0.25">
      <c r="A1181" t="str">
        <f t="shared" si="64"/>
        <v>17801</v>
      </c>
      <c r="B1181" s="34">
        <v>121</v>
      </c>
      <c r="C1181" s="31" t="str">
        <f t="shared" si="65"/>
        <v>17414</v>
      </c>
      <c r="D1181" s="31" t="s">
        <v>36</v>
      </c>
      <c r="E1181" s="34" t="str">
        <f>"3675"</f>
        <v>3675</v>
      </c>
      <c r="F1181" s="31" t="s">
        <v>1543</v>
      </c>
      <c r="G1181" s="1"/>
      <c r="H1181" s="1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</row>
    <row r="1182" spans="1:22" x14ac:dyDescent="0.25">
      <c r="A1182" t="str">
        <f t="shared" si="64"/>
        <v>17801</v>
      </c>
      <c r="B1182" s="34">
        <v>121</v>
      </c>
      <c r="C1182" s="31" t="str">
        <f t="shared" si="65"/>
        <v>17414</v>
      </c>
      <c r="D1182" s="31" t="s">
        <v>36</v>
      </c>
      <c r="E1182" s="34" t="str">
        <f>"5053"</f>
        <v>5053</v>
      </c>
      <c r="F1182" s="31" t="s">
        <v>1559</v>
      </c>
      <c r="G1182" s="1"/>
      <c r="H1182" s="1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</row>
    <row r="1183" spans="1:22" x14ac:dyDescent="0.25">
      <c r="A1183" t="str">
        <f t="shared" si="64"/>
        <v>17801</v>
      </c>
      <c r="B1183" s="34">
        <v>121</v>
      </c>
      <c r="C1183" s="31" t="str">
        <f t="shared" si="65"/>
        <v>17414</v>
      </c>
      <c r="D1183" s="31" t="s">
        <v>36</v>
      </c>
      <c r="E1183" s="34" t="str">
        <f>"2992"</f>
        <v>2992</v>
      </c>
      <c r="F1183" s="31" t="s">
        <v>1562</v>
      </c>
      <c r="G1183" s="1"/>
      <c r="H1183" s="1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</row>
    <row r="1184" spans="1:22" x14ac:dyDescent="0.25">
      <c r="A1184" t="str">
        <f t="shared" si="64"/>
        <v>17801</v>
      </c>
      <c r="B1184" s="34">
        <v>121</v>
      </c>
      <c r="C1184" s="31" t="str">
        <f t="shared" si="65"/>
        <v>17414</v>
      </c>
      <c r="D1184" s="31" t="s">
        <v>36</v>
      </c>
      <c r="E1184" s="34" t="str">
        <f>"3706"</f>
        <v>3706</v>
      </c>
      <c r="F1184" s="31" t="s">
        <v>1563</v>
      </c>
      <c r="G1184" s="1"/>
      <c r="H1184" s="1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</row>
    <row r="1185" spans="1:22" x14ac:dyDescent="0.25">
      <c r="A1185" t="str">
        <f t="shared" si="64"/>
        <v>17801</v>
      </c>
      <c r="B1185" s="34">
        <v>121</v>
      </c>
      <c r="C1185" s="31" t="str">
        <f t="shared" si="65"/>
        <v>17414</v>
      </c>
      <c r="D1185" s="31" t="s">
        <v>36</v>
      </c>
      <c r="E1185" s="34" t="str">
        <f>"4302"</f>
        <v>4302</v>
      </c>
      <c r="F1185" s="31" t="s">
        <v>2101</v>
      </c>
      <c r="G1185" s="1"/>
      <c r="H1185" s="1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</row>
    <row r="1186" spans="1:22" x14ac:dyDescent="0.25">
      <c r="A1186" t="str">
        <f t="shared" si="64"/>
        <v>17801</v>
      </c>
      <c r="B1186" s="34">
        <v>121</v>
      </c>
      <c r="C1186" s="31" t="str">
        <f t="shared" si="65"/>
        <v>17414</v>
      </c>
      <c r="D1186" s="31" t="s">
        <v>36</v>
      </c>
      <c r="E1186" s="34" t="str">
        <f>"1975"</f>
        <v>1975</v>
      </c>
      <c r="F1186" s="31" t="s">
        <v>1728</v>
      </c>
      <c r="G1186" s="1"/>
      <c r="H1186" s="1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</row>
    <row r="1187" spans="1:22" x14ac:dyDescent="0.25">
      <c r="A1187" t="str">
        <f t="shared" si="64"/>
        <v>17801</v>
      </c>
      <c r="B1187" s="34">
        <v>121</v>
      </c>
      <c r="C1187" s="31" t="str">
        <f t="shared" si="65"/>
        <v>17414</v>
      </c>
      <c r="D1187" s="31" t="s">
        <v>36</v>
      </c>
      <c r="E1187" s="33" t="str">
        <f>"5597"</f>
        <v>5597</v>
      </c>
      <c r="F1187" t="s">
        <v>2274</v>
      </c>
      <c r="G1187" s="1"/>
      <c r="H1187" s="1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</row>
    <row r="1188" spans="1:22" x14ac:dyDescent="0.25">
      <c r="A1188" t="str">
        <f t="shared" si="64"/>
        <v>17801</v>
      </c>
      <c r="B1188" s="34">
        <v>121</v>
      </c>
      <c r="C1188" s="31" t="str">
        <f t="shared" si="65"/>
        <v>17414</v>
      </c>
      <c r="D1188" s="31" t="s">
        <v>36</v>
      </c>
      <c r="E1188" s="34" t="str">
        <f>"5958"</f>
        <v>5958</v>
      </c>
      <c r="F1188" s="44" t="s">
        <v>1894</v>
      </c>
      <c r="G1188" s="1"/>
      <c r="H1188" s="1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</row>
    <row r="1189" spans="1:22" x14ac:dyDescent="0.25">
      <c r="A1189" t="str">
        <f t="shared" si="64"/>
        <v>17801</v>
      </c>
      <c r="B1189" s="33">
        <v>121</v>
      </c>
      <c r="C1189" s="35">
        <v>17400</v>
      </c>
      <c r="D1189" t="s">
        <v>877</v>
      </c>
      <c r="E1189" s="36">
        <v>3162</v>
      </c>
      <c r="F1189" t="s">
        <v>878</v>
      </c>
      <c r="G1189" s="1"/>
      <c r="H1189" s="1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</row>
    <row r="1190" spans="1:22" x14ac:dyDescent="0.25">
      <c r="A1190" t="str">
        <f t="shared" si="64"/>
        <v>17801</v>
      </c>
      <c r="B1190" s="33">
        <v>121</v>
      </c>
      <c r="C1190" s="35">
        <v>17400</v>
      </c>
      <c r="D1190" t="s">
        <v>877</v>
      </c>
      <c r="E1190" s="36">
        <v>3219</v>
      </c>
      <c r="F1190" t="s">
        <v>880</v>
      </c>
      <c r="G1190" s="1"/>
      <c r="H1190" s="1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</row>
    <row r="1191" spans="1:22" x14ac:dyDescent="0.25">
      <c r="A1191" t="str">
        <f t="shared" si="64"/>
        <v>17801</v>
      </c>
      <c r="B1191" s="33">
        <v>121</v>
      </c>
      <c r="C1191" s="35">
        <v>17400</v>
      </c>
      <c r="D1191" t="s">
        <v>877</v>
      </c>
      <c r="E1191" s="36">
        <v>2981</v>
      </c>
      <c r="F1191" t="s">
        <v>1005</v>
      </c>
      <c r="G1191" s="1"/>
      <c r="H1191" s="1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</row>
    <row r="1192" spans="1:22" x14ac:dyDescent="0.25">
      <c r="A1192" t="str">
        <f t="shared" si="64"/>
        <v>17801</v>
      </c>
      <c r="B1192" s="33">
        <v>121</v>
      </c>
      <c r="C1192" s="35">
        <v>17400</v>
      </c>
      <c r="D1192" t="s">
        <v>877</v>
      </c>
      <c r="E1192" s="36">
        <v>3029</v>
      </c>
      <c r="F1192" t="s">
        <v>1184</v>
      </c>
      <c r="G1192" s="1"/>
      <c r="H1192" s="1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</row>
    <row r="1193" spans="1:22" x14ac:dyDescent="0.25">
      <c r="A1193" t="str">
        <f t="shared" si="64"/>
        <v>17801</v>
      </c>
      <c r="B1193" s="33">
        <v>121</v>
      </c>
      <c r="C1193" s="35">
        <v>17400</v>
      </c>
      <c r="D1193" t="s">
        <v>877</v>
      </c>
      <c r="E1193" s="36">
        <v>5447</v>
      </c>
      <c r="F1193" t="s">
        <v>1330</v>
      </c>
      <c r="G1193" s="1"/>
      <c r="H1193" s="1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</row>
    <row r="1194" spans="1:22" x14ac:dyDescent="0.25">
      <c r="A1194" t="str">
        <f t="shared" si="64"/>
        <v>17801</v>
      </c>
      <c r="B1194" s="33">
        <v>121</v>
      </c>
      <c r="C1194" s="35">
        <v>17400</v>
      </c>
      <c r="D1194" t="s">
        <v>877</v>
      </c>
      <c r="E1194" s="36">
        <v>3433</v>
      </c>
      <c r="F1194" t="s">
        <v>1908</v>
      </c>
      <c r="G1194" s="1"/>
      <c r="H1194" s="1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</row>
    <row r="1195" spans="1:22" x14ac:dyDescent="0.25">
      <c r="A1195" t="str">
        <f>"34950"</f>
        <v>34950</v>
      </c>
      <c r="B1195" s="33">
        <v>121</v>
      </c>
      <c r="C1195" t="str">
        <f>"17903"</f>
        <v>17903</v>
      </c>
      <c r="D1195" t="s">
        <v>2275</v>
      </c>
      <c r="E1195" s="33" t="str">
        <f>"1986"</f>
        <v>1986</v>
      </c>
      <c r="F1195" t="s">
        <v>2276</v>
      </c>
      <c r="G1195" s="1"/>
      <c r="H1195" s="1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</row>
    <row r="1196" spans="1:22" x14ac:dyDescent="0.25">
      <c r="A1196" t="str">
        <f t="shared" ref="A1196:A1259" si="66">"17801"</f>
        <v>17801</v>
      </c>
      <c r="B1196" s="67">
        <v>121</v>
      </c>
      <c r="C1196" s="68">
        <v>17417</v>
      </c>
      <c r="D1196" s="68" t="s">
        <v>79</v>
      </c>
      <c r="E1196" s="67">
        <v>3107</v>
      </c>
      <c r="F1196" s="68" t="s">
        <v>80</v>
      </c>
      <c r="G1196" s="1"/>
      <c r="H1196" s="1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</row>
    <row r="1197" spans="1:22" x14ac:dyDescent="0.25">
      <c r="A1197" t="str">
        <f t="shared" si="66"/>
        <v>17801</v>
      </c>
      <c r="B1197" s="67">
        <v>121</v>
      </c>
      <c r="C1197" s="68">
        <v>17417</v>
      </c>
      <c r="D1197" s="68" t="s">
        <v>79</v>
      </c>
      <c r="E1197" s="67">
        <v>4305</v>
      </c>
      <c r="F1197" s="68" t="s">
        <v>128</v>
      </c>
      <c r="G1197" s="1"/>
      <c r="H1197" s="1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</row>
    <row r="1198" spans="1:22" x14ac:dyDescent="0.25">
      <c r="A1198" t="str">
        <f t="shared" si="66"/>
        <v>17801</v>
      </c>
      <c r="B1198" s="67">
        <v>121</v>
      </c>
      <c r="C1198" s="68">
        <v>17417</v>
      </c>
      <c r="D1198" s="68" t="s">
        <v>79</v>
      </c>
      <c r="E1198" s="67">
        <v>3106</v>
      </c>
      <c r="F1198" s="68" t="s">
        <v>179</v>
      </c>
      <c r="G1198" s="1"/>
      <c r="H1198" s="1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</row>
    <row r="1199" spans="1:22" x14ac:dyDescent="0.25">
      <c r="A1199" t="str">
        <f t="shared" si="66"/>
        <v>17801</v>
      </c>
      <c r="B1199" s="67">
        <v>121</v>
      </c>
      <c r="C1199" s="68">
        <v>17417</v>
      </c>
      <c r="D1199" s="68" t="s">
        <v>79</v>
      </c>
      <c r="E1199" s="67">
        <v>2493</v>
      </c>
      <c r="F1199" s="68" t="s">
        <v>225</v>
      </c>
      <c r="G1199" s="1"/>
      <c r="H1199" s="1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</row>
    <row r="1200" spans="1:22" x14ac:dyDescent="0.25">
      <c r="A1200" t="str">
        <f t="shared" si="66"/>
        <v>17801</v>
      </c>
      <c r="B1200" s="67">
        <v>121</v>
      </c>
      <c r="C1200" s="68">
        <v>17417</v>
      </c>
      <c r="D1200" s="68" t="s">
        <v>79</v>
      </c>
      <c r="E1200" s="67">
        <v>4017</v>
      </c>
      <c r="F1200" s="68" t="s">
        <v>233</v>
      </c>
      <c r="G1200" s="1"/>
      <c r="H1200" s="1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</row>
    <row r="1201" spans="1:22" x14ac:dyDescent="0.25">
      <c r="A1201" t="str">
        <f t="shared" si="66"/>
        <v>17801</v>
      </c>
      <c r="B1201" s="67">
        <v>121</v>
      </c>
      <c r="C1201" s="68">
        <v>17417</v>
      </c>
      <c r="D1201" s="68" t="s">
        <v>79</v>
      </c>
      <c r="E1201" s="67">
        <v>3493</v>
      </c>
      <c r="F1201" s="68" t="s">
        <v>236</v>
      </c>
      <c r="G1201" s="1"/>
      <c r="H1201" s="1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</row>
    <row r="1202" spans="1:22" x14ac:dyDescent="0.25">
      <c r="A1202" t="str">
        <f t="shared" si="66"/>
        <v>17801</v>
      </c>
      <c r="B1202" s="67">
        <v>121</v>
      </c>
      <c r="C1202" s="68">
        <v>17417</v>
      </c>
      <c r="D1202" s="68" t="s">
        <v>79</v>
      </c>
      <c r="E1202" s="67">
        <v>3234</v>
      </c>
      <c r="F1202" s="68" t="s">
        <v>427</v>
      </c>
      <c r="G1202" s="1"/>
      <c r="H1202" s="1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</row>
    <row r="1203" spans="1:22" x14ac:dyDescent="0.25">
      <c r="A1203" t="str">
        <f t="shared" si="66"/>
        <v>17801</v>
      </c>
      <c r="B1203" s="67">
        <v>121</v>
      </c>
      <c r="C1203" s="68">
        <v>17417</v>
      </c>
      <c r="D1203" s="68" t="s">
        <v>79</v>
      </c>
      <c r="E1203" s="67">
        <v>3105</v>
      </c>
      <c r="F1203" s="68" t="s">
        <v>457</v>
      </c>
      <c r="G1203" s="1"/>
      <c r="H1203" s="1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</row>
    <row r="1204" spans="1:22" x14ac:dyDescent="0.25">
      <c r="A1204" t="str">
        <f t="shared" si="66"/>
        <v>17801</v>
      </c>
      <c r="B1204" s="67">
        <v>121</v>
      </c>
      <c r="C1204" s="68">
        <v>17417</v>
      </c>
      <c r="D1204" s="68" t="s">
        <v>79</v>
      </c>
      <c r="E1204" s="67">
        <v>4379</v>
      </c>
      <c r="F1204" s="68" t="s">
        <v>532</v>
      </c>
      <c r="G1204" s="1"/>
      <c r="H1204" s="1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</row>
    <row r="1205" spans="1:22" x14ac:dyDescent="0.25">
      <c r="A1205" t="str">
        <f t="shared" si="66"/>
        <v>17801</v>
      </c>
      <c r="B1205" s="67">
        <v>121</v>
      </c>
      <c r="C1205" s="68">
        <v>17417</v>
      </c>
      <c r="D1205" s="68" t="s">
        <v>79</v>
      </c>
      <c r="E1205" s="67">
        <v>4306</v>
      </c>
      <c r="F1205" s="68" t="s">
        <v>625</v>
      </c>
      <c r="G1205" s="1"/>
      <c r="H1205" s="1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</row>
    <row r="1206" spans="1:22" x14ac:dyDescent="0.25">
      <c r="A1206" t="str">
        <f t="shared" si="66"/>
        <v>17801</v>
      </c>
      <c r="B1206" s="67">
        <v>121</v>
      </c>
      <c r="C1206" s="68">
        <v>17417</v>
      </c>
      <c r="D1206" s="68" t="s">
        <v>79</v>
      </c>
      <c r="E1206" s="67">
        <v>4355</v>
      </c>
      <c r="F1206" s="68" t="s">
        <v>657</v>
      </c>
      <c r="G1206" s="1"/>
      <c r="H1206" s="1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</row>
    <row r="1207" spans="1:22" x14ac:dyDescent="0.25">
      <c r="A1207" t="str">
        <f t="shared" si="66"/>
        <v>17801</v>
      </c>
      <c r="B1207" s="67">
        <v>121</v>
      </c>
      <c r="C1207" s="68">
        <v>17417</v>
      </c>
      <c r="D1207" s="68" t="s">
        <v>79</v>
      </c>
      <c r="E1207" s="67">
        <v>4124</v>
      </c>
      <c r="F1207" s="68" t="s">
        <v>831</v>
      </c>
      <c r="G1207" s="1"/>
      <c r="H1207" s="1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</row>
    <row r="1208" spans="1:22" x14ac:dyDescent="0.25">
      <c r="A1208" t="str">
        <f t="shared" si="66"/>
        <v>17801</v>
      </c>
      <c r="B1208" s="67">
        <v>121</v>
      </c>
      <c r="C1208" s="68">
        <v>17417</v>
      </c>
      <c r="D1208" s="68" t="s">
        <v>79</v>
      </c>
      <c r="E1208" s="67">
        <v>3492</v>
      </c>
      <c r="F1208" s="68" t="s">
        <v>867</v>
      </c>
      <c r="G1208" s="1"/>
      <c r="H1208" s="1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</row>
    <row r="1209" spans="1:22" x14ac:dyDescent="0.25">
      <c r="A1209" t="str">
        <f t="shared" si="66"/>
        <v>17801</v>
      </c>
      <c r="B1209" s="67">
        <v>121</v>
      </c>
      <c r="C1209" s="68">
        <v>17417</v>
      </c>
      <c r="D1209" s="68" t="s">
        <v>79</v>
      </c>
      <c r="E1209" s="67">
        <v>2993</v>
      </c>
      <c r="F1209" s="68" t="s">
        <v>929</v>
      </c>
      <c r="G1209" s="1"/>
      <c r="H1209" s="1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</row>
    <row r="1210" spans="1:22" x14ac:dyDescent="0.25">
      <c r="A1210" t="str">
        <f t="shared" si="66"/>
        <v>17801</v>
      </c>
      <c r="B1210" s="67">
        <v>121</v>
      </c>
      <c r="C1210" s="68">
        <v>17417</v>
      </c>
      <c r="D1210" s="68" t="s">
        <v>79</v>
      </c>
      <c r="E1210" s="67">
        <v>3345</v>
      </c>
      <c r="F1210" s="68" t="s">
        <v>930</v>
      </c>
      <c r="G1210" s="1"/>
      <c r="H1210" s="1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</row>
    <row r="1211" spans="1:22" x14ac:dyDescent="0.25">
      <c r="A1211" t="str">
        <f t="shared" si="66"/>
        <v>17801</v>
      </c>
      <c r="B1211" s="67">
        <v>121</v>
      </c>
      <c r="C1211" s="68">
        <v>17417</v>
      </c>
      <c r="D1211" s="68" t="s">
        <v>79</v>
      </c>
      <c r="E1211" s="67">
        <v>4455</v>
      </c>
      <c r="F1211" s="68" t="s">
        <v>965</v>
      </c>
      <c r="G1211" s="1"/>
      <c r="H1211" s="1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</row>
    <row r="1212" spans="1:22" x14ac:dyDescent="0.25">
      <c r="A1212" t="str">
        <f t="shared" si="66"/>
        <v>17801</v>
      </c>
      <c r="B1212" s="67">
        <v>121</v>
      </c>
      <c r="C1212" s="68">
        <v>17417</v>
      </c>
      <c r="D1212" s="68" t="s">
        <v>79</v>
      </c>
      <c r="E1212" s="67">
        <v>3790</v>
      </c>
      <c r="F1212" s="68" t="s">
        <v>1030</v>
      </c>
      <c r="G1212" s="1"/>
      <c r="H1212" s="1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</row>
    <row r="1213" spans="1:22" x14ac:dyDescent="0.25">
      <c r="A1213" t="str">
        <f t="shared" si="66"/>
        <v>17801</v>
      </c>
      <c r="B1213" s="67">
        <v>121</v>
      </c>
      <c r="C1213" s="68">
        <v>17417</v>
      </c>
      <c r="D1213" s="68" t="s">
        <v>79</v>
      </c>
      <c r="E1213" s="67">
        <v>3390</v>
      </c>
      <c r="F1213" s="68" t="s">
        <v>1072</v>
      </c>
      <c r="G1213" s="1"/>
      <c r="H1213" s="1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</row>
    <row r="1214" spans="1:22" x14ac:dyDescent="0.25">
      <c r="A1214" t="str">
        <f t="shared" si="66"/>
        <v>17801</v>
      </c>
      <c r="B1214" s="67">
        <v>121</v>
      </c>
      <c r="C1214" s="68">
        <v>17417</v>
      </c>
      <c r="D1214" s="68" t="s">
        <v>79</v>
      </c>
      <c r="E1214" s="67">
        <v>3344</v>
      </c>
      <c r="F1214" s="68" t="s">
        <v>1148</v>
      </c>
      <c r="G1214" s="1"/>
      <c r="H1214" s="1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</row>
    <row r="1215" spans="1:22" x14ac:dyDescent="0.25">
      <c r="A1215" t="str">
        <f t="shared" si="66"/>
        <v>17801</v>
      </c>
      <c r="B1215" s="67">
        <v>121</v>
      </c>
      <c r="C1215" s="68">
        <v>17417</v>
      </c>
      <c r="D1215" s="68" t="s">
        <v>79</v>
      </c>
      <c r="E1215" s="67">
        <v>3442</v>
      </c>
      <c r="F1215" s="68" t="s">
        <v>1221</v>
      </c>
      <c r="G1215" s="1"/>
      <c r="H1215" s="1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</row>
    <row r="1216" spans="1:22" x14ac:dyDescent="0.25">
      <c r="A1216" t="str">
        <f t="shared" si="66"/>
        <v>17801</v>
      </c>
      <c r="B1216" s="67">
        <v>121</v>
      </c>
      <c r="C1216" s="68">
        <v>17417</v>
      </c>
      <c r="D1216" s="68" t="s">
        <v>79</v>
      </c>
      <c r="E1216" s="67">
        <v>5481</v>
      </c>
      <c r="F1216" s="68" t="s">
        <v>1306</v>
      </c>
      <c r="G1216" s="1"/>
      <c r="H1216" s="1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</row>
    <row r="1217" spans="1:22" x14ac:dyDescent="0.25">
      <c r="A1217" t="str">
        <f t="shared" si="66"/>
        <v>17801</v>
      </c>
      <c r="B1217" s="67">
        <v>121</v>
      </c>
      <c r="C1217" s="68">
        <v>17417</v>
      </c>
      <c r="D1217" s="68" t="s">
        <v>79</v>
      </c>
      <c r="E1217" s="67">
        <v>4021</v>
      </c>
      <c r="F1217" s="68" t="s">
        <v>1325</v>
      </c>
      <c r="G1217" s="1"/>
      <c r="H1217" s="1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</row>
    <row r="1218" spans="1:22" x14ac:dyDescent="0.25">
      <c r="A1218" t="str">
        <f t="shared" si="66"/>
        <v>17801</v>
      </c>
      <c r="B1218" s="67">
        <v>121</v>
      </c>
      <c r="C1218" s="68">
        <v>17417</v>
      </c>
      <c r="D1218" s="68" t="s">
        <v>79</v>
      </c>
      <c r="E1218" s="67">
        <v>1814</v>
      </c>
      <c r="F1218" s="68" t="s">
        <v>1326</v>
      </c>
      <c r="G1218" s="1"/>
      <c r="H1218" s="1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</row>
    <row r="1219" spans="1:22" x14ac:dyDescent="0.25">
      <c r="A1219" t="str">
        <f t="shared" si="66"/>
        <v>17801</v>
      </c>
      <c r="B1219" s="33">
        <v>121</v>
      </c>
      <c r="C1219" t="str">
        <f>"17417"</f>
        <v>17417</v>
      </c>
      <c r="D1219" t="s">
        <v>79</v>
      </c>
      <c r="E1219" s="33" t="str">
        <f>"5605"</f>
        <v>5605</v>
      </c>
      <c r="F1219" t="s">
        <v>2277</v>
      </c>
      <c r="G1219" s="1"/>
      <c r="H1219" s="1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</row>
    <row r="1220" spans="1:22" x14ac:dyDescent="0.25">
      <c r="A1220" t="str">
        <f t="shared" si="66"/>
        <v>17801</v>
      </c>
      <c r="B1220" s="67">
        <v>121</v>
      </c>
      <c r="C1220" s="68">
        <v>17417</v>
      </c>
      <c r="D1220" s="68" t="s">
        <v>79</v>
      </c>
      <c r="E1220" s="67">
        <v>3811</v>
      </c>
      <c r="F1220" s="68" t="s">
        <v>1609</v>
      </c>
      <c r="G1220" s="1"/>
      <c r="H1220" s="1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</row>
    <row r="1221" spans="1:22" x14ac:dyDescent="0.25">
      <c r="A1221" t="str">
        <f t="shared" si="66"/>
        <v>17801</v>
      </c>
      <c r="B1221" s="67">
        <v>121</v>
      </c>
      <c r="C1221" s="68">
        <v>17417</v>
      </c>
      <c r="D1221" s="68" t="s">
        <v>79</v>
      </c>
      <c r="E1221" s="67">
        <v>3679</v>
      </c>
      <c r="F1221" s="68" t="s">
        <v>1634</v>
      </c>
      <c r="G1221" s="1"/>
      <c r="H1221" s="1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</row>
    <row r="1222" spans="1:22" x14ac:dyDescent="0.25">
      <c r="A1222" t="str">
        <f t="shared" si="66"/>
        <v>17801</v>
      </c>
      <c r="B1222" s="67">
        <v>121</v>
      </c>
      <c r="C1222" s="68">
        <v>17417</v>
      </c>
      <c r="D1222" s="68" t="s">
        <v>79</v>
      </c>
      <c r="E1222" s="67">
        <v>4371</v>
      </c>
      <c r="F1222" s="68" t="s">
        <v>1672</v>
      </c>
      <c r="G1222" s="1"/>
      <c r="H1222" s="1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</row>
    <row r="1223" spans="1:22" x14ac:dyDescent="0.25">
      <c r="A1223" t="str">
        <f t="shared" si="66"/>
        <v>17801</v>
      </c>
      <c r="B1223" s="67">
        <v>121</v>
      </c>
      <c r="C1223" s="68">
        <v>17417</v>
      </c>
      <c r="D1223" s="68" t="s">
        <v>79</v>
      </c>
      <c r="E1223" s="67">
        <v>4187</v>
      </c>
      <c r="F1223" s="68" t="s">
        <v>1756</v>
      </c>
      <c r="G1223" s="1"/>
      <c r="H1223" s="1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</row>
    <row r="1224" spans="1:22" x14ac:dyDescent="0.25">
      <c r="A1224" t="str">
        <f t="shared" si="66"/>
        <v>17801</v>
      </c>
      <c r="B1224" s="67">
        <v>121</v>
      </c>
      <c r="C1224" s="68">
        <v>17417</v>
      </c>
      <c r="D1224" s="68" t="s">
        <v>79</v>
      </c>
      <c r="E1224" s="67">
        <v>4516</v>
      </c>
      <c r="F1224" s="68" t="s">
        <v>1801</v>
      </c>
      <c r="G1224" s="1"/>
      <c r="H1224" s="1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</row>
    <row r="1225" spans="1:22" x14ac:dyDescent="0.25">
      <c r="A1225" t="str">
        <f t="shared" si="66"/>
        <v>17801</v>
      </c>
      <c r="B1225" s="67">
        <v>121</v>
      </c>
      <c r="C1225" s="68">
        <v>17417</v>
      </c>
      <c r="D1225" s="68" t="s">
        <v>79</v>
      </c>
      <c r="E1225" s="67">
        <v>4069</v>
      </c>
      <c r="F1225" s="68" t="s">
        <v>1899</v>
      </c>
      <c r="G1225" s="1"/>
      <c r="H1225" s="1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</row>
    <row r="1226" spans="1:22" x14ac:dyDescent="0.25">
      <c r="A1226" t="str">
        <f t="shared" si="66"/>
        <v>17801</v>
      </c>
      <c r="B1226" s="67">
        <v>121</v>
      </c>
      <c r="C1226" s="68">
        <v>17417</v>
      </c>
      <c r="D1226" s="68" t="s">
        <v>79</v>
      </c>
      <c r="E1226" s="67">
        <v>3287</v>
      </c>
      <c r="F1226" s="68" t="s">
        <v>1919</v>
      </c>
      <c r="G1226" s="1"/>
      <c r="H1226" s="1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</row>
    <row r="1227" spans="1:22" x14ac:dyDescent="0.25">
      <c r="A1227" t="str">
        <f t="shared" si="66"/>
        <v>17801</v>
      </c>
      <c r="B1227" s="67">
        <v>121</v>
      </c>
      <c r="C1227" s="68">
        <v>17417</v>
      </c>
      <c r="D1227" s="68" t="s">
        <v>79</v>
      </c>
      <c r="E1227" s="67">
        <v>3749</v>
      </c>
      <c r="F1227" s="68" t="s">
        <v>1966</v>
      </c>
      <c r="G1227" s="1"/>
      <c r="H1227" s="1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</row>
    <row r="1228" spans="1:22" x14ac:dyDescent="0.25">
      <c r="A1228" t="str">
        <f t="shared" si="66"/>
        <v>17801</v>
      </c>
      <c r="B1228" s="67">
        <v>121</v>
      </c>
      <c r="C1228" s="68">
        <v>17417</v>
      </c>
      <c r="D1228" s="68" t="s">
        <v>79</v>
      </c>
      <c r="E1228" s="67">
        <v>4208</v>
      </c>
      <c r="F1228" s="68" t="s">
        <v>1967</v>
      </c>
      <c r="G1228" s="1"/>
      <c r="H1228" s="1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</row>
    <row r="1229" spans="1:22" x14ac:dyDescent="0.25">
      <c r="A1229" t="str">
        <f t="shared" si="66"/>
        <v>17801</v>
      </c>
      <c r="B1229" s="67">
        <v>121</v>
      </c>
      <c r="C1229" s="68">
        <v>17417</v>
      </c>
      <c r="D1229" s="68" t="s">
        <v>79</v>
      </c>
      <c r="E1229" s="67">
        <v>4377</v>
      </c>
      <c r="F1229" s="68" t="s">
        <v>1973</v>
      </c>
      <c r="G1229" s="1"/>
      <c r="H1229" s="1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</row>
    <row r="1230" spans="1:22" x14ac:dyDescent="0.25">
      <c r="A1230" t="str">
        <f t="shared" si="66"/>
        <v>17801</v>
      </c>
      <c r="B1230" s="33">
        <v>121</v>
      </c>
      <c r="C1230" t="str">
        <f>"27344"</f>
        <v>27344</v>
      </c>
      <c r="D1230" t="s">
        <v>1393</v>
      </c>
      <c r="E1230" s="33" t="str">
        <f>"2942"</f>
        <v>2942</v>
      </c>
      <c r="F1230" t="s">
        <v>1394</v>
      </c>
      <c r="G1230" s="1"/>
      <c r="H1230" s="1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</row>
    <row r="1231" spans="1:22" x14ac:dyDescent="0.25">
      <c r="A1231" t="str">
        <f t="shared" si="66"/>
        <v>17801</v>
      </c>
      <c r="B1231" s="33">
        <v>121</v>
      </c>
      <c r="C1231" t="str">
        <f>"27344"</f>
        <v>27344</v>
      </c>
      <c r="D1231" t="s">
        <v>1393</v>
      </c>
      <c r="E1231" s="33" t="str">
        <f>"4262"</f>
        <v>4262</v>
      </c>
      <c r="F1231" t="s">
        <v>1395</v>
      </c>
      <c r="G1231" s="1"/>
      <c r="H1231" s="1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</row>
    <row r="1232" spans="1:22" x14ac:dyDescent="0.25">
      <c r="A1232" t="str">
        <f t="shared" si="66"/>
        <v>17801</v>
      </c>
      <c r="B1232" s="33">
        <v>121</v>
      </c>
      <c r="C1232" t="str">
        <f>"27344"</f>
        <v>27344</v>
      </c>
      <c r="D1232" t="s">
        <v>1393</v>
      </c>
      <c r="E1232" s="33" t="str">
        <f>"2360"</f>
        <v>2360</v>
      </c>
      <c r="F1232" t="s">
        <v>1396</v>
      </c>
      <c r="G1232" s="1"/>
      <c r="H1232" s="1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</row>
    <row r="1233" spans="1:22" x14ac:dyDescent="0.25">
      <c r="A1233" t="str">
        <f t="shared" si="66"/>
        <v>17801</v>
      </c>
      <c r="B1233" s="33">
        <v>121</v>
      </c>
      <c r="C1233" t="str">
        <f>"27344"</f>
        <v>27344</v>
      </c>
      <c r="D1233" t="s">
        <v>1393</v>
      </c>
      <c r="E1233" s="33" t="str">
        <f>"4547"</f>
        <v>4547</v>
      </c>
      <c r="F1233" t="s">
        <v>1481</v>
      </c>
      <c r="G1233" s="1"/>
      <c r="H1233" s="1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</row>
    <row r="1234" spans="1:22" x14ac:dyDescent="0.25">
      <c r="A1234" t="str">
        <f t="shared" si="66"/>
        <v>17801</v>
      </c>
      <c r="B1234" s="33">
        <v>121</v>
      </c>
      <c r="C1234" s="31" t="str">
        <f t="shared" ref="C1234:C1249" si="67">"27401"</f>
        <v>27401</v>
      </c>
      <c r="D1234" t="s">
        <v>82</v>
      </c>
      <c r="E1234" s="33" t="str">
        <f>"3299"</f>
        <v>3299</v>
      </c>
      <c r="F1234" t="s">
        <v>83</v>
      </c>
      <c r="G1234" s="1"/>
      <c r="H1234" s="1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</row>
    <row r="1235" spans="1:22" x14ac:dyDescent="0.25">
      <c r="A1235" t="str">
        <f t="shared" si="66"/>
        <v>17801</v>
      </c>
      <c r="B1235" s="33">
        <v>121</v>
      </c>
      <c r="C1235" s="31" t="str">
        <f t="shared" si="67"/>
        <v>27401</v>
      </c>
      <c r="D1235" t="s">
        <v>82</v>
      </c>
      <c r="E1235" s="33" t="str">
        <f>"4080"</f>
        <v>4080</v>
      </c>
      <c r="F1235" t="s">
        <v>504</v>
      </c>
      <c r="G1235" s="1"/>
      <c r="H1235" s="1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</row>
    <row r="1236" spans="1:22" x14ac:dyDescent="0.25">
      <c r="A1236" t="str">
        <f t="shared" si="66"/>
        <v>17801</v>
      </c>
      <c r="B1236" s="33">
        <v>121</v>
      </c>
      <c r="C1236" t="str">
        <f t="shared" si="67"/>
        <v>27401</v>
      </c>
      <c r="D1236" t="s">
        <v>82</v>
      </c>
      <c r="E1236" s="33" t="str">
        <f>"3055"</f>
        <v>3055</v>
      </c>
      <c r="F1236" t="s">
        <v>599</v>
      </c>
      <c r="G1236" s="1"/>
      <c r="H1236" s="1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</row>
    <row r="1237" spans="1:22" x14ac:dyDescent="0.25">
      <c r="A1237" t="str">
        <f t="shared" si="66"/>
        <v>17801</v>
      </c>
      <c r="B1237" s="33">
        <v>121</v>
      </c>
      <c r="C1237" t="str">
        <f t="shared" si="67"/>
        <v>27401</v>
      </c>
      <c r="D1237" t="s">
        <v>82</v>
      </c>
      <c r="E1237" s="33" t="str">
        <f>"4081"</f>
        <v>4081</v>
      </c>
      <c r="F1237" t="s">
        <v>705</v>
      </c>
      <c r="G1237" s="1"/>
      <c r="H1237" s="1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</row>
    <row r="1238" spans="1:22" x14ac:dyDescent="0.25">
      <c r="A1238" t="str">
        <f t="shared" si="66"/>
        <v>17801</v>
      </c>
      <c r="B1238" s="33">
        <v>121</v>
      </c>
      <c r="C1238" t="str">
        <f t="shared" si="67"/>
        <v>27401</v>
      </c>
      <c r="D1238" t="s">
        <v>82</v>
      </c>
      <c r="E1238" s="33" t="str">
        <f>"2294"</f>
        <v>2294</v>
      </c>
      <c r="F1238" t="s">
        <v>722</v>
      </c>
      <c r="G1238" s="1"/>
      <c r="H1238" s="1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</row>
    <row r="1239" spans="1:22" x14ac:dyDescent="0.25">
      <c r="A1239" t="str">
        <f t="shared" si="66"/>
        <v>17801</v>
      </c>
      <c r="B1239" s="33">
        <v>121</v>
      </c>
      <c r="C1239" t="str">
        <f t="shared" si="67"/>
        <v>27401</v>
      </c>
      <c r="D1239" t="s">
        <v>82</v>
      </c>
      <c r="E1239" s="33" t="str">
        <f>"2944"</f>
        <v>2944</v>
      </c>
      <c r="F1239" t="s">
        <v>769</v>
      </c>
      <c r="G1239" s="1"/>
      <c r="H1239" s="1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</row>
    <row r="1240" spans="1:22" x14ac:dyDescent="0.25">
      <c r="A1240" t="str">
        <f t="shared" si="66"/>
        <v>17801</v>
      </c>
      <c r="B1240" s="33">
        <v>121</v>
      </c>
      <c r="C1240" t="str">
        <f t="shared" si="67"/>
        <v>27401</v>
      </c>
      <c r="D1240" t="s">
        <v>82</v>
      </c>
      <c r="E1240" s="33" t="str">
        <f>"4387"</f>
        <v>4387</v>
      </c>
      <c r="F1240" t="s">
        <v>771</v>
      </c>
      <c r="G1240" s="1"/>
      <c r="H1240" s="1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</row>
    <row r="1241" spans="1:22" x14ac:dyDescent="0.25">
      <c r="A1241" t="str">
        <f t="shared" si="66"/>
        <v>17801</v>
      </c>
      <c r="B1241" s="33">
        <v>121</v>
      </c>
      <c r="C1241" t="str">
        <f t="shared" si="67"/>
        <v>27401</v>
      </c>
      <c r="D1241" t="s">
        <v>82</v>
      </c>
      <c r="E1241" s="33" t="str">
        <f>"1516"</f>
        <v>1516</v>
      </c>
      <c r="F1241" t="s">
        <v>799</v>
      </c>
      <c r="G1241" s="1"/>
      <c r="H1241" s="1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</row>
    <row r="1242" spans="1:22" x14ac:dyDescent="0.25">
      <c r="A1242" t="str">
        <f t="shared" si="66"/>
        <v>17801</v>
      </c>
      <c r="B1242" s="33">
        <v>121</v>
      </c>
      <c r="C1242" t="str">
        <f t="shared" si="67"/>
        <v>27401</v>
      </c>
      <c r="D1242" t="s">
        <v>82</v>
      </c>
      <c r="E1242" s="33" t="str">
        <f>"4156"</f>
        <v>4156</v>
      </c>
      <c r="F1242" t="s">
        <v>947</v>
      </c>
      <c r="G1242" s="1"/>
      <c r="H1242" s="1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</row>
    <row r="1243" spans="1:22" x14ac:dyDescent="0.25">
      <c r="A1243" t="str">
        <f t="shared" si="66"/>
        <v>17801</v>
      </c>
      <c r="B1243" s="33">
        <v>121</v>
      </c>
      <c r="C1243" t="str">
        <f t="shared" si="67"/>
        <v>27401</v>
      </c>
      <c r="D1243" t="s">
        <v>82</v>
      </c>
      <c r="E1243" s="33" t="str">
        <f>"4219"</f>
        <v>4219</v>
      </c>
      <c r="F1243" t="s">
        <v>967</v>
      </c>
      <c r="G1243" s="1"/>
      <c r="H1243" s="1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</row>
    <row r="1244" spans="1:22" x14ac:dyDescent="0.25">
      <c r="A1244" t="str">
        <f t="shared" si="66"/>
        <v>17801</v>
      </c>
      <c r="B1244" s="33">
        <v>121</v>
      </c>
      <c r="C1244" t="str">
        <f t="shared" si="67"/>
        <v>27401</v>
      </c>
      <c r="D1244" t="s">
        <v>82</v>
      </c>
      <c r="E1244" s="33" t="str">
        <f>"4189"</f>
        <v>4189</v>
      </c>
      <c r="F1244" t="s">
        <v>1211</v>
      </c>
      <c r="G1244" s="1"/>
      <c r="H1244" s="1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</row>
    <row r="1245" spans="1:22" x14ac:dyDescent="0.25">
      <c r="A1245" t="str">
        <f t="shared" si="66"/>
        <v>17801</v>
      </c>
      <c r="B1245" s="33">
        <v>121</v>
      </c>
      <c r="C1245" t="str">
        <f t="shared" si="67"/>
        <v>27401</v>
      </c>
      <c r="D1245" t="s">
        <v>82</v>
      </c>
      <c r="E1245" s="33" t="str">
        <f>"2681"</f>
        <v>2681</v>
      </c>
      <c r="F1245" t="s">
        <v>1432</v>
      </c>
      <c r="G1245" s="1"/>
      <c r="H1245" s="1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</row>
    <row r="1246" spans="1:22" x14ac:dyDescent="0.25">
      <c r="A1246" t="str">
        <f t="shared" si="66"/>
        <v>17801</v>
      </c>
      <c r="B1246" s="33">
        <v>121</v>
      </c>
      <c r="C1246" t="str">
        <f t="shared" si="67"/>
        <v>27401</v>
      </c>
      <c r="D1246" t="s">
        <v>82</v>
      </c>
      <c r="E1246" s="33" t="str">
        <f>"5631"</f>
        <v>5631</v>
      </c>
      <c r="F1246" t="s">
        <v>1448</v>
      </c>
      <c r="G1246" s="1"/>
      <c r="H1246" s="1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</row>
    <row r="1247" spans="1:22" x14ac:dyDescent="0.25">
      <c r="A1247" t="str">
        <f t="shared" si="66"/>
        <v>17801</v>
      </c>
      <c r="B1247" s="33">
        <v>121</v>
      </c>
      <c r="C1247" t="str">
        <f t="shared" si="67"/>
        <v>27401</v>
      </c>
      <c r="D1247" t="s">
        <v>82</v>
      </c>
      <c r="E1247" s="33" t="str">
        <f>"3685"</f>
        <v>3685</v>
      </c>
      <c r="F1247" t="s">
        <v>1485</v>
      </c>
      <c r="G1247" s="1"/>
      <c r="H1247" s="1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</row>
    <row r="1248" spans="1:22" x14ac:dyDescent="0.25">
      <c r="A1248" t="str">
        <f t="shared" si="66"/>
        <v>17801</v>
      </c>
      <c r="B1248" s="33">
        <v>121</v>
      </c>
      <c r="C1248" t="str">
        <f t="shared" si="67"/>
        <v>27401</v>
      </c>
      <c r="D1248" t="s">
        <v>82</v>
      </c>
      <c r="E1248" s="33" t="str">
        <f>"3056"</f>
        <v>3056</v>
      </c>
      <c r="F1248" t="s">
        <v>1854</v>
      </c>
      <c r="G1248" s="1"/>
      <c r="H1248" s="1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</row>
    <row r="1249" spans="1:22" x14ac:dyDescent="0.25">
      <c r="A1249" t="str">
        <f t="shared" si="66"/>
        <v>17801</v>
      </c>
      <c r="B1249" s="33">
        <v>121</v>
      </c>
      <c r="C1249" t="str">
        <f t="shared" si="67"/>
        <v>27401</v>
      </c>
      <c r="D1249" t="s">
        <v>82</v>
      </c>
      <c r="E1249" s="33" t="str">
        <f>"4307"</f>
        <v>4307</v>
      </c>
      <c r="F1249" t="s">
        <v>1865</v>
      </c>
      <c r="G1249" s="1"/>
      <c r="H1249" s="1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</row>
    <row r="1250" spans="1:22" x14ac:dyDescent="0.25">
      <c r="A1250" t="str">
        <f t="shared" si="66"/>
        <v>17801</v>
      </c>
      <c r="B1250" s="33">
        <v>121</v>
      </c>
      <c r="C1250" s="44" t="str">
        <f t="shared" ref="C1250:C1284" si="68">"27003"</f>
        <v>27003</v>
      </c>
      <c r="D1250" s="44" t="s">
        <v>97</v>
      </c>
      <c r="E1250" s="33" t="str">
        <f>"3447"</f>
        <v>3447</v>
      </c>
      <c r="F1250" s="44" t="s">
        <v>98</v>
      </c>
      <c r="G1250" s="1"/>
      <c r="H1250" s="1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</row>
    <row r="1251" spans="1:22" x14ac:dyDescent="0.25">
      <c r="A1251" t="str">
        <f t="shared" si="66"/>
        <v>17801</v>
      </c>
      <c r="B1251" s="33">
        <v>121</v>
      </c>
      <c r="C1251" s="44" t="str">
        <f t="shared" si="68"/>
        <v>27003</v>
      </c>
      <c r="D1251" s="44" t="s">
        <v>97</v>
      </c>
      <c r="E1251" s="33" t="str">
        <f>"3750"</f>
        <v>3750</v>
      </c>
      <c r="F1251" s="44" t="s">
        <v>108</v>
      </c>
      <c r="G1251" s="1"/>
      <c r="H1251" s="1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</row>
    <row r="1252" spans="1:22" x14ac:dyDescent="0.25">
      <c r="A1252" t="str">
        <f t="shared" si="66"/>
        <v>17801</v>
      </c>
      <c r="B1252" s="33">
        <v>121</v>
      </c>
      <c r="C1252" t="str">
        <f t="shared" si="68"/>
        <v>27003</v>
      </c>
      <c r="D1252" t="s">
        <v>97</v>
      </c>
      <c r="E1252" s="33" t="str">
        <f>"5557"</f>
        <v>5557</v>
      </c>
      <c r="F1252" t="s">
        <v>2278</v>
      </c>
      <c r="G1252" s="1"/>
      <c r="H1252" s="1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</row>
    <row r="1253" spans="1:22" x14ac:dyDescent="0.25">
      <c r="A1253" t="str">
        <f t="shared" si="66"/>
        <v>17801</v>
      </c>
      <c r="B1253" s="33">
        <v>121</v>
      </c>
      <c r="C1253" s="44" t="str">
        <f t="shared" si="68"/>
        <v>27003</v>
      </c>
      <c r="D1253" s="44" t="s">
        <v>97</v>
      </c>
      <c r="E1253" s="33" t="str">
        <f>"4443"</f>
        <v>4443</v>
      </c>
      <c r="F1253" s="2" t="s">
        <v>2279</v>
      </c>
      <c r="G1253" s="1"/>
      <c r="H1253" s="1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</row>
    <row r="1254" spans="1:22" x14ac:dyDescent="0.25">
      <c r="A1254" t="str">
        <f t="shared" si="66"/>
        <v>17801</v>
      </c>
      <c r="B1254" s="33">
        <v>121</v>
      </c>
      <c r="C1254" s="44" t="str">
        <f t="shared" si="68"/>
        <v>27003</v>
      </c>
      <c r="D1254" s="44" t="s">
        <v>97</v>
      </c>
      <c r="E1254" s="33" t="str">
        <f>"3972"</f>
        <v>3972</v>
      </c>
      <c r="F1254" s="2" t="s">
        <v>2280</v>
      </c>
      <c r="G1254" s="1"/>
      <c r="H1254" s="1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</row>
    <row r="1255" spans="1:22" x14ac:dyDescent="0.25">
      <c r="A1255" t="str">
        <f t="shared" si="66"/>
        <v>17801</v>
      </c>
      <c r="B1255" s="33">
        <v>121</v>
      </c>
      <c r="C1255" s="44" t="str">
        <f t="shared" si="68"/>
        <v>27003</v>
      </c>
      <c r="D1255" s="44" t="s">
        <v>97</v>
      </c>
      <c r="E1255" s="33" t="str">
        <f>"2575"</f>
        <v>2575</v>
      </c>
      <c r="F1255" s="44" t="s">
        <v>548</v>
      </c>
      <c r="G1255" s="1"/>
      <c r="H1255" s="1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</row>
    <row r="1256" spans="1:22" x14ac:dyDescent="0.25">
      <c r="A1256" t="str">
        <f t="shared" si="66"/>
        <v>17801</v>
      </c>
      <c r="B1256" s="33">
        <v>121</v>
      </c>
      <c r="C1256" s="44" t="str">
        <f t="shared" si="68"/>
        <v>27003</v>
      </c>
      <c r="D1256" s="44" t="s">
        <v>97</v>
      </c>
      <c r="E1256" s="33" t="str">
        <f>"4496"</f>
        <v>4496</v>
      </c>
      <c r="F1256" t="s">
        <v>2281</v>
      </c>
      <c r="G1256" s="1"/>
      <c r="H1256" s="1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</row>
    <row r="1257" spans="1:22" x14ac:dyDescent="0.25">
      <c r="A1257" t="str">
        <f t="shared" si="66"/>
        <v>17801</v>
      </c>
      <c r="B1257" s="33">
        <v>121</v>
      </c>
      <c r="C1257" s="44" t="str">
        <f t="shared" si="68"/>
        <v>27003</v>
      </c>
      <c r="D1257" s="44" t="s">
        <v>97</v>
      </c>
      <c r="E1257" s="33" t="str">
        <f>"4540"</f>
        <v>4540</v>
      </c>
      <c r="F1257" s="31" t="s">
        <v>577</v>
      </c>
      <c r="G1257" s="1"/>
      <c r="H1257" s="1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</row>
    <row r="1258" spans="1:22" x14ac:dyDescent="0.25">
      <c r="A1258" t="str">
        <f t="shared" si="66"/>
        <v>17801</v>
      </c>
      <c r="B1258" s="33">
        <v>121</v>
      </c>
      <c r="C1258" s="44" t="str">
        <f t="shared" si="68"/>
        <v>27003</v>
      </c>
      <c r="D1258" s="44" t="s">
        <v>97</v>
      </c>
      <c r="E1258" s="33" t="str">
        <f>"5088"</f>
        <v>5088</v>
      </c>
      <c r="F1258" s="2" t="s">
        <v>2282</v>
      </c>
      <c r="G1258" s="1"/>
      <c r="H1258" s="1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</row>
    <row r="1259" spans="1:22" x14ac:dyDescent="0.25">
      <c r="A1259" t="str">
        <f t="shared" si="66"/>
        <v>17801</v>
      </c>
      <c r="B1259" s="33">
        <v>121</v>
      </c>
      <c r="C1259" s="44" t="str">
        <f t="shared" si="68"/>
        <v>27003</v>
      </c>
      <c r="D1259" s="44" t="s">
        <v>97</v>
      </c>
      <c r="E1259" s="33" t="str">
        <f>"4183"</f>
        <v>4183</v>
      </c>
      <c r="F1259" s="31" t="s">
        <v>627</v>
      </c>
      <c r="G1259" s="1"/>
      <c r="H1259" s="1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</row>
    <row r="1260" spans="1:22" x14ac:dyDescent="0.25">
      <c r="A1260" t="str">
        <f t="shared" ref="A1260:A1323" si="69">"17801"</f>
        <v>17801</v>
      </c>
      <c r="B1260" s="33">
        <v>121</v>
      </c>
      <c r="C1260" s="44" t="str">
        <f t="shared" si="68"/>
        <v>27003</v>
      </c>
      <c r="D1260" s="44" t="s">
        <v>97</v>
      </c>
      <c r="E1260" s="33" t="str">
        <f>"2496"</f>
        <v>2496</v>
      </c>
      <c r="F1260" s="31" t="s">
        <v>637</v>
      </c>
      <c r="G1260" s="1"/>
      <c r="H1260" s="1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</row>
    <row r="1261" spans="1:22" x14ac:dyDescent="0.25">
      <c r="A1261" t="str">
        <f t="shared" si="69"/>
        <v>17801</v>
      </c>
      <c r="B1261" s="33">
        <v>121</v>
      </c>
      <c r="C1261" s="44" t="str">
        <f t="shared" si="68"/>
        <v>27003</v>
      </c>
      <c r="D1261" s="44" t="s">
        <v>97</v>
      </c>
      <c r="E1261" s="33" t="str">
        <f>"4361"</f>
        <v>4361</v>
      </c>
      <c r="F1261" s="2" t="s">
        <v>2283</v>
      </c>
      <c r="G1261" s="1"/>
      <c r="H1261" s="1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</row>
    <row r="1262" spans="1:22" x14ac:dyDescent="0.25">
      <c r="A1262" t="str">
        <f t="shared" si="69"/>
        <v>17801</v>
      </c>
      <c r="B1262" s="33">
        <v>121</v>
      </c>
      <c r="C1262" s="44" t="str">
        <f t="shared" si="68"/>
        <v>27003</v>
      </c>
      <c r="D1262" s="44" t="s">
        <v>97</v>
      </c>
      <c r="E1262" s="33" t="str">
        <f>"3557"</f>
        <v>3557</v>
      </c>
      <c r="F1262" s="31" t="s">
        <v>677</v>
      </c>
      <c r="G1262" s="1"/>
      <c r="H1262" s="1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</row>
    <row r="1263" spans="1:22" x14ac:dyDescent="0.25">
      <c r="A1263" t="str">
        <f t="shared" si="69"/>
        <v>17801</v>
      </c>
      <c r="B1263" s="33">
        <v>121</v>
      </c>
      <c r="C1263" s="44" t="str">
        <f t="shared" si="68"/>
        <v>27003</v>
      </c>
      <c r="D1263" s="44" t="s">
        <v>97</v>
      </c>
      <c r="E1263" s="33" t="str">
        <f>"5093"</f>
        <v>5093</v>
      </c>
      <c r="F1263" s="2" t="s">
        <v>2284</v>
      </c>
      <c r="G1263" s="1"/>
      <c r="H1263" s="1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</row>
    <row r="1264" spans="1:22" x14ac:dyDescent="0.25">
      <c r="A1264" t="str">
        <f t="shared" si="69"/>
        <v>17801</v>
      </c>
      <c r="B1264" s="33">
        <v>121</v>
      </c>
      <c r="C1264" s="44" t="str">
        <f t="shared" si="68"/>
        <v>27003</v>
      </c>
      <c r="D1264" s="44" t="s">
        <v>97</v>
      </c>
      <c r="E1264" s="33" t="str">
        <f>"5142"</f>
        <v>5142</v>
      </c>
      <c r="F1264" s="31" t="s">
        <v>711</v>
      </c>
      <c r="G1264" s="1"/>
      <c r="H1264" s="1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</row>
    <row r="1265" spans="1:22" x14ac:dyDescent="0.25">
      <c r="A1265" t="str">
        <f t="shared" si="69"/>
        <v>17801</v>
      </c>
      <c r="B1265" s="33">
        <v>121</v>
      </c>
      <c r="C1265" s="44" t="str">
        <f t="shared" si="68"/>
        <v>27003</v>
      </c>
      <c r="D1265" s="44" t="s">
        <v>97</v>
      </c>
      <c r="E1265" s="33" t="str">
        <f>"3645"</f>
        <v>3645</v>
      </c>
      <c r="F1265" s="2" t="s">
        <v>2285</v>
      </c>
      <c r="G1265" s="1"/>
      <c r="H1265" s="1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</row>
    <row r="1266" spans="1:22" x14ac:dyDescent="0.25">
      <c r="A1266" t="str">
        <f t="shared" si="69"/>
        <v>17801</v>
      </c>
      <c r="B1266" s="33">
        <v>121</v>
      </c>
      <c r="C1266" s="44" t="str">
        <f t="shared" si="68"/>
        <v>27003</v>
      </c>
      <c r="D1266" s="44" t="s">
        <v>97</v>
      </c>
      <c r="E1266" s="33" t="str">
        <f>"3052"</f>
        <v>3052</v>
      </c>
      <c r="F1266" s="44" t="s">
        <v>917</v>
      </c>
      <c r="G1266" s="1"/>
      <c r="H1266" s="1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</row>
    <row r="1267" spans="1:22" x14ac:dyDescent="0.25">
      <c r="A1267" t="str">
        <f t="shared" si="69"/>
        <v>17801</v>
      </c>
      <c r="B1267" s="33">
        <v>121</v>
      </c>
      <c r="C1267" s="44" t="str">
        <f t="shared" si="68"/>
        <v>27003</v>
      </c>
      <c r="D1267" s="44" t="s">
        <v>97</v>
      </c>
      <c r="E1267" s="33" t="str">
        <f>"2870"</f>
        <v>2870</v>
      </c>
      <c r="F1267" s="44" t="s">
        <v>922</v>
      </c>
      <c r="G1267" s="1"/>
      <c r="H1267" s="1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</row>
    <row r="1268" spans="1:22" x14ac:dyDescent="0.25">
      <c r="A1268" t="str">
        <f t="shared" si="69"/>
        <v>17801</v>
      </c>
      <c r="B1268" s="33">
        <v>121</v>
      </c>
      <c r="C1268" s="44" t="str">
        <f t="shared" si="68"/>
        <v>27003</v>
      </c>
      <c r="D1268" s="44" t="s">
        <v>97</v>
      </c>
      <c r="E1268" s="33" t="str">
        <f>"2498"</f>
        <v>2498</v>
      </c>
      <c r="F1268" s="44" t="s">
        <v>1120</v>
      </c>
      <c r="G1268" s="1"/>
      <c r="H1268" s="1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</row>
    <row r="1269" spans="1:22" x14ac:dyDescent="0.25">
      <c r="A1269" t="str">
        <f t="shared" si="69"/>
        <v>17801</v>
      </c>
      <c r="B1269" s="33">
        <v>121</v>
      </c>
      <c r="C1269" s="44" t="str">
        <f t="shared" si="68"/>
        <v>27003</v>
      </c>
      <c r="D1269" s="44" t="s">
        <v>97</v>
      </c>
      <c r="E1269" s="33" t="str">
        <f>"2334"</f>
        <v>2334</v>
      </c>
      <c r="F1269" s="44" t="s">
        <v>1180</v>
      </c>
      <c r="G1269" s="1"/>
      <c r="H1269" s="1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</row>
    <row r="1270" spans="1:22" x14ac:dyDescent="0.25">
      <c r="A1270" t="str">
        <f t="shared" si="69"/>
        <v>17801</v>
      </c>
      <c r="B1270" s="33">
        <v>121</v>
      </c>
      <c r="C1270" s="44" t="str">
        <f t="shared" si="68"/>
        <v>27003</v>
      </c>
      <c r="D1270" s="44" t="s">
        <v>97</v>
      </c>
      <c r="E1270" s="33" t="str">
        <f>"3572"</f>
        <v>3572</v>
      </c>
      <c r="F1270" s="44" t="s">
        <v>1259</v>
      </c>
      <c r="G1270" s="1"/>
      <c r="H1270" s="1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</row>
    <row r="1271" spans="1:22" x14ac:dyDescent="0.25">
      <c r="A1271" t="str">
        <f t="shared" si="69"/>
        <v>17801</v>
      </c>
      <c r="B1271" s="33">
        <v>121</v>
      </c>
      <c r="C1271" s="44" t="str">
        <f t="shared" si="68"/>
        <v>27003</v>
      </c>
      <c r="D1271" s="44" t="s">
        <v>97</v>
      </c>
      <c r="E1271" s="33" t="str">
        <f>"3927"</f>
        <v>3927</v>
      </c>
      <c r="F1271" s="44" t="s">
        <v>1329</v>
      </c>
      <c r="G1271" s="1"/>
      <c r="H1271" s="1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</row>
    <row r="1272" spans="1:22" x14ac:dyDescent="0.25">
      <c r="A1272" t="str">
        <f t="shared" si="69"/>
        <v>17801</v>
      </c>
      <c r="B1272" s="33">
        <v>121</v>
      </c>
      <c r="C1272" s="44" t="str">
        <f t="shared" si="68"/>
        <v>27003</v>
      </c>
      <c r="D1272" s="44" t="s">
        <v>97</v>
      </c>
      <c r="E1272" s="33" t="str">
        <f>"4146"</f>
        <v>4146</v>
      </c>
      <c r="F1272" s="44" t="s">
        <v>1462</v>
      </c>
      <c r="G1272" s="1"/>
      <c r="H1272" s="1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</row>
    <row r="1273" spans="1:22" x14ac:dyDescent="0.25">
      <c r="A1273" t="str">
        <f t="shared" si="69"/>
        <v>17801</v>
      </c>
      <c r="B1273" s="33">
        <v>121</v>
      </c>
      <c r="C1273" s="44" t="str">
        <f t="shared" si="68"/>
        <v>27003</v>
      </c>
      <c r="D1273" s="44" t="s">
        <v>97</v>
      </c>
      <c r="E1273" s="33" t="str">
        <f>"2125"</f>
        <v>2125</v>
      </c>
      <c r="F1273" s="44" t="s">
        <v>1486</v>
      </c>
      <c r="G1273" s="1"/>
      <c r="H1273" s="1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</row>
    <row r="1274" spans="1:22" x14ac:dyDescent="0.25">
      <c r="A1274" t="str">
        <f t="shared" si="69"/>
        <v>17801</v>
      </c>
      <c r="B1274" s="33">
        <v>121</v>
      </c>
      <c r="C1274" s="44" t="str">
        <f t="shared" si="68"/>
        <v>27003</v>
      </c>
      <c r="D1274" s="44" t="s">
        <v>97</v>
      </c>
      <c r="E1274" s="33">
        <v>1640</v>
      </c>
      <c r="F1274" s="44" t="s">
        <v>2102</v>
      </c>
      <c r="G1274" s="1"/>
      <c r="H1274" s="1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</row>
    <row r="1275" spans="1:22" x14ac:dyDescent="0.25">
      <c r="A1275" t="str">
        <f t="shared" si="69"/>
        <v>17801</v>
      </c>
      <c r="B1275" s="33">
        <v>121</v>
      </c>
      <c r="C1275" s="44" t="str">
        <f t="shared" si="68"/>
        <v>27003</v>
      </c>
      <c r="D1275" s="44" t="s">
        <v>97</v>
      </c>
      <c r="E1275" s="33" t="str">
        <f>"5322"</f>
        <v>5322</v>
      </c>
      <c r="F1275" s="44" t="s">
        <v>1487</v>
      </c>
      <c r="G1275" s="1"/>
      <c r="H1275" s="1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</row>
    <row r="1276" spans="1:22" x14ac:dyDescent="0.25">
      <c r="A1276" t="str">
        <f t="shared" si="69"/>
        <v>17801</v>
      </c>
      <c r="B1276" s="33">
        <v>121</v>
      </c>
      <c r="C1276" s="44" t="str">
        <f t="shared" si="68"/>
        <v>27003</v>
      </c>
      <c r="D1276" s="44" t="s">
        <v>97</v>
      </c>
      <c r="E1276" s="33" t="str">
        <f>"4121"</f>
        <v>4121</v>
      </c>
      <c r="F1276" s="44" t="s">
        <v>1524</v>
      </c>
      <c r="G1276" s="1"/>
      <c r="H1276" s="1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</row>
    <row r="1277" spans="1:22" x14ac:dyDescent="0.25">
      <c r="A1277" t="str">
        <f t="shared" si="69"/>
        <v>17801</v>
      </c>
      <c r="B1277" s="33">
        <v>121</v>
      </c>
      <c r="C1277" s="44" t="str">
        <f t="shared" si="68"/>
        <v>27003</v>
      </c>
      <c r="D1277" s="44" t="s">
        <v>97</v>
      </c>
      <c r="E1277" s="33" t="str">
        <f>"4414"</f>
        <v>4414</v>
      </c>
      <c r="F1277" s="44" t="s">
        <v>1632</v>
      </c>
      <c r="G1277" s="1"/>
      <c r="H1277" s="1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</row>
    <row r="1278" spans="1:22" x14ac:dyDescent="0.25">
      <c r="A1278" t="str">
        <f t="shared" si="69"/>
        <v>17801</v>
      </c>
      <c r="B1278" s="33">
        <v>121</v>
      </c>
      <c r="C1278" s="44" t="str">
        <f t="shared" si="68"/>
        <v>27003</v>
      </c>
      <c r="D1278" s="44" t="s">
        <v>97</v>
      </c>
      <c r="E1278" s="33" t="str">
        <f>"2497"</f>
        <v>2497</v>
      </c>
      <c r="F1278" s="44" t="s">
        <v>1702</v>
      </c>
      <c r="G1278" s="1"/>
      <c r="H1278" s="1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</row>
    <row r="1279" spans="1:22" x14ac:dyDescent="0.25">
      <c r="A1279" t="str">
        <f t="shared" si="69"/>
        <v>17801</v>
      </c>
      <c r="B1279" s="33">
        <v>121</v>
      </c>
      <c r="C1279" s="44" t="str">
        <f t="shared" si="68"/>
        <v>27003</v>
      </c>
      <c r="D1279" s="44" t="s">
        <v>97</v>
      </c>
      <c r="E1279" s="33" t="str">
        <f>"2311"</f>
        <v>2311</v>
      </c>
      <c r="F1279" s="44" t="s">
        <v>1736</v>
      </c>
      <c r="G1279" s="1"/>
      <c r="H1279" s="1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</row>
    <row r="1280" spans="1:22" x14ac:dyDescent="0.25">
      <c r="A1280" t="str">
        <f t="shared" si="69"/>
        <v>17801</v>
      </c>
      <c r="B1280" s="33">
        <v>121</v>
      </c>
      <c r="C1280" s="44" t="str">
        <f t="shared" si="68"/>
        <v>27003</v>
      </c>
      <c r="D1280" s="44" t="s">
        <v>97</v>
      </c>
      <c r="E1280" s="33" t="str">
        <f>"3896"</f>
        <v>3896</v>
      </c>
      <c r="F1280" s="44" t="s">
        <v>1756</v>
      </c>
      <c r="G1280" s="1"/>
      <c r="H1280" s="1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</row>
    <row r="1281" spans="1:22" x14ac:dyDescent="0.25">
      <c r="A1281" t="str">
        <f t="shared" si="69"/>
        <v>17801</v>
      </c>
      <c r="B1281" s="33">
        <v>121</v>
      </c>
      <c r="C1281" s="44" t="str">
        <f t="shared" si="68"/>
        <v>27003</v>
      </c>
      <c r="D1281" s="44" t="s">
        <v>97</v>
      </c>
      <c r="E1281" s="33" t="str">
        <f>"2495"</f>
        <v>2495</v>
      </c>
      <c r="F1281" s="44" t="s">
        <v>1880</v>
      </c>
      <c r="G1281" s="1"/>
      <c r="H1281" s="1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</row>
    <row r="1282" spans="1:22" x14ac:dyDescent="0.25">
      <c r="A1282" t="str">
        <f t="shared" si="69"/>
        <v>17801</v>
      </c>
      <c r="B1282" s="33">
        <v>121</v>
      </c>
      <c r="C1282" s="44" t="str">
        <f t="shared" si="68"/>
        <v>27003</v>
      </c>
      <c r="D1282" s="44" t="s">
        <v>97</v>
      </c>
      <c r="E1282" s="33" t="str">
        <f>"4360"</f>
        <v>4360</v>
      </c>
      <c r="F1282" s="44" t="s">
        <v>1889</v>
      </c>
      <c r="G1282" s="1"/>
      <c r="H1282" s="1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</row>
    <row r="1283" spans="1:22" x14ac:dyDescent="0.25">
      <c r="A1283" t="str">
        <f t="shared" si="69"/>
        <v>17801</v>
      </c>
      <c r="B1283" s="33">
        <v>121</v>
      </c>
      <c r="C1283" s="44" t="str">
        <f t="shared" si="68"/>
        <v>27003</v>
      </c>
      <c r="D1283" s="44" t="s">
        <v>97</v>
      </c>
      <c r="E1283" s="33" t="str">
        <f>"3558"</f>
        <v>3558</v>
      </c>
      <c r="F1283" s="44" t="s">
        <v>1944</v>
      </c>
      <c r="G1283" s="1"/>
      <c r="H1283" s="1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</row>
    <row r="1284" spans="1:22" x14ac:dyDescent="0.25">
      <c r="A1284" t="str">
        <f t="shared" si="69"/>
        <v>17801</v>
      </c>
      <c r="B1284" s="33">
        <v>121</v>
      </c>
      <c r="C1284" s="44" t="str">
        <f t="shared" si="68"/>
        <v>27003</v>
      </c>
      <c r="D1284" s="44" t="s">
        <v>97</v>
      </c>
      <c r="E1284" s="33" t="str">
        <f>"2519"</f>
        <v>2519</v>
      </c>
      <c r="F1284" s="44" t="s">
        <v>1968</v>
      </c>
      <c r="G1284" s="1"/>
      <c r="H1284" s="1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</row>
    <row r="1285" spans="1:22" x14ac:dyDescent="0.25">
      <c r="A1285" t="str">
        <f t="shared" si="69"/>
        <v>17801</v>
      </c>
      <c r="B1285" s="33">
        <v>121</v>
      </c>
      <c r="D1285" t="s">
        <v>2286</v>
      </c>
      <c r="E1285" s="33"/>
      <c r="F1285" t="s">
        <v>2286</v>
      </c>
      <c r="G1285" s="1"/>
      <c r="H1285" s="1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</row>
    <row r="1286" spans="1:22" x14ac:dyDescent="0.25">
      <c r="A1286" t="str">
        <f t="shared" si="69"/>
        <v>17801</v>
      </c>
      <c r="B1286" s="33">
        <v>121</v>
      </c>
      <c r="D1286" t="s">
        <v>2287</v>
      </c>
      <c r="E1286" s="33"/>
      <c r="F1286" t="s">
        <v>2287</v>
      </c>
      <c r="G1286" s="1"/>
      <c r="H1286" s="1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</row>
    <row r="1287" spans="1:22" x14ac:dyDescent="0.25">
      <c r="A1287" t="str">
        <f t="shared" si="69"/>
        <v>17801</v>
      </c>
      <c r="B1287" s="34">
        <v>121</v>
      </c>
      <c r="C1287" s="31" t="str">
        <f t="shared" ref="C1287:C1312" si="70">"17403"</f>
        <v>17403</v>
      </c>
      <c r="D1287" s="31" t="s">
        <v>141</v>
      </c>
      <c r="E1287" s="34" t="str">
        <f>"3587"</f>
        <v>3587</v>
      </c>
      <c r="F1287" s="31" t="s">
        <v>142</v>
      </c>
      <c r="G1287" s="1"/>
      <c r="H1287" s="1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</row>
    <row r="1288" spans="1:22" x14ac:dyDescent="0.25">
      <c r="A1288" t="str">
        <f t="shared" si="69"/>
        <v>17801</v>
      </c>
      <c r="B1288" s="34">
        <v>121</v>
      </c>
      <c r="C1288" s="31" t="str">
        <f t="shared" si="70"/>
        <v>17403</v>
      </c>
      <c r="D1288" s="31" t="s">
        <v>141</v>
      </c>
      <c r="E1288" s="34" t="str">
        <f>"2439"</f>
        <v>2439</v>
      </c>
      <c r="F1288" s="31" t="s">
        <v>217</v>
      </c>
      <c r="G1288" s="1"/>
      <c r="H1288" s="1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</row>
    <row r="1289" spans="1:22" x14ac:dyDescent="0.25">
      <c r="A1289" t="str">
        <f t="shared" si="69"/>
        <v>17801</v>
      </c>
      <c r="B1289" s="34">
        <v>121</v>
      </c>
      <c r="C1289" s="31" t="str">
        <f t="shared" si="70"/>
        <v>17403</v>
      </c>
      <c r="D1289" s="31" t="s">
        <v>141</v>
      </c>
      <c r="E1289" s="34" t="str">
        <f>"3034"</f>
        <v>3034</v>
      </c>
      <c r="F1289" s="31" t="s">
        <v>232</v>
      </c>
      <c r="G1289" s="1"/>
      <c r="H1289" s="1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</row>
    <row r="1290" spans="1:22" x14ac:dyDescent="0.25">
      <c r="A1290" t="str">
        <f t="shared" si="69"/>
        <v>17801</v>
      </c>
      <c r="B1290" s="34">
        <v>121</v>
      </c>
      <c r="C1290" s="31" t="str">
        <f t="shared" si="70"/>
        <v>17403</v>
      </c>
      <c r="D1290" s="31" t="s">
        <v>141</v>
      </c>
      <c r="E1290" s="34" t="str">
        <f>"3337"</f>
        <v>3337</v>
      </c>
      <c r="F1290" s="31" t="s">
        <v>261</v>
      </c>
      <c r="G1290" s="1"/>
      <c r="H1290" s="1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</row>
    <row r="1291" spans="1:22" x14ac:dyDescent="0.25">
      <c r="A1291" t="str">
        <f t="shared" si="69"/>
        <v>17801</v>
      </c>
      <c r="B1291" s="34">
        <v>121</v>
      </c>
      <c r="C1291" s="31" t="str">
        <f t="shared" si="70"/>
        <v>17403</v>
      </c>
      <c r="D1291" s="31" t="s">
        <v>141</v>
      </c>
      <c r="E1291" s="34" t="str">
        <f>"3280"</f>
        <v>3280</v>
      </c>
      <c r="F1291" s="31" t="s">
        <v>501</v>
      </c>
      <c r="G1291" s="1"/>
      <c r="H1291" s="1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</row>
    <row r="1292" spans="1:22" x14ac:dyDescent="0.25">
      <c r="A1292" t="str">
        <f t="shared" si="69"/>
        <v>17801</v>
      </c>
      <c r="B1292" s="34">
        <v>121</v>
      </c>
      <c r="C1292" s="31" t="str">
        <f t="shared" si="70"/>
        <v>17403</v>
      </c>
      <c r="D1292" s="31" t="s">
        <v>141</v>
      </c>
      <c r="E1292" s="34" t="str">
        <f>"1534"</f>
        <v>1534</v>
      </c>
      <c r="F1292" s="31" t="s">
        <v>758</v>
      </c>
      <c r="G1292" s="1"/>
      <c r="H1292" s="1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</row>
    <row r="1293" spans="1:22" x14ac:dyDescent="0.25">
      <c r="A1293" t="str">
        <f t="shared" si="69"/>
        <v>17801</v>
      </c>
      <c r="B1293" s="34">
        <v>121</v>
      </c>
      <c r="C1293" s="31" t="str">
        <f t="shared" si="70"/>
        <v>17403</v>
      </c>
      <c r="D1293" s="31" t="s">
        <v>141</v>
      </c>
      <c r="E1293" s="34" t="str">
        <f>"1784"</f>
        <v>1784</v>
      </c>
      <c r="F1293" s="31" t="s">
        <v>1996</v>
      </c>
      <c r="G1293" s="1"/>
      <c r="H1293" s="1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</row>
    <row r="1294" spans="1:22" x14ac:dyDescent="0.25">
      <c r="A1294" t="str">
        <f t="shared" si="69"/>
        <v>17801</v>
      </c>
      <c r="B1294" s="34">
        <v>121</v>
      </c>
      <c r="C1294" s="31" t="str">
        <f t="shared" si="70"/>
        <v>17403</v>
      </c>
      <c r="D1294" s="31" t="s">
        <v>141</v>
      </c>
      <c r="E1294" s="34" t="str">
        <f>"3485"</f>
        <v>3485</v>
      </c>
      <c r="F1294" s="31" t="s">
        <v>791</v>
      </c>
      <c r="G1294" s="1"/>
      <c r="H1294" s="1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</row>
    <row r="1295" spans="1:22" x14ac:dyDescent="0.25">
      <c r="A1295" t="str">
        <f t="shared" si="69"/>
        <v>17801</v>
      </c>
      <c r="B1295" s="34">
        <v>121</v>
      </c>
      <c r="C1295" s="31" t="str">
        <f t="shared" si="70"/>
        <v>17403</v>
      </c>
      <c r="D1295" s="31" t="s">
        <v>141</v>
      </c>
      <c r="E1295" s="34" t="str">
        <f>"3630"</f>
        <v>3630</v>
      </c>
      <c r="F1295" s="31" t="s">
        <v>792</v>
      </c>
      <c r="G1295" s="1"/>
      <c r="H1295" s="1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</row>
    <row r="1296" spans="1:22" x14ac:dyDescent="0.25">
      <c r="A1296" t="str">
        <f t="shared" si="69"/>
        <v>17801</v>
      </c>
      <c r="B1296" s="34">
        <v>121</v>
      </c>
      <c r="C1296" s="31" t="str">
        <f t="shared" si="70"/>
        <v>17403</v>
      </c>
      <c r="D1296" s="31" t="s">
        <v>141</v>
      </c>
      <c r="E1296" s="34" t="str">
        <f>"2640"</f>
        <v>2640</v>
      </c>
      <c r="F1296" s="31" t="s">
        <v>813</v>
      </c>
      <c r="G1296" s="1"/>
      <c r="H1296" s="1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</row>
    <row r="1297" spans="1:22" x14ac:dyDescent="0.25">
      <c r="A1297" t="str">
        <f t="shared" si="69"/>
        <v>17801</v>
      </c>
      <c r="B1297" s="34">
        <v>121</v>
      </c>
      <c r="C1297" s="31" t="str">
        <f t="shared" si="70"/>
        <v>17403</v>
      </c>
      <c r="D1297" s="31" t="s">
        <v>141</v>
      </c>
      <c r="E1297" s="34" t="str">
        <f>"5229"</f>
        <v>5229</v>
      </c>
      <c r="F1297" s="31" t="s">
        <v>839</v>
      </c>
      <c r="G1297" s="1"/>
      <c r="H1297" s="1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</row>
    <row r="1298" spans="1:22" x14ac:dyDescent="0.25">
      <c r="A1298" t="str">
        <f t="shared" si="69"/>
        <v>17801</v>
      </c>
      <c r="B1298" s="34">
        <v>121</v>
      </c>
      <c r="C1298" s="31" t="str">
        <f t="shared" si="70"/>
        <v>17403</v>
      </c>
      <c r="D1298" s="31" t="s">
        <v>141</v>
      </c>
      <c r="E1298" s="34" t="str">
        <f>"2597"</f>
        <v>2597</v>
      </c>
      <c r="F1298" s="31" t="s">
        <v>932</v>
      </c>
      <c r="G1298" s="1"/>
      <c r="H1298" s="1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</row>
    <row r="1299" spans="1:22" x14ac:dyDescent="0.25">
      <c r="A1299" t="str">
        <f t="shared" si="69"/>
        <v>17801</v>
      </c>
      <c r="B1299" s="34">
        <v>121</v>
      </c>
      <c r="C1299" s="31" t="str">
        <f t="shared" si="70"/>
        <v>17403</v>
      </c>
      <c r="D1299" s="31" t="s">
        <v>141</v>
      </c>
      <c r="E1299" s="34" t="str">
        <f>"2929"</f>
        <v>2929</v>
      </c>
      <c r="F1299" s="31" t="s">
        <v>1005</v>
      </c>
      <c r="G1299" s="1"/>
      <c r="H1299" s="1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</row>
    <row r="1300" spans="1:22" x14ac:dyDescent="0.25">
      <c r="A1300" t="str">
        <f t="shared" si="69"/>
        <v>17801</v>
      </c>
      <c r="B1300" s="34">
        <v>121</v>
      </c>
      <c r="C1300" s="31" t="str">
        <f t="shared" si="70"/>
        <v>17403</v>
      </c>
      <c r="D1300" s="31" t="s">
        <v>141</v>
      </c>
      <c r="E1300" s="34" t="str">
        <f>"3741"</f>
        <v>3741</v>
      </c>
      <c r="F1300" s="31" t="s">
        <v>1064</v>
      </c>
      <c r="G1300" s="1"/>
      <c r="H1300" s="1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</row>
    <row r="1301" spans="1:22" x14ac:dyDescent="0.25">
      <c r="A1301" t="str">
        <f t="shared" si="69"/>
        <v>17801</v>
      </c>
      <c r="B1301" s="34">
        <v>121</v>
      </c>
      <c r="C1301" s="31" t="str">
        <f t="shared" si="70"/>
        <v>17403</v>
      </c>
      <c r="D1301" s="31" t="s">
        <v>141</v>
      </c>
      <c r="E1301" s="34" t="str">
        <f>"3586"</f>
        <v>3586</v>
      </c>
      <c r="F1301" s="31" t="s">
        <v>1121</v>
      </c>
      <c r="G1301" s="1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</row>
    <row r="1302" spans="1:22" x14ac:dyDescent="0.25">
      <c r="A1302" t="str">
        <f t="shared" si="69"/>
        <v>17801</v>
      </c>
      <c r="B1302" s="34">
        <v>121</v>
      </c>
      <c r="C1302" s="31" t="str">
        <f t="shared" si="70"/>
        <v>17403</v>
      </c>
      <c r="D1302" s="31" t="s">
        <v>141</v>
      </c>
      <c r="E1302" s="34" t="str">
        <f>"3035"</f>
        <v>3035</v>
      </c>
      <c r="F1302" s="31" t="s">
        <v>1162</v>
      </c>
      <c r="G1302" s="1"/>
      <c r="H1302" s="1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</row>
    <row r="1303" spans="1:22" x14ac:dyDescent="0.25">
      <c r="A1303" t="str">
        <f t="shared" si="69"/>
        <v>17801</v>
      </c>
      <c r="B1303" s="34">
        <v>121</v>
      </c>
      <c r="C1303" s="31" t="str">
        <f t="shared" si="70"/>
        <v>17403</v>
      </c>
      <c r="D1303" s="31" t="s">
        <v>141</v>
      </c>
      <c r="E1303" s="34" t="str">
        <f>"3434"</f>
        <v>3434</v>
      </c>
      <c r="F1303" s="31" t="s">
        <v>1286</v>
      </c>
      <c r="G1303" s="1"/>
      <c r="H1303" s="1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</row>
    <row r="1304" spans="1:22" x14ac:dyDescent="0.25">
      <c r="A1304" t="str">
        <f t="shared" si="69"/>
        <v>17801</v>
      </c>
      <c r="B1304" s="34">
        <v>121</v>
      </c>
      <c r="C1304" s="31" t="str">
        <f t="shared" si="70"/>
        <v>17403</v>
      </c>
      <c r="D1304" s="31" t="s">
        <v>141</v>
      </c>
      <c r="E1304" s="34" t="str">
        <f>"5070"</f>
        <v>5070</v>
      </c>
      <c r="F1304" s="31" t="s">
        <v>1516</v>
      </c>
      <c r="G1304" s="1"/>
      <c r="H1304" s="1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</row>
    <row r="1305" spans="1:22" x14ac:dyDescent="0.25">
      <c r="A1305" t="str">
        <f t="shared" si="69"/>
        <v>17801</v>
      </c>
      <c r="B1305" s="34">
        <v>121</v>
      </c>
      <c r="C1305" s="31" t="str">
        <f t="shared" si="70"/>
        <v>17403</v>
      </c>
      <c r="D1305" s="31" t="s">
        <v>141</v>
      </c>
      <c r="E1305" s="34" t="str">
        <f>"3521"</f>
        <v>3521</v>
      </c>
      <c r="F1305" s="31" t="s">
        <v>1517</v>
      </c>
      <c r="G1305" s="1"/>
      <c r="H1305" s="1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</row>
    <row r="1306" spans="1:22" x14ac:dyDescent="0.25">
      <c r="A1306" t="str">
        <f t="shared" si="69"/>
        <v>17801</v>
      </c>
      <c r="B1306" s="34">
        <v>121</v>
      </c>
      <c r="C1306" s="31" t="str">
        <f t="shared" si="70"/>
        <v>17403</v>
      </c>
      <c r="D1306" s="31" t="s">
        <v>141</v>
      </c>
      <c r="E1306" s="34" t="str">
        <f>"2475"</f>
        <v>2475</v>
      </c>
      <c r="F1306" s="31" t="s">
        <v>1518</v>
      </c>
      <c r="G1306" s="1"/>
      <c r="H1306" s="1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</row>
    <row r="1307" spans="1:22" x14ac:dyDescent="0.25">
      <c r="A1307" t="str">
        <f t="shared" si="69"/>
        <v>17801</v>
      </c>
      <c r="B1307" s="33">
        <v>121</v>
      </c>
      <c r="C1307" t="str">
        <f t="shared" si="70"/>
        <v>17403</v>
      </c>
      <c r="D1307" t="s">
        <v>141</v>
      </c>
      <c r="E1307" s="33" t="str">
        <f>"5519"</f>
        <v>5519</v>
      </c>
      <c r="F1307" t="s">
        <v>2288</v>
      </c>
      <c r="G1307" s="1"/>
      <c r="H1307" s="1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</row>
    <row r="1308" spans="1:22" x14ac:dyDescent="0.25">
      <c r="A1308" t="str">
        <f t="shared" si="69"/>
        <v>17801</v>
      </c>
      <c r="B1308" s="34">
        <v>121</v>
      </c>
      <c r="C1308" s="31" t="str">
        <f t="shared" si="70"/>
        <v>17403</v>
      </c>
      <c r="D1308" s="31" t="s">
        <v>141</v>
      </c>
      <c r="E1308" s="34" t="str">
        <f>"3668"</f>
        <v>3668</v>
      </c>
      <c r="F1308" s="44" t="s">
        <v>1650</v>
      </c>
      <c r="G1308" s="1"/>
      <c r="H1308" s="1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</row>
    <row r="1309" spans="1:22" x14ac:dyDescent="0.25">
      <c r="A1309" t="str">
        <f t="shared" si="69"/>
        <v>17801</v>
      </c>
      <c r="B1309" s="34">
        <v>121</v>
      </c>
      <c r="C1309" s="31" t="str">
        <f t="shared" si="70"/>
        <v>17403</v>
      </c>
      <c r="D1309" s="31" t="s">
        <v>141</v>
      </c>
      <c r="E1309" s="34" t="str">
        <f>"3740"</f>
        <v>3740</v>
      </c>
      <c r="F1309" s="44" t="s">
        <v>1771</v>
      </c>
      <c r="G1309" s="1"/>
      <c r="H1309" s="1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</row>
    <row r="1310" spans="1:22" x14ac:dyDescent="0.25">
      <c r="A1310" t="str">
        <f t="shared" si="69"/>
        <v>17801</v>
      </c>
      <c r="B1310" s="34">
        <v>121</v>
      </c>
      <c r="C1310" s="31" t="str">
        <f t="shared" si="70"/>
        <v>17403</v>
      </c>
      <c r="D1310" s="31" t="s">
        <v>141</v>
      </c>
      <c r="E1310" s="34" t="str">
        <f>"5282"</f>
        <v>5282</v>
      </c>
      <c r="F1310" s="44" t="s">
        <v>1772</v>
      </c>
      <c r="G1310" s="1"/>
      <c r="H1310" s="1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</row>
    <row r="1311" spans="1:22" x14ac:dyDescent="0.25">
      <c r="A1311" t="str">
        <f t="shared" si="69"/>
        <v>17801</v>
      </c>
      <c r="B1311" s="34">
        <v>121</v>
      </c>
      <c r="C1311" s="31" t="str">
        <f t="shared" si="70"/>
        <v>17403</v>
      </c>
      <c r="D1311" s="31" t="s">
        <v>141</v>
      </c>
      <c r="E1311" s="34" t="str">
        <f>"3702"</f>
        <v>3702</v>
      </c>
      <c r="F1311" s="44" t="s">
        <v>1797</v>
      </c>
      <c r="G1311" s="1"/>
      <c r="H1311" s="1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</row>
    <row r="1312" spans="1:22" x14ac:dyDescent="0.25">
      <c r="A1312" t="str">
        <f t="shared" si="69"/>
        <v>17801</v>
      </c>
      <c r="B1312" s="34">
        <v>121</v>
      </c>
      <c r="C1312" s="31" t="str">
        <f t="shared" si="70"/>
        <v>17403</v>
      </c>
      <c r="D1312" s="31" t="s">
        <v>141</v>
      </c>
      <c r="E1312" s="34" t="str">
        <f>"5484"</f>
        <v>5484</v>
      </c>
      <c r="F1312" s="44" t="s">
        <v>2289</v>
      </c>
      <c r="G1312" s="1"/>
      <c r="H1312" s="1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</row>
    <row r="1313" spans="1:22" x14ac:dyDescent="0.25">
      <c r="A1313" t="str">
        <f t="shared" si="69"/>
        <v>17801</v>
      </c>
      <c r="B1313" s="34">
        <v>121</v>
      </c>
      <c r="C1313" s="35">
        <v>17407</v>
      </c>
      <c r="D1313" s="31" t="s">
        <v>251</v>
      </c>
      <c r="E1313" s="36">
        <v>2485</v>
      </c>
      <c r="F1313" s="31" t="s">
        <v>252</v>
      </c>
      <c r="G1313" s="1"/>
      <c r="H1313" s="1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</row>
    <row r="1314" spans="1:22" x14ac:dyDescent="0.25">
      <c r="A1314" t="str">
        <f t="shared" si="69"/>
        <v>17801</v>
      </c>
      <c r="B1314" s="34">
        <v>121</v>
      </c>
      <c r="C1314" s="35">
        <v>17407</v>
      </c>
      <c r="D1314" s="31" t="s">
        <v>251</v>
      </c>
      <c r="E1314" s="36">
        <v>3524</v>
      </c>
      <c r="F1314" s="31" t="s">
        <v>295</v>
      </c>
      <c r="G1314" s="1"/>
      <c r="H1314" s="1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</row>
    <row r="1315" spans="1:22" x14ac:dyDescent="0.25">
      <c r="A1315" t="str">
        <f t="shared" si="69"/>
        <v>17801</v>
      </c>
      <c r="B1315" s="34">
        <v>121</v>
      </c>
      <c r="C1315" s="35">
        <v>17407</v>
      </c>
      <c r="D1315" s="31" t="s">
        <v>251</v>
      </c>
      <c r="E1315" s="36">
        <v>3101</v>
      </c>
      <c r="F1315" s="31" t="s">
        <v>344</v>
      </c>
      <c r="G1315" s="1"/>
      <c r="H1315" s="1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</row>
    <row r="1316" spans="1:22" x14ac:dyDescent="0.25">
      <c r="A1316" t="str">
        <f t="shared" si="69"/>
        <v>17801</v>
      </c>
      <c r="B1316" s="34">
        <v>121</v>
      </c>
      <c r="C1316" s="35">
        <v>17407</v>
      </c>
      <c r="D1316" s="31" t="s">
        <v>251</v>
      </c>
      <c r="E1316" s="36">
        <v>5244</v>
      </c>
      <c r="F1316" s="31" t="s">
        <v>363</v>
      </c>
      <c r="G1316" s="1"/>
      <c r="H1316" s="1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</row>
    <row r="1317" spans="1:22" x14ac:dyDescent="0.25">
      <c r="A1317" t="str">
        <f t="shared" si="69"/>
        <v>17801</v>
      </c>
      <c r="B1317" s="34">
        <v>121</v>
      </c>
      <c r="C1317" s="35">
        <v>17407</v>
      </c>
      <c r="D1317" s="31" t="s">
        <v>251</v>
      </c>
      <c r="E1317" s="36">
        <v>1756</v>
      </c>
      <c r="F1317" s="31" t="s">
        <v>376</v>
      </c>
      <c r="G1317" s="1"/>
      <c r="H1317" s="1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</row>
    <row r="1318" spans="1:22" x14ac:dyDescent="0.25">
      <c r="A1318" t="str">
        <f t="shared" si="69"/>
        <v>17801</v>
      </c>
      <c r="B1318" s="34">
        <v>121</v>
      </c>
      <c r="C1318" s="35">
        <v>17407</v>
      </c>
      <c r="D1318" s="31" t="s">
        <v>251</v>
      </c>
      <c r="E1318" s="36">
        <v>3006</v>
      </c>
      <c r="F1318" s="31" t="s">
        <v>525</v>
      </c>
      <c r="G1318" s="1"/>
      <c r="H1318" s="1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</row>
    <row r="1319" spans="1:22" x14ac:dyDescent="0.25">
      <c r="A1319" t="str">
        <f t="shared" si="69"/>
        <v>17801</v>
      </c>
      <c r="B1319" s="34">
        <v>121</v>
      </c>
      <c r="C1319" s="35">
        <v>17407</v>
      </c>
      <c r="D1319" s="31" t="s">
        <v>251</v>
      </c>
      <c r="E1319" s="36">
        <v>1854</v>
      </c>
      <c r="F1319" s="31" t="s">
        <v>1412</v>
      </c>
      <c r="G1319" s="1"/>
      <c r="H1319" s="1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</row>
    <row r="1320" spans="1:22" x14ac:dyDescent="0.25">
      <c r="A1320" t="str">
        <f t="shared" si="69"/>
        <v>17801</v>
      </c>
      <c r="B1320" s="34">
        <v>121</v>
      </c>
      <c r="C1320" s="35">
        <v>17407</v>
      </c>
      <c r="D1320" s="31" t="s">
        <v>251</v>
      </c>
      <c r="E1320" s="36">
        <v>4332</v>
      </c>
      <c r="F1320" s="31" t="s">
        <v>1737</v>
      </c>
      <c r="G1320" s="1"/>
      <c r="H1320" s="1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</row>
    <row r="1321" spans="1:22" x14ac:dyDescent="0.25">
      <c r="A1321" t="str">
        <f t="shared" si="69"/>
        <v>17801</v>
      </c>
      <c r="B1321" s="34">
        <v>121</v>
      </c>
      <c r="C1321" s="35">
        <v>17407</v>
      </c>
      <c r="D1321" s="31" t="s">
        <v>251</v>
      </c>
      <c r="E1321" s="36">
        <v>4318</v>
      </c>
      <c r="F1321" s="31" t="s">
        <v>1807</v>
      </c>
      <c r="G1321" s="1"/>
      <c r="H1321" s="1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</row>
    <row r="1322" spans="1:22" x14ac:dyDescent="0.25">
      <c r="A1322" t="str">
        <f t="shared" si="69"/>
        <v>17801</v>
      </c>
      <c r="B1322" s="33">
        <v>121</v>
      </c>
      <c r="C1322" t="str">
        <f t="shared" ref="C1322:C1385" si="71">"17001"</f>
        <v>17001</v>
      </c>
      <c r="D1322" t="s">
        <v>21</v>
      </c>
      <c r="E1322" s="33" t="str">
        <f>"2138"</f>
        <v>2138</v>
      </c>
      <c r="F1322" t="s">
        <v>22</v>
      </c>
      <c r="G1322" s="1"/>
      <c r="H1322" s="1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</row>
    <row r="1323" spans="1:22" x14ac:dyDescent="0.25">
      <c r="A1323" t="str">
        <f t="shared" si="69"/>
        <v>17801</v>
      </c>
      <c r="B1323" s="33">
        <v>121</v>
      </c>
      <c r="C1323" t="str">
        <f t="shared" si="71"/>
        <v>17001</v>
      </c>
      <c r="D1323" t="s">
        <v>21</v>
      </c>
      <c r="E1323" s="33" t="str">
        <f>"3774"</f>
        <v>3774</v>
      </c>
      <c r="F1323" t="s">
        <v>33</v>
      </c>
      <c r="G1323" s="1"/>
      <c r="H1323" s="1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</row>
    <row r="1324" spans="1:22" x14ac:dyDescent="0.25">
      <c r="A1324" t="str">
        <f t="shared" ref="A1324:A1387" si="72">"17801"</f>
        <v>17801</v>
      </c>
      <c r="B1324" s="33">
        <v>121</v>
      </c>
      <c r="C1324" t="str">
        <f t="shared" si="71"/>
        <v>17001</v>
      </c>
      <c r="D1324" t="s">
        <v>21</v>
      </c>
      <c r="E1324" s="33" t="str">
        <f>"3778"</f>
        <v>3778</v>
      </c>
      <c r="F1324" t="s">
        <v>2290</v>
      </c>
      <c r="G1324" s="1"/>
      <c r="H1324" s="1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</row>
    <row r="1325" spans="1:22" x14ac:dyDescent="0.25">
      <c r="A1325" t="str">
        <f t="shared" si="72"/>
        <v>17801</v>
      </c>
      <c r="B1325" s="33">
        <v>121</v>
      </c>
      <c r="C1325" t="str">
        <f t="shared" si="71"/>
        <v>17001</v>
      </c>
      <c r="D1325" t="s">
        <v>21</v>
      </c>
      <c r="E1325" s="33" t="str">
        <f>"2181"</f>
        <v>2181</v>
      </c>
      <c r="F1325" t="s">
        <v>41</v>
      </c>
      <c r="G1325" s="1"/>
      <c r="H1325" s="1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</row>
    <row r="1326" spans="1:22" x14ac:dyDescent="0.25">
      <c r="A1326" t="str">
        <f t="shared" si="72"/>
        <v>17801</v>
      </c>
      <c r="B1326" s="33">
        <v>121</v>
      </c>
      <c r="C1326" t="str">
        <f t="shared" si="71"/>
        <v>17001</v>
      </c>
      <c r="D1326" t="s">
        <v>21</v>
      </c>
      <c r="E1326" s="33" t="str">
        <f>"2730"</f>
        <v>2730</v>
      </c>
      <c r="F1326" t="s">
        <v>68</v>
      </c>
      <c r="G1326" s="1"/>
      <c r="H1326" s="1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</row>
    <row r="1327" spans="1:22" x14ac:dyDescent="0.25">
      <c r="A1327" t="str">
        <f t="shared" si="72"/>
        <v>17801</v>
      </c>
      <c r="B1327" s="33">
        <v>121</v>
      </c>
      <c r="C1327" t="str">
        <f t="shared" si="71"/>
        <v>17001</v>
      </c>
      <c r="D1327" t="s">
        <v>21</v>
      </c>
      <c r="E1327" s="33" t="str">
        <f>"3717"</f>
        <v>3717</v>
      </c>
      <c r="F1327" t="s">
        <v>99</v>
      </c>
      <c r="G1327" s="1"/>
      <c r="H1327" s="1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</row>
    <row r="1328" spans="1:22" x14ac:dyDescent="0.25">
      <c r="A1328" t="str">
        <f t="shared" si="72"/>
        <v>17801</v>
      </c>
      <c r="B1328" s="33">
        <v>121</v>
      </c>
      <c r="C1328" t="str">
        <f t="shared" si="71"/>
        <v>17001</v>
      </c>
      <c r="D1328" t="s">
        <v>21</v>
      </c>
      <c r="E1328" s="33" t="str">
        <f>"2307"</f>
        <v>2307</v>
      </c>
      <c r="F1328" t="s">
        <v>102</v>
      </c>
      <c r="G1328" s="1"/>
      <c r="H1328" s="1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</row>
    <row r="1329" spans="1:22" x14ac:dyDescent="0.25">
      <c r="A1329" t="str">
        <f t="shared" si="72"/>
        <v>17801</v>
      </c>
      <c r="B1329" s="33">
        <v>121</v>
      </c>
      <c r="C1329" t="str">
        <f t="shared" si="71"/>
        <v>17001</v>
      </c>
      <c r="D1329" t="s">
        <v>21</v>
      </c>
      <c r="E1329" s="33" t="str">
        <f>"2220"</f>
        <v>2220</v>
      </c>
      <c r="F1329" t="s">
        <v>107</v>
      </c>
      <c r="G1329" s="1"/>
      <c r="H1329" s="1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</row>
    <row r="1330" spans="1:22" x14ac:dyDescent="0.25">
      <c r="A1330" t="str">
        <f t="shared" si="72"/>
        <v>17801</v>
      </c>
      <c r="B1330" s="33">
        <v>121</v>
      </c>
      <c r="C1330" t="str">
        <f t="shared" si="71"/>
        <v>17001</v>
      </c>
      <c r="D1330" t="s">
        <v>21</v>
      </c>
      <c r="E1330" s="33" t="str">
        <f>"2070"</f>
        <v>2070</v>
      </c>
      <c r="F1330" t="s">
        <v>127</v>
      </c>
      <c r="G1330" s="1"/>
      <c r="H1330" s="1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</row>
    <row r="1331" spans="1:22" x14ac:dyDescent="0.25">
      <c r="A1331" t="str">
        <f t="shared" si="72"/>
        <v>17801</v>
      </c>
      <c r="B1331" s="33">
        <v>121</v>
      </c>
      <c r="C1331" t="str">
        <f t="shared" si="71"/>
        <v>17001</v>
      </c>
      <c r="D1331" t="s">
        <v>21</v>
      </c>
      <c r="E1331" s="33" t="str">
        <f>"5406"</f>
        <v>5406</v>
      </c>
      <c r="F1331" t="s">
        <v>198</v>
      </c>
      <c r="G1331" s="1"/>
      <c r="H1331" s="1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</row>
    <row r="1332" spans="1:22" x14ac:dyDescent="0.25">
      <c r="A1332" t="str">
        <f t="shared" si="72"/>
        <v>17801</v>
      </c>
      <c r="B1332" s="33">
        <v>121</v>
      </c>
      <c r="C1332" t="str">
        <f t="shared" si="71"/>
        <v>17001</v>
      </c>
      <c r="D1332" t="s">
        <v>21</v>
      </c>
      <c r="E1332" s="33" t="str">
        <f>"2209"</f>
        <v>2209</v>
      </c>
      <c r="F1332" t="s">
        <v>204</v>
      </c>
      <c r="G1332" s="1"/>
      <c r="H1332" s="1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</row>
    <row r="1333" spans="1:22" x14ac:dyDescent="0.25">
      <c r="A1333" t="str">
        <f t="shared" si="72"/>
        <v>17801</v>
      </c>
      <c r="B1333" s="33">
        <v>121</v>
      </c>
      <c r="C1333" t="str">
        <f t="shared" si="71"/>
        <v>17001</v>
      </c>
      <c r="D1333" t="s">
        <v>21</v>
      </c>
      <c r="E1333" s="33" t="str">
        <f>"2372"</f>
        <v>2372</v>
      </c>
      <c r="F1333" t="s">
        <v>216</v>
      </c>
      <c r="G1333" s="1"/>
      <c r="H1333" s="1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</row>
    <row r="1334" spans="1:22" x14ac:dyDescent="0.25">
      <c r="A1334" t="str">
        <f t="shared" si="72"/>
        <v>17801</v>
      </c>
      <c r="B1334" s="33">
        <v>121</v>
      </c>
      <c r="C1334" t="str">
        <f t="shared" si="71"/>
        <v>17001</v>
      </c>
      <c r="D1334" t="s">
        <v>21</v>
      </c>
      <c r="E1334" s="33" t="str">
        <f>"1751"</f>
        <v>1751</v>
      </c>
      <c r="F1334" t="s">
        <v>267</v>
      </c>
      <c r="G1334" s="1"/>
      <c r="H1334" s="1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</row>
    <row r="1335" spans="1:22" x14ac:dyDescent="0.25">
      <c r="A1335" t="str">
        <f t="shared" si="72"/>
        <v>17801</v>
      </c>
      <c r="B1335" s="33">
        <v>121</v>
      </c>
      <c r="C1335" t="str">
        <f t="shared" si="71"/>
        <v>17001</v>
      </c>
      <c r="D1335" t="s">
        <v>21</v>
      </c>
      <c r="E1335" s="33" t="str">
        <f>"5292"</f>
        <v>5292</v>
      </c>
      <c r="F1335" t="s">
        <v>273</v>
      </c>
      <c r="G1335" s="1"/>
      <c r="H1335" s="1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</row>
    <row r="1336" spans="1:22" x14ac:dyDescent="0.25">
      <c r="A1336" t="str">
        <f t="shared" si="72"/>
        <v>17801</v>
      </c>
      <c r="B1336" s="33">
        <v>121</v>
      </c>
      <c r="C1336" t="str">
        <f t="shared" si="71"/>
        <v>17001</v>
      </c>
      <c r="D1336" t="s">
        <v>21</v>
      </c>
      <c r="E1336" s="33" t="str">
        <f>"2838"</f>
        <v>2838</v>
      </c>
      <c r="F1336" t="s">
        <v>282</v>
      </c>
      <c r="G1336" s="1"/>
      <c r="H1336" s="1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</row>
    <row r="1337" spans="1:22" x14ac:dyDescent="0.25">
      <c r="A1337" t="str">
        <f t="shared" si="72"/>
        <v>17801</v>
      </c>
      <c r="B1337" s="33">
        <v>121</v>
      </c>
      <c r="C1337" t="str">
        <f t="shared" si="71"/>
        <v>17001</v>
      </c>
      <c r="D1337" t="s">
        <v>21</v>
      </c>
      <c r="E1337" s="33" t="str">
        <f>"5487"</f>
        <v>5487</v>
      </c>
      <c r="F1337" t="s">
        <v>288</v>
      </c>
      <c r="G1337" s="1"/>
      <c r="H1337" s="1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</row>
    <row r="1338" spans="1:22" x14ac:dyDescent="0.25">
      <c r="A1338" t="str">
        <f t="shared" si="72"/>
        <v>17801</v>
      </c>
      <c r="B1338" s="33">
        <v>121</v>
      </c>
      <c r="C1338" t="str">
        <f t="shared" si="71"/>
        <v>17001</v>
      </c>
      <c r="D1338" t="s">
        <v>21</v>
      </c>
      <c r="E1338" s="33" t="str">
        <f>"3096"</f>
        <v>3096</v>
      </c>
      <c r="F1338" t="s">
        <v>355</v>
      </c>
      <c r="G1338" s="1"/>
      <c r="H1338" s="1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</row>
    <row r="1339" spans="1:22" x14ac:dyDescent="0.25">
      <c r="A1339" t="str">
        <f t="shared" si="72"/>
        <v>17801</v>
      </c>
      <c r="B1339" s="33">
        <v>121</v>
      </c>
      <c r="C1339" t="str">
        <f t="shared" si="71"/>
        <v>17001</v>
      </c>
      <c r="D1339" t="s">
        <v>21</v>
      </c>
      <c r="E1339" s="33" t="str">
        <f>"2392"</f>
        <v>2392</v>
      </c>
      <c r="F1339" t="s">
        <v>375</v>
      </c>
      <c r="G1339" s="1"/>
      <c r="H1339" s="1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</row>
    <row r="1340" spans="1:22" x14ac:dyDescent="0.25">
      <c r="A1340" t="str">
        <f t="shared" si="72"/>
        <v>17801</v>
      </c>
      <c r="B1340" s="33">
        <v>121</v>
      </c>
      <c r="C1340" t="str">
        <f t="shared" si="71"/>
        <v>17001</v>
      </c>
      <c r="D1340" t="s">
        <v>21</v>
      </c>
      <c r="E1340" s="33" t="str">
        <f>"2199"</f>
        <v>2199</v>
      </c>
      <c r="F1340" t="s">
        <v>415</v>
      </c>
      <c r="G1340" s="1"/>
      <c r="H1340" s="1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</row>
    <row r="1341" spans="1:22" x14ac:dyDescent="0.25">
      <c r="A1341" t="str">
        <f t="shared" si="72"/>
        <v>17801</v>
      </c>
      <c r="B1341" s="33">
        <v>121</v>
      </c>
      <c r="C1341" t="str">
        <f t="shared" si="71"/>
        <v>17001</v>
      </c>
      <c r="D1341" t="s">
        <v>21</v>
      </c>
      <c r="E1341" s="33" t="str">
        <f>"2450"</f>
        <v>2450</v>
      </c>
      <c r="F1341" t="s">
        <v>467</v>
      </c>
      <c r="G1341" s="1"/>
      <c r="H1341" s="1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</row>
    <row r="1342" spans="1:22" x14ac:dyDescent="0.25">
      <c r="A1342" t="str">
        <f t="shared" si="72"/>
        <v>17801</v>
      </c>
      <c r="B1342" s="33">
        <v>121</v>
      </c>
      <c r="C1342" t="str">
        <f t="shared" si="71"/>
        <v>17001</v>
      </c>
      <c r="D1342" t="s">
        <v>21</v>
      </c>
      <c r="E1342" s="33" t="str">
        <f>"2839"</f>
        <v>2839</v>
      </c>
      <c r="F1342" t="s">
        <v>473</v>
      </c>
      <c r="G1342" s="1"/>
      <c r="H1342" s="1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</row>
    <row r="1343" spans="1:22" x14ac:dyDescent="0.25">
      <c r="A1343" t="str">
        <f t="shared" si="72"/>
        <v>17801</v>
      </c>
      <c r="B1343" s="33">
        <v>121</v>
      </c>
      <c r="C1343" t="str">
        <f t="shared" si="71"/>
        <v>17001</v>
      </c>
      <c r="D1343" t="s">
        <v>21</v>
      </c>
      <c r="E1343" s="33" t="str">
        <f>"3803"</f>
        <v>3803</v>
      </c>
      <c r="F1343" t="s">
        <v>484</v>
      </c>
      <c r="G1343" s="1"/>
      <c r="H1343" s="1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</row>
    <row r="1344" spans="1:22" x14ac:dyDescent="0.25">
      <c r="A1344" t="str">
        <f t="shared" si="72"/>
        <v>17801</v>
      </c>
      <c r="B1344" s="33">
        <v>121</v>
      </c>
      <c r="C1344" t="str">
        <f t="shared" si="71"/>
        <v>17001</v>
      </c>
      <c r="D1344" t="s">
        <v>21</v>
      </c>
      <c r="E1344" s="33" t="str">
        <f>"5488"</f>
        <v>5488</v>
      </c>
      <c r="F1344" t="s">
        <v>487</v>
      </c>
      <c r="G1344" s="1"/>
      <c r="H1344" s="1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</row>
    <row r="1345" spans="1:22" x14ac:dyDescent="0.25">
      <c r="A1345" t="str">
        <f t="shared" si="72"/>
        <v>17801</v>
      </c>
      <c r="B1345" s="33">
        <v>121</v>
      </c>
      <c r="C1345" t="str">
        <f t="shared" si="71"/>
        <v>17001</v>
      </c>
      <c r="D1345" t="s">
        <v>21</v>
      </c>
      <c r="E1345" s="33" t="str">
        <f>"2321"</f>
        <v>2321</v>
      </c>
      <c r="F1345" t="s">
        <v>518</v>
      </c>
      <c r="G1345" s="1"/>
      <c r="H1345" s="1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</row>
    <row r="1346" spans="1:22" x14ac:dyDescent="0.25">
      <c r="A1346" t="str">
        <f t="shared" si="72"/>
        <v>17801</v>
      </c>
      <c r="B1346" s="33">
        <v>121</v>
      </c>
      <c r="C1346" t="str">
        <f t="shared" si="71"/>
        <v>17001</v>
      </c>
      <c r="D1346" t="s">
        <v>21</v>
      </c>
      <c r="E1346" s="33" t="str">
        <f>"2729"</f>
        <v>2729</v>
      </c>
      <c r="F1346" t="s">
        <v>547</v>
      </c>
      <c r="G1346" s="1"/>
      <c r="H1346" s="1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</row>
    <row r="1347" spans="1:22" x14ac:dyDescent="0.25">
      <c r="A1347" t="str">
        <f t="shared" si="72"/>
        <v>17801</v>
      </c>
      <c r="B1347" s="33">
        <v>121</v>
      </c>
      <c r="C1347" t="str">
        <f t="shared" si="71"/>
        <v>17001</v>
      </c>
      <c r="D1347" t="s">
        <v>21</v>
      </c>
      <c r="E1347" s="33" t="str">
        <f>"2118"</f>
        <v>2118</v>
      </c>
      <c r="F1347" t="s">
        <v>579</v>
      </c>
      <c r="G1347" s="1"/>
      <c r="H1347" s="1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</row>
    <row r="1348" spans="1:22" x14ac:dyDescent="0.25">
      <c r="A1348" t="str">
        <f t="shared" si="72"/>
        <v>17801</v>
      </c>
      <c r="B1348" s="33">
        <v>121</v>
      </c>
      <c r="C1348" t="str">
        <f t="shared" si="71"/>
        <v>17001</v>
      </c>
      <c r="D1348" t="s">
        <v>21</v>
      </c>
      <c r="E1348" s="33" t="str">
        <f>"3518"</f>
        <v>3518</v>
      </c>
      <c r="F1348" t="s">
        <v>613</v>
      </c>
      <c r="G1348" s="1"/>
      <c r="H1348" s="1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</row>
    <row r="1349" spans="1:22" x14ac:dyDescent="0.25">
      <c r="A1349" t="str">
        <f t="shared" si="72"/>
        <v>17801</v>
      </c>
      <c r="B1349" s="33">
        <v>121</v>
      </c>
      <c r="C1349" t="str">
        <f t="shared" si="71"/>
        <v>17001</v>
      </c>
      <c r="D1349" t="s">
        <v>21</v>
      </c>
      <c r="E1349" s="33" t="str">
        <f>"2182"</f>
        <v>2182</v>
      </c>
      <c r="F1349" t="s">
        <v>662</v>
      </c>
      <c r="G1349" s="1"/>
      <c r="H1349" s="1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</row>
    <row r="1350" spans="1:22" x14ac:dyDescent="0.25">
      <c r="A1350" t="str">
        <f t="shared" si="72"/>
        <v>17801</v>
      </c>
      <c r="B1350" s="33">
        <v>121</v>
      </c>
      <c r="C1350" t="str">
        <f t="shared" si="71"/>
        <v>17001</v>
      </c>
      <c r="D1350" t="s">
        <v>21</v>
      </c>
      <c r="E1350" s="33" t="str">
        <f>"2090"</f>
        <v>2090</v>
      </c>
      <c r="F1350" t="s">
        <v>665</v>
      </c>
      <c r="G1350" s="1"/>
      <c r="H1350" s="1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</row>
    <row r="1351" spans="1:22" x14ac:dyDescent="0.25">
      <c r="A1351" t="str">
        <f t="shared" si="72"/>
        <v>17801</v>
      </c>
      <c r="B1351" s="33">
        <v>121</v>
      </c>
      <c r="C1351" t="str">
        <f t="shared" si="71"/>
        <v>17001</v>
      </c>
      <c r="D1351" t="s">
        <v>21</v>
      </c>
      <c r="E1351" s="33" t="str">
        <f>"2306"</f>
        <v>2306</v>
      </c>
      <c r="F1351" t="s">
        <v>686</v>
      </c>
      <c r="G1351" s="1"/>
      <c r="H1351" s="1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</row>
    <row r="1352" spans="1:22" x14ac:dyDescent="0.25">
      <c r="A1352" t="str">
        <f t="shared" si="72"/>
        <v>17801</v>
      </c>
      <c r="B1352" s="33">
        <v>121</v>
      </c>
      <c r="C1352" t="str">
        <f t="shared" si="71"/>
        <v>17001</v>
      </c>
      <c r="D1352" t="s">
        <v>21</v>
      </c>
      <c r="E1352" s="33" t="str">
        <f>"2139"</f>
        <v>2139</v>
      </c>
      <c r="F1352" t="s">
        <v>692</v>
      </c>
      <c r="G1352" s="1"/>
      <c r="H1352" s="1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</row>
    <row r="1353" spans="1:22" x14ac:dyDescent="0.25">
      <c r="A1353" t="str">
        <f t="shared" si="72"/>
        <v>17801</v>
      </c>
      <c r="B1353" s="33">
        <v>121</v>
      </c>
      <c r="C1353" t="str">
        <f t="shared" si="71"/>
        <v>17001</v>
      </c>
      <c r="D1353" t="s">
        <v>21</v>
      </c>
      <c r="E1353" s="33" t="str">
        <f>"3429"</f>
        <v>3429</v>
      </c>
      <c r="F1353" t="s">
        <v>695</v>
      </c>
      <c r="G1353" s="1"/>
      <c r="H1353" s="1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</row>
    <row r="1354" spans="1:22" x14ac:dyDescent="0.25">
      <c r="A1354" t="str">
        <f t="shared" si="72"/>
        <v>17801</v>
      </c>
      <c r="B1354" s="33">
        <v>121</v>
      </c>
      <c r="C1354" t="str">
        <f t="shared" si="71"/>
        <v>17001</v>
      </c>
      <c r="D1354" t="s">
        <v>21</v>
      </c>
      <c r="E1354" s="33" t="str">
        <f>"3378"</f>
        <v>3378</v>
      </c>
      <c r="F1354" t="s">
        <v>724</v>
      </c>
      <c r="G1354" s="1"/>
      <c r="H1354" s="1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</row>
    <row r="1355" spans="1:22" x14ac:dyDescent="0.25">
      <c r="A1355" t="str">
        <f t="shared" si="72"/>
        <v>17801</v>
      </c>
      <c r="B1355" s="33">
        <v>121</v>
      </c>
      <c r="C1355" t="str">
        <f t="shared" si="71"/>
        <v>17001</v>
      </c>
      <c r="D1355" t="s">
        <v>21</v>
      </c>
      <c r="E1355" s="33" t="str">
        <f>"2061"</f>
        <v>2061</v>
      </c>
      <c r="F1355" t="s">
        <v>748</v>
      </c>
      <c r="G1355" s="1"/>
      <c r="H1355" s="1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</row>
    <row r="1356" spans="1:22" x14ac:dyDescent="0.25">
      <c r="A1356" t="str">
        <f t="shared" si="72"/>
        <v>17801</v>
      </c>
      <c r="B1356" s="33">
        <v>121</v>
      </c>
      <c r="C1356" t="str">
        <f t="shared" si="71"/>
        <v>17001</v>
      </c>
      <c r="D1356" t="s">
        <v>21</v>
      </c>
      <c r="E1356" s="33" t="str">
        <f>"2123"</f>
        <v>2123</v>
      </c>
      <c r="F1356" t="s">
        <v>753</v>
      </c>
      <c r="G1356" s="1"/>
      <c r="H1356" s="1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</row>
    <row r="1357" spans="1:22" x14ac:dyDescent="0.25">
      <c r="A1357" t="str">
        <f t="shared" si="72"/>
        <v>17801</v>
      </c>
      <c r="B1357" s="33">
        <v>121</v>
      </c>
      <c r="C1357" t="str">
        <f t="shared" si="71"/>
        <v>17001</v>
      </c>
      <c r="D1357" t="s">
        <v>21</v>
      </c>
      <c r="E1357" s="33" t="str">
        <f>"2371"</f>
        <v>2371</v>
      </c>
      <c r="F1357" t="s">
        <v>766</v>
      </c>
      <c r="G1357" s="1"/>
      <c r="H1357" s="1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</row>
    <row r="1358" spans="1:22" x14ac:dyDescent="0.25">
      <c r="A1358" t="str">
        <f t="shared" si="72"/>
        <v>17801</v>
      </c>
      <c r="B1358" s="33">
        <v>121</v>
      </c>
      <c r="C1358" t="str">
        <f t="shared" si="71"/>
        <v>17001</v>
      </c>
      <c r="D1358" t="s">
        <v>21</v>
      </c>
      <c r="E1358" s="33" t="str">
        <f>"4248"</f>
        <v>4248</v>
      </c>
      <c r="F1358" t="s">
        <v>785</v>
      </c>
      <c r="G1358" s="1"/>
      <c r="H1358" s="1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</row>
    <row r="1359" spans="1:22" x14ac:dyDescent="0.25">
      <c r="A1359" t="str">
        <f t="shared" si="72"/>
        <v>17801</v>
      </c>
      <c r="B1359" s="33">
        <v>121</v>
      </c>
      <c r="C1359" t="str">
        <f t="shared" si="71"/>
        <v>17001</v>
      </c>
      <c r="D1359" t="s">
        <v>21</v>
      </c>
      <c r="E1359" s="33" t="str">
        <f>"5175"</f>
        <v>5175</v>
      </c>
      <c r="F1359" t="s">
        <v>789</v>
      </c>
      <c r="G1359" s="1"/>
      <c r="H1359" s="1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</row>
    <row r="1360" spans="1:22" x14ac:dyDescent="0.25">
      <c r="A1360" t="str">
        <f t="shared" si="72"/>
        <v>17801</v>
      </c>
      <c r="B1360" s="33">
        <v>121</v>
      </c>
      <c r="C1360" t="str">
        <f t="shared" si="71"/>
        <v>17001</v>
      </c>
      <c r="D1360" t="s">
        <v>21</v>
      </c>
      <c r="E1360" s="33" t="str">
        <f>"2269"</f>
        <v>2269</v>
      </c>
      <c r="F1360" t="s">
        <v>811</v>
      </c>
      <c r="G1360" s="1"/>
      <c r="H1360" s="1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</row>
    <row r="1361" spans="1:22" x14ac:dyDescent="0.25">
      <c r="A1361" t="str">
        <f t="shared" si="72"/>
        <v>17801</v>
      </c>
      <c r="B1361" s="33">
        <v>121</v>
      </c>
      <c r="C1361" t="str">
        <f t="shared" si="71"/>
        <v>17001</v>
      </c>
      <c r="D1361" t="s">
        <v>21</v>
      </c>
      <c r="E1361" s="33" t="str">
        <f>"3276"</f>
        <v>3276</v>
      </c>
      <c r="F1361" t="s">
        <v>869</v>
      </c>
      <c r="G1361" s="1"/>
      <c r="H1361" s="1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</row>
    <row r="1362" spans="1:22" x14ac:dyDescent="0.25">
      <c r="A1362" t="str">
        <f t="shared" si="72"/>
        <v>17801</v>
      </c>
      <c r="B1362" s="33">
        <v>121</v>
      </c>
      <c r="C1362" t="str">
        <f t="shared" si="71"/>
        <v>17001</v>
      </c>
      <c r="D1362" t="s">
        <v>21</v>
      </c>
      <c r="E1362" s="33" t="str">
        <f>"3496"</f>
        <v>3496</v>
      </c>
      <c r="F1362" t="s">
        <v>1998</v>
      </c>
      <c r="G1362" s="1"/>
      <c r="H1362" s="1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</row>
    <row r="1363" spans="1:22" x14ac:dyDescent="0.25">
      <c r="A1363" t="str">
        <f t="shared" si="72"/>
        <v>17801</v>
      </c>
      <c r="B1363" s="33">
        <v>121</v>
      </c>
      <c r="C1363" t="str">
        <f t="shared" si="71"/>
        <v>17001</v>
      </c>
      <c r="D1363" t="s">
        <v>21</v>
      </c>
      <c r="E1363" s="33" t="str">
        <f>"1635"</f>
        <v>1635</v>
      </c>
      <c r="F1363" t="s">
        <v>870</v>
      </c>
      <c r="G1363" s="1"/>
      <c r="H1363" s="1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</row>
    <row r="1364" spans="1:22" x14ac:dyDescent="0.25">
      <c r="A1364" t="str">
        <f t="shared" si="72"/>
        <v>17801</v>
      </c>
      <c r="B1364" s="33">
        <v>121</v>
      </c>
      <c r="C1364" t="str">
        <f t="shared" si="71"/>
        <v>17001</v>
      </c>
      <c r="D1364" t="s">
        <v>21</v>
      </c>
      <c r="E1364" s="33" t="str">
        <f>"5351"</f>
        <v>5351</v>
      </c>
      <c r="F1364" t="s">
        <v>890</v>
      </c>
      <c r="G1364" s="1"/>
      <c r="H1364" s="1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</row>
    <row r="1365" spans="1:22" x14ac:dyDescent="0.25">
      <c r="A1365" t="str">
        <f t="shared" si="72"/>
        <v>17801</v>
      </c>
      <c r="B1365" s="33">
        <v>121</v>
      </c>
      <c r="C1365" t="str">
        <f t="shared" si="71"/>
        <v>17001</v>
      </c>
      <c r="D1365" t="s">
        <v>21</v>
      </c>
      <c r="E1365" s="33" t="str">
        <f>"2063"</f>
        <v>2063</v>
      </c>
      <c r="F1365" t="s">
        <v>905</v>
      </c>
      <c r="G1365" s="1"/>
      <c r="H1365" s="1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</row>
    <row r="1366" spans="1:22" x14ac:dyDescent="0.25">
      <c r="A1366" t="str">
        <f t="shared" si="72"/>
        <v>17801</v>
      </c>
      <c r="B1366" s="33">
        <v>121</v>
      </c>
      <c r="C1366" t="str">
        <f t="shared" si="71"/>
        <v>17001</v>
      </c>
      <c r="D1366" t="s">
        <v>21</v>
      </c>
      <c r="E1366" s="33" t="str">
        <f>"2143"</f>
        <v>2143</v>
      </c>
      <c r="F1366" t="s">
        <v>906</v>
      </c>
      <c r="G1366" s="1"/>
      <c r="H1366" s="1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</row>
    <row r="1367" spans="1:22" x14ac:dyDescent="0.25">
      <c r="A1367" t="str">
        <f t="shared" si="72"/>
        <v>17801</v>
      </c>
      <c r="B1367" s="33">
        <v>121</v>
      </c>
      <c r="C1367" t="str">
        <f t="shared" si="71"/>
        <v>17001</v>
      </c>
      <c r="D1367" t="s">
        <v>21</v>
      </c>
      <c r="E1367" s="33" t="str">
        <f>"2975"</f>
        <v>2975</v>
      </c>
      <c r="F1367" t="s">
        <v>908</v>
      </c>
      <c r="G1367" s="1"/>
      <c r="H1367" s="1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</row>
    <row r="1368" spans="1:22" x14ac:dyDescent="0.25">
      <c r="A1368" t="str">
        <f t="shared" si="72"/>
        <v>17801</v>
      </c>
      <c r="B1368" s="33">
        <v>121</v>
      </c>
      <c r="C1368" t="str">
        <f t="shared" si="71"/>
        <v>17001</v>
      </c>
      <c r="D1368" t="s">
        <v>21</v>
      </c>
      <c r="E1368" s="33" t="str">
        <f>"2081"</f>
        <v>2081</v>
      </c>
      <c r="F1368" t="s">
        <v>911</v>
      </c>
      <c r="G1368" s="1"/>
      <c r="H1368" s="1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</row>
    <row r="1369" spans="1:22" x14ac:dyDescent="0.25">
      <c r="A1369" t="str">
        <f t="shared" si="72"/>
        <v>17801</v>
      </c>
      <c r="B1369" s="33">
        <v>121</v>
      </c>
      <c r="C1369" t="str">
        <f t="shared" si="71"/>
        <v>17001</v>
      </c>
      <c r="D1369" t="s">
        <v>21</v>
      </c>
      <c r="E1369" s="33" t="str">
        <f>"3478"</f>
        <v>3478</v>
      </c>
      <c r="F1369" t="s">
        <v>949</v>
      </c>
      <c r="G1369" s="1"/>
      <c r="H1369" s="1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</row>
    <row r="1370" spans="1:22" x14ac:dyDescent="0.25">
      <c r="A1370" t="str">
        <f t="shared" si="72"/>
        <v>17801</v>
      </c>
      <c r="B1370" s="33">
        <v>121</v>
      </c>
      <c r="C1370" t="str">
        <f t="shared" si="71"/>
        <v>17001</v>
      </c>
      <c r="D1370" t="s">
        <v>21</v>
      </c>
      <c r="E1370" s="33" t="str">
        <f>"2733"</f>
        <v>2733</v>
      </c>
      <c r="F1370" t="s">
        <v>983</v>
      </c>
      <c r="G1370" s="1"/>
      <c r="H1370" s="1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</row>
    <row r="1371" spans="1:22" x14ac:dyDescent="0.25">
      <c r="A1371" t="str">
        <f t="shared" si="72"/>
        <v>17801</v>
      </c>
      <c r="B1371" s="33">
        <v>121</v>
      </c>
      <c r="C1371" t="str">
        <f t="shared" si="71"/>
        <v>17001</v>
      </c>
      <c r="D1371" t="s">
        <v>21</v>
      </c>
      <c r="E1371" s="33" t="str">
        <f>"2437"</f>
        <v>2437</v>
      </c>
      <c r="F1371" t="s">
        <v>1020</v>
      </c>
      <c r="G1371" s="1"/>
      <c r="H1371" s="1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</row>
    <row r="1372" spans="1:22" x14ac:dyDescent="0.25">
      <c r="A1372" t="str">
        <f t="shared" si="72"/>
        <v>17801</v>
      </c>
      <c r="B1372" s="33">
        <v>121</v>
      </c>
      <c r="C1372" t="str">
        <f t="shared" si="71"/>
        <v>17001</v>
      </c>
      <c r="D1372" t="s">
        <v>21</v>
      </c>
      <c r="E1372" s="33" t="str">
        <f>"2183"</f>
        <v>2183</v>
      </c>
      <c r="F1372" t="s">
        <v>1022</v>
      </c>
      <c r="G1372" s="1"/>
      <c r="H1372" s="1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</row>
    <row r="1373" spans="1:22" x14ac:dyDescent="0.25">
      <c r="A1373" t="str">
        <f t="shared" si="72"/>
        <v>17801</v>
      </c>
      <c r="B1373" s="33">
        <v>121</v>
      </c>
      <c r="C1373" t="str">
        <f t="shared" si="71"/>
        <v>17001</v>
      </c>
      <c r="D1373" t="s">
        <v>21</v>
      </c>
      <c r="E1373" s="33" t="str">
        <f>"2121"</f>
        <v>2121</v>
      </c>
      <c r="F1373" t="s">
        <v>1031</v>
      </c>
      <c r="G1373" s="1"/>
      <c r="H1373" s="1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</row>
    <row r="1374" spans="1:22" x14ac:dyDescent="0.25">
      <c r="A1374" t="str">
        <f t="shared" si="72"/>
        <v>17801</v>
      </c>
      <c r="B1374" s="33">
        <v>121</v>
      </c>
      <c r="C1374" t="str">
        <f t="shared" si="71"/>
        <v>17001</v>
      </c>
      <c r="D1374" t="s">
        <v>21</v>
      </c>
      <c r="E1374" s="33" t="str">
        <f>"3874"</f>
        <v>3874</v>
      </c>
      <c r="F1374" t="s">
        <v>1052</v>
      </c>
      <c r="G1374" s="1"/>
      <c r="H1374" s="1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</row>
    <row r="1375" spans="1:22" x14ac:dyDescent="0.25">
      <c r="A1375" t="str">
        <f t="shared" si="72"/>
        <v>17801</v>
      </c>
      <c r="B1375" s="33">
        <v>121</v>
      </c>
      <c r="C1375" t="str">
        <f t="shared" si="71"/>
        <v>17001</v>
      </c>
      <c r="D1375" t="s">
        <v>21</v>
      </c>
      <c r="E1375" s="33" t="str">
        <f>"5566"</f>
        <v>5566</v>
      </c>
      <c r="F1375" t="s">
        <v>1059</v>
      </c>
      <c r="G1375" s="1"/>
      <c r="H1375" s="1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</row>
    <row r="1376" spans="1:22" x14ac:dyDescent="0.25">
      <c r="A1376" t="str">
        <f t="shared" si="72"/>
        <v>17801</v>
      </c>
      <c r="B1376" s="33">
        <v>121</v>
      </c>
      <c r="C1376" t="str">
        <f t="shared" si="71"/>
        <v>17001</v>
      </c>
      <c r="D1376" t="s">
        <v>21</v>
      </c>
      <c r="E1376" s="33" t="str">
        <f>"5276"</f>
        <v>5276</v>
      </c>
      <c r="F1376" t="s">
        <v>1083</v>
      </c>
      <c r="G1376" s="1"/>
      <c r="H1376" s="1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</row>
    <row r="1377" spans="1:22" x14ac:dyDescent="0.25">
      <c r="A1377" t="str">
        <f t="shared" si="72"/>
        <v>17801</v>
      </c>
      <c r="B1377" s="33">
        <v>121</v>
      </c>
      <c r="C1377" t="str">
        <f t="shared" si="71"/>
        <v>17001</v>
      </c>
      <c r="D1377" t="s">
        <v>21</v>
      </c>
      <c r="E1377" s="33" t="str">
        <f>"3714"</f>
        <v>3714</v>
      </c>
      <c r="F1377" t="s">
        <v>1086</v>
      </c>
      <c r="G1377" s="1"/>
      <c r="H1377" s="1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</row>
    <row r="1378" spans="1:22" x14ac:dyDescent="0.25">
      <c r="A1378" t="str">
        <f t="shared" si="72"/>
        <v>17801</v>
      </c>
      <c r="B1378" s="33">
        <v>121</v>
      </c>
      <c r="C1378" t="str">
        <f t="shared" si="71"/>
        <v>17001</v>
      </c>
      <c r="D1378" t="s">
        <v>21</v>
      </c>
      <c r="E1378" s="33" t="str">
        <f>"2462"</f>
        <v>2462</v>
      </c>
      <c r="F1378" t="s">
        <v>1088</v>
      </c>
      <c r="G1378" s="1"/>
      <c r="H1378" s="1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</row>
    <row r="1379" spans="1:22" x14ac:dyDescent="0.25">
      <c r="A1379" t="str">
        <f t="shared" si="72"/>
        <v>17801</v>
      </c>
      <c r="B1379" s="33">
        <v>121</v>
      </c>
      <c r="C1379" t="str">
        <f t="shared" si="71"/>
        <v>17001</v>
      </c>
      <c r="D1379" t="s">
        <v>21</v>
      </c>
      <c r="E1379" s="33" t="str">
        <f>"2435"</f>
        <v>2435</v>
      </c>
      <c r="F1379" t="s">
        <v>1105</v>
      </c>
      <c r="G1379" s="1"/>
      <c r="H1379" s="1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</row>
    <row r="1380" spans="1:22" x14ac:dyDescent="0.25">
      <c r="A1380" t="str">
        <f t="shared" si="72"/>
        <v>17801</v>
      </c>
      <c r="B1380" s="33">
        <v>121</v>
      </c>
      <c r="C1380" t="str">
        <f t="shared" si="71"/>
        <v>17001</v>
      </c>
      <c r="D1380" t="s">
        <v>21</v>
      </c>
      <c r="E1380" s="33" t="str">
        <f>"2069"</f>
        <v>2069</v>
      </c>
      <c r="F1380" t="s">
        <v>1107</v>
      </c>
      <c r="G1380" s="1"/>
      <c r="H1380" s="1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</row>
    <row r="1381" spans="1:22" x14ac:dyDescent="0.25">
      <c r="A1381" t="str">
        <f t="shared" si="72"/>
        <v>17801</v>
      </c>
      <c r="B1381" s="33">
        <v>121</v>
      </c>
      <c r="C1381" t="str">
        <f t="shared" si="71"/>
        <v>17001</v>
      </c>
      <c r="D1381" t="s">
        <v>21</v>
      </c>
      <c r="E1381" s="33" t="str">
        <f>"5565"</f>
        <v>5565</v>
      </c>
      <c r="F1381" t="s">
        <v>2291</v>
      </c>
      <c r="G1381" s="1"/>
      <c r="H1381" s="1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</row>
    <row r="1382" spans="1:22" x14ac:dyDescent="0.25">
      <c r="A1382" t="str">
        <f t="shared" si="72"/>
        <v>17801</v>
      </c>
      <c r="B1382" s="33">
        <v>121</v>
      </c>
      <c r="C1382" t="str">
        <f t="shared" si="71"/>
        <v>17001</v>
      </c>
      <c r="D1382" t="s">
        <v>21</v>
      </c>
      <c r="E1382" s="33" t="str">
        <f>"2353"</f>
        <v>2353</v>
      </c>
      <c r="F1382" t="s">
        <v>1116</v>
      </c>
      <c r="G1382" s="1"/>
      <c r="H1382" s="1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</row>
    <row r="1383" spans="1:22" x14ac:dyDescent="0.25">
      <c r="A1383" t="str">
        <f t="shared" si="72"/>
        <v>17801</v>
      </c>
      <c r="B1383" s="33">
        <v>121</v>
      </c>
      <c r="C1383" t="str">
        <f t="shared" si="71"/>
        <v>17001</v>
      </c>
      <c r="D1383" t="s">
        <v>21</v>
      </c>
      <c r="E1383" s="33" t="str">
        <f>"2089"</f>
        <v>2089</v>
      </c>
      <c r="F1383" t="s">
        <v>1135</v>
      </c>
      <c r="G1383" s="1"/>
      <c r="H1383" s="1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</row>
    <row r="1384" spans="1:22" x14ac:dyDescent="0.25">
      <c r="A1384" t="str">
        <f t="shared" si="72"/>
        <v>17801</v>
      </c>
      <c r="B1384" s="33">
        <v>121</v>
      </c>
      <c r="C1384" t="str">
        <f t="shared" si="71"/>
        <v>17001</v>
      </c>
      <c r="D1384" t="s">
        <v>21</v>
      </c>
      <c r="E1384" s="33" t="str">
        <f>"3517"</f>
        <v>3517</v>
      </c>
      <c r="F1384" t="s">
        <v>1153</v>
      </c>
      <c r="G1384" s="1"/>
      <c r="H1384" s="1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</row>
    <row r="1385" spans="1:22" x14ac:dyDescent="0.25">
      <c r="A1385" t="str">
        <f t="shared" si="72"/>
        <v>17801</v>
      </c>
      <c r="B1385" s="33">
        <v>121</v>
      </c>
      <c r="C1385" t="str">
        <f t="shared" si="71"/>
        <v>17001</v>
      </c>
      <c r="D1385" t="s">
        <v>21</v>
      </c>
      <c r="E1385" s="33" t="str">
        <f>"5203"</f>
        <v>5203</v>
      </c>
      <c r="F1385" t="s">
        <v>1156</v>
      </c>
      <c r="G1385" s="1"/>
      <c r="H1385" s="1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</row>
    <row r="1386" spans="1:22" x14ac:dyDescent="0.25">
      <c r="A1386" t="str">
        <f t="shared" si="72"/>
        <v>17801</v>
      </c>
      <c r="B1386" s="33">
        <v>121</v>
      </c>
      <c r="C1386" t="str">
        <f t="shared" ref="C1386:C1428" si="73">"17001"</f>
        <v>17001</v>
      </c>
      <c r="D1386" t="s">
        <v>21</v>
      </c>
      <c r="E1386" s="33" t="str">
        <f>"2201"</f>
        <v>2201</v>
      </c>
      <c r="F1386" t="s">
        <v>1158</v>
      </c>
      <c r="G1386" s="1"/>
      <c r="H1386" s="1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</row>
    <row r="1387" spans="1:22" x14ac:dyDescent="0.25">
      <c r="A1387" t="str">
        <f t="shared" si="72"/>
        <v>17801</v>
      </c>
      <c r="B1387" s="33">
        <v>121</v>
      </c>
      <c r="C1387" t="str">
        <f t="shared" si="73"/>
        <v>17001</v>
      </c>
      <c r="D1387" t="s">
        <v>21</v>
      </c>
      <c r="E1387" s="33" t="str">
        <f>"5485"</f>
        <v>5485</v>
      </c>
      <c r="F1387" t="s">
        <v>1175</v>
      </c>
      <c r="G1387" s="1"/>
      <c r="H1387" s="1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</row>
    <row r="1388" spans="1:22" x14ac:dyDescent="0.25">
      <c r="A1388" t="str">
        <f t="shared" ref="A1388:A1451" si="74">"17801"</f>
        <v>17801</v>
      </c>
      <c r="B1388" s="33">
        <v>121</v>
      </c>
      <c r="C1388" t="str">
        <f t="shared" si="73"/>
        <v>17001</v>
      </c>
      <c r="D1388" t="s">
        <v>21</v>
      </c>
      <c r="E1388" s="33" t="str">
        <f>"3095"</f>
        <v>3095</v>
      </c>
      <c r="F1388" t="s">
        <v>1183</v>
      </c>
      <c r="G1388" s="1"/>
      <c r="H1388" s="1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</row>
    <row r="1389" spans="1:22" x14ac:dyDescent="0.25">
      <c r="A1389" t="str">
        <f t="shared" si="74"/>
        <v>17801</v>
      </c>
      <c r="B1389" s="33">
        <v>121</v>
      </c>
      <c r="C1389" t="str">
        <f t="shared" si="73"/>
        <v>17001</v>
      </c>
      <c r="D1389" t="s">
        <v>21</v>
      </c>
      <c r="E1389" s="33" t="str">
        <f>"1547"</f>
        <v>1547</v>
      </c>
      <c r="F1389" t="s">
        <v>1198</v>
      </c>
      <c r="G1389" s="1"/>
      <c r="H1389" s="1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</row>
    <row r="1390" spans="1:22" x14ac:dyDescent="0.25">
      <c r="A1390" t="str">
        <f t="shared" si="74"/>
        <v>17801</v>
      </c>
      <c r="B1390" s="33">
        <v>121</v>
      </c>
      <c r="C1390" t="str">
        <f t="shared" si="73"/>
        <v>17001</v>
      </c>
      <c r="D1390" t="s">
        <v>21</v>
      </c>
      <c r="E1390" s="33" t="str">
        <f>"2322"</f>
        <v>2322</v>
      </c>
      <c r="F1390" t="s">
        <v>1219</v>
      </c>
      <c r="G1390" s="1"/>
      <c r="H1390" s="1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</row>
    <row r="1391" spans="1:22" x14ac:dyDescent="0.25">
      <c r="A1391" t="str">
        <f t="shared" si="74"/>
        <v>17801</v>
      </c>
      <c r="B1391" s="33">
        <v>121</v>
      </c>
      <c r="C1391" t="str">
        <f t="shared" si="73"/>
        <v>17001</v>
      </c>
      <c r="D1391" t="s">
        <v>21</v>
      </c>
      <c r="E1391" s="33" t="str">
        <f>"3479"</f>
        <v>3479</v>
      </c>
      <c r="F1391" t="s">
        <v>1280</v>
      </c>
      <c r="G1391" s="1"/>
      <c r="H1391" s="1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</row>
    <row r="1392" spans="1:22" x14ac:dyDescent="0.25">
      <c r="A1392" t="str">
        <f t="shared" si="74"/>
        <v>17801</v>
      </c>
      <c r="B1392" s="33">
        <v>121</v>
      </c>
      <c r="C1392" t="str">
        <f t="shared" si="73"/>
        <v>17001</v>
      </c>
      <c r="D1392" t="s">
        <v>21</v>
      </c>
      <c r="E1392" s="33" t="str">
        <f>"3218"</f>
        <v>3218</v>
      </c>
      <c r="F1392" t="s">
        <v>1301</v>
      </c>
      <c r="G1392" s="1"/>
      <c r="H1392" s="1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</row>
    <row r="1393" spans="1:22" x14ac:dyDescent="0.25">
      <c r="A1393" t="str">
        <f t="shared" si="74"/>
        <v>17801</v>
      </c>
      <c r="B1393" s="33">
        <v>121</v>
      </c>
      <c r="C1393" t="str">
        <f t="shared" si="73"/>
        <v>17001</v>
      </c>
      <c r="D1393" t="s">
        <v>21</v>
      </c>
      <c r="E1393" s="33" t="str">
        <f>"3027"</f>
        <v>3027</v>
      </c>
      <c r="F1393" t="s">
        <v>1320</v>
      </c>
      <c r="G1393" s="1"/>
      <c r="H1393" s="1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</row>
    <row r="1394" spans="1:22" x14ac:dyDescent="0.25">
      <c r="A1394" t="str">
        <f t="shared" si="74"/>
        <v>17801</v>
      </c>
      <c r="B1394" s="33">
        <v>121</v>
      </c>
      <c r="C1394" t="str">
        <f t="shared" si="73"/>
        <v>17001</v>
      </c>
      <c r="D1394" t="s">
        <v>21</v>
      </c>
      <c r="E1394" s="33" t="str">
        <f>"3868"</f>
        <v>3868</v>
      </c>
      <c r="F1394" t="s">
        <v>1332</v>
      </c>
      <c r="G1394" s="1"/>
      <c r="H1394" s="1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</row>
    <row r="1395" spans="1:22" x14ac:dyDescent="0.25">
      <c r="A1395" t="str">
        <f t="shared" si="74"/>
        <v>17801</v>
      </c>
      <c r="B1395" s="33">
        <v>121</v>
      </c>
      <c r="C1395" t="str">
        <f t="shared" si="73"/>
        <v>17001</v>
      </c>
      <c r="D1395" t="s">
        <v>21</v>
      </c>
      <c r="E1395" s="33" t="str">
        <f>"2976"</f>
        <v>2976</v>
      </c>
      <c r="F1395" t="s">
        <v>1365</v>
      </c>
      <c r="G1395" s="1"/>
      <c r="H1395" s="1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</row>
    <row r="1396" spans="1:22" x14ac:dyDescent="0.25">
      <c r="A1396" t="str">
        <f t="shared" si="74"/>
        <v>17801</v>
      </c>
      <c r="B1396" s="33">
        <v>121</v>
      </c>
      <c r="C1396" t="str">
        <f t="shared" si="73"/>
        <v>17001</v>
      </c>
      <c r="D1396" t="s">
        <v>21</v>
      </c>
      <c r="E1396" s="33" t="str">
        <f>"2256"</f>
        <v>2256</v>
      </c>
      <c r="F1396" t="s">
        <v>1369</v>
      </c>
      <c r="G1396" s="1"/>
      <c r="H1396" s="1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</row>
    <row r="1397" spans="1:22" x14ac:dyDescent="0.25">
      <c r="A1397" t="str">
        <f t="shared" si="74"/>
        <v>17801</v>
      </c>
      <c r="B1397" s="33">
        <v>121</v>
      </c>
      <c r="C1397" t="str">
        <f t="shared" si="73"/>
        <v>17001</v>
      </c>
      <c r="D1397" t="s">
        <v>21</v>
      </c>
      <c r="E1397" s="33" t="str">
        <f>"4065"</f>
        <v>4065</v>
      </c>
      <c r="F1397" t="s">
        <v>1380</v>
      </c>
      <c r="G1397" s="1"/>
      <c r="H1397" s="1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</row>
    <row r="1398" spans="1:22" x14ac:dyDescent="0.25">
      <c r="A1398" t="str">
        <f t="shared" si="74"/>
        <v>17801</v>
      </c>
      <c r="B1398" s="33">
        <v>121</v>
      </c>
      <c r="C1398" t="str">
        <f t="shared" si="73"/>
        <v>17001</v>
      </c>
      <c r="D1398" t="s">
        <v>21</v>
      </c>
      <c r="E1398" s="33" t="str">
        <f>"1620"</f>
        <v>1620</v>
      </c>
      <c r="F1398" t="s">
        <v>1428</v>
      </c>
      <c r="G1398" s="1"/>
      <c r="H1398" s="1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</row>
    <row r="1399" spans="1:22" x14ac:dyDescent="0.25">
      <c r="A1399" t="str">
        <f t="shared" si="74"/>
        <v>17801</v>
      </c>
      <c r="B1399" s="33">
        <v>121</v>
      </c>
      <c r="C1399" t="str">
        <f t="shared" si="73"/>
        <v>17001</v>
      </c>
      <c r="D1399" t="s">
        <v>21</v>
      </c>
      <c r="E1399" s="33" t="str">
        <f>"5204"</f>
        <v>5204</v>
      </c>
      <c r="F1399" t="s">
        <v>1488</v>
      </c>
      <c r="G1399" s="1"/>
      <c r="H1399" s="1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</row>
    <row r="1400" spans="1:22" x14ac:dyDescent="0.25">
      <c r="A1400" t="str">
        <f t="shared" si="74"/>
        <v>17801</v>
      </c>
      <c r="B1400" s="33">
        <v>121</v>
      </c>
      <c r="C1400" t="str">
        <f t="shared" si="73"/>
        <v>17001</v>
      </c>
      <c r="D1400" t="s">
        <v>21</v>
      </c>
      <c r="E1400" s="33" t="str">
        <f>"3327"</f>
        <v>3327</v>
      </c>
      <c r="F1400" t="s">
        <v>1493</v>
      </c>
      <c r="G1400" s="1"/>
      <c r="H1400" s="1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</row>
    <row r="1401" spans="1:22" x14ac:dyDescent="0.25">
      <c r="A1401" t="str">
        <f t="shared" si="74"/>
        <v>17801</v>
      </c>
      <c r="B1401" s="33">
        <v>121</v>
      </c>
      <c r="C1401" t="str">
        <f t="shared" si="73"/>
        <v>17001</v>
      </c>
      <c r="D1401" t="s">
        <v>21</v>
      </c>
      <c r="E1401" s="33" t="str">
        <f>"3380"</f>
        <v>3380</v>
      </c>
      <c r="F1401" t="s">
        <v>1498</v>
      </c>
      <c r="G1401" s="1"/>
      <c r="H1401" s="11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</row>
    <row r="1402" spans="1:22" x14ac:dyDescent="0.25">
      <c r="A1402" t="str">
        <f t="shared" si="74"/>
        <v>17801</v>
      </c>
      <c r="B1402" s="33">
        <v>121</v>
      </c>
      <c r="C1402" t="str">
        <f t="shared" si="73"/>
        <v>17001</v>
      </c>
      <c r="D1402" t="s">
        <v>21</v>
      </c>
      <c r="E1402" s="33" t="str">
        <f>"4263"</f>
        <v>4263</v>
      </c>
      <c r="F1402" t="s">
        <v>1520</v>
      </c>
      <c r="G1402" s="1"/>
      <c r="H1402" s="11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</row>
    <row r="1403" spans="1:22" x14ac:dyDescent="0.25">
      <c r="A1403" t="str">
        <f t="shared" si="74"/>
        <v>17801</v>
      </c>
      <c r="B1403" s="33">
        <v>121</v>
      </c>
      <c r="C1403" t="str">
        <f t="shared" si="73"/>
        <v>17001</v>
      </c>
      <c r="D1403" t="s">
        <v>21</v>
      </c>
      <c r="E1403" s="33" t="str">
        <f>"2120"</f>
        <v>2120</v>
      </c>
      <c r="F1403" s="2" t="s">
        <v>2292</v>
      </c>
      <c r="G1403" s="1"/>
      <c r="H1403" s="11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</row>
    <row r="1404" spans="1:22" x14ac:dyDescent="0.25">
      <c r="A1404" t="str">
        <f t="shared" si="74"/>
        <v>17801</v>
      </c>
      <c r="B1404" s="33">
        <v>121</v>
      </c>
      <c r="C1404" t="str">
        <f t="shared" si="73"/>
        <v>17001</v>
      </c>
      <c r="D1404" t="s">
        <v>21</v>
      </c>
      <c r="E1404" s="33" t="str">
        <f>"5486"</f>
        <v>5486</v>
      </c>
      <c r="F1404" t="s">
        <v>1542</v>
      </c>
      <c r="G1404" s="1"/>
      <c r="H1404" s="11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</row>
    <row r="1405" spans="1:22" x14ac:dyDescent="0.25">
      <c r="A1405" t="str">
        <f t="shared" si="74"/>
        <v>17801</v>
      </c>
      <c r="B1405" s="33">
        <v>121</v>
      </c>
      <c r="C1405" t="str">
        <f t="shared" si="73"/>
        <v>17001</v>
      </c>
      <c r="D1405" t="s">
        <v>21</v>
      </c>
      <c r="E1405" s="33" t="str">
        <f>"2285"</f>
        <v>2285</v>
      </c>
      <c r="F1405" t="s">
        <v>1558</v>
      </c>
      <c r="G1405" s="1"/>
      <c r="H1405" s="1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</row>
    <row r="1406" spans="1:22" x14ac:dyDescent="0.25">
      <c r="A1406" t="str">
        <f t="shared" si="74"/>
        <v>17801</v>
      </c>
      <c r="B1406" s="33">
        <v>121</v>
      </c>
      <c r="C1406" t="str">
        <f t="shared" si="73"/>
        <v>17001</v>
      </c>
      <c r="D1406" t="s">
        <v>21</v>
      </c>
      <c r="E1406" s="33" t="str">
        <f>"3157"</f>
        <v>3157</v>
      </c>
      <c r="F1406" t="s">
        <v>1566</v>
      </c>
      <c r="G1406" s="1"/>
      <c r="H1406" s="1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</row>
    <row r="1407" spans="1:22" x14ac:dyDescent="0.25">
      <c r="A1407" t="str">
        <f t="shared" si="74"/>
        <v>17801</v>
      </c>
      <c r="B1407" s="33">
        <v>121</v>
      </c>
      <c r="C1407" t="str">
        <f t="shared" si="73"/>
        <v>17001</v>
      </c>
      <c r="D1407" t="s">
        <v>21</v>
      </c>
      <c r="E1407" s="33" t="str">
        <f>"3028"</f>
        <v>3028</v>
      </c>
      <c r="F1407" t="s">
        <v>1573</v>
      </c>
      <c r="G1407" s="1"/>
      <c r="H1407" s="1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</row>
    <row r="1408" spans="1:22" x14ac:dyDescent="0.25">
      <c r="A1408" t="str">
        <f t="shared" si="74"/>
        <v>17801</v>
      </c>
      <c r="B1408" s="33">
        <v>121</v>
      </c>
      <c r="C1408" t="str">
        <f t="shared" si="73"/>
        <v>17001</v>
      </c>
      <c r="D1408" t="s">
        <v>21</v>
      </c>
      <c r="E1408" s="33" t="str">
        <f>"1796"</f>
        <v>1796</v>
      </c>
      <c r="F1408" t="s">
        <v>1584</v>
      </c>
      <c r="G1408" s="1"/>
      <c r="H1408" s="1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</row>
    <row r="1409" spans="1:22" x14ac:dyDescent="0.25">
      <c r="A1409" t="str">
        <f t="shared" si="74"/>
        <v>17801</v>
      </c>
      <c r="B1409" s="33">
        <v>121</v>
      </c>
      <c r="C1409" t="str">
        <f t="shared" si="73"/>
        <v>17001</v>
      </c>
      <c r="D1409" t="s">
        <v>21</v>
      </c>
      <c r="E1409" s="33" t="str">
        <f>"5205"</f>
        <v>5205</v>
      </c>
      <c r="F1409" t="s">
        <v>1591</v>
      </c>
      <c r="G1409" s="1"/>
      <c r="H1409" s="1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</row>
    <row r="1410" spans="1:22" x14ac:dyDescent="0.25">
      <c r="A1410" t="str">
        <f t="shared" si="74"/>
        <v>17801</v>
      </c>
      <c r="B1410" s="33">
        <v>121</v>
      </c>
      <c r="C1410" t="str">
        <f t="shared" si="73"/>
        <v>17001</v>
      </c>
      <c r="D1410" t="s">
        <v>21</v>
      </c>
      <c r="E1410" s="33" t="str">
        <f>"3665"</f>
        <v>3665</v>
      </c>
      <c r="F1410" t="s">
        <v>1592</v>
      </c>
      <c r="G1410" s="1"/>
      <c r="H1410" s="1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</row>
    <row r="1411" spans="1:22" x14ac:dyDescent="0.25">
      <c r="A1411" t="str">
        <f t="shared" si="74"/>
        <v>17801</v>
      </c>
      <c r="B1411" s="33">
        <v>121</v>
      </c>
      <c r="C1411" t="str">
        <f t="shared" si="73"/>
        <v>17001</v>
      </c>
      <c r="D1411" t="s">
        <v>21</v>
      </c>
      <c r="E1411" s="33" t="str">
        <f>"5260"</f>
        <v>5260</v>
      </c>
      <c r="F1411" t="s">
        <v>1606</v>
      </c>
      <c r="G1411" s="1"/>
      <c r="H1411" s="1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</row>
    <row r="1412" spans="1:22" x14ac:dyDescent="0.25">
      <c r="A1412" t="str">
        <f t="shared" si="74"/>
        <v>17801</v>
      </c>
      <c r="B1412" s="33">
        <v>121</v>
      </c>
      <c r="C1412" t="str">
        <f t="shared" si="73"/>
        <v>17001</v>
      </c>
      <c r="D1412" t="s">
        <v>21</v>
      </c>
      <c r="E1412" s="33" t="str">
        <f>"1596"</f>
        <v>1596</v>
      </c>
      <c r="F1412" t="s">
        <v>1607</v>
      </c>
      <c r="G1412" s="1"/>
      <c r="H1412" s="1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</row>
    <row r="1413" spans="1:22" x14ac:dyDescent="0.25">
      <c r="A1413" t="str">
        <f t="shared" si="74"/>
        <v>17801</v>
      </c>
      <c r="B1413" s="33">
        <v>121</v>
      </c>
      <c r="C1413" t="str">
        <f t="shared" si="73"/>
        <v>17001</v>
      </c>
      <c r="D1413" t="s">
        <v>21</v>
      </c>
      <c r="E1413" s="33" t="str">
        <f>"4218"</f>
        <v>4218</v>
      </c>
      <c r="F1413" t="s">
        <v>1688</v>
      </c>
      <c r="G1413" s="1"/>
      <c r="H1413" s="1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</row>
    <row r="1414" spans="1:22" x14ac:dyDescent="0.25">
      <c r="A1414" t="str">
        <f t="shared" si="74"/>
        <v>17801</v>
      </c>
      <c r="B1414" s="33">
        <v>121</v>
      </c>
      <c r="C1414" t="str">
        <f t="shared" si="73"/>
        <v>17001</v>
      </c>
      <c r="D1414" t="s">
        <v>21</v>
      </c>
      <c r="E1414" s="33" t="str">
        <f>"2080"</f>
        <v>2080</v>
      </c>
      <c r="F1414" t="s">
        <v>1731</v>
      </c>
      <c r="G1414" s="1"/>
      <c r="H1414" s="1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</row>
    <row r="1415" spans="1:22" x14ac:dyDescent="0.25">
      <c r="A1415" t="str">
        <f t="shared" si="74"/>
        <v>17801</v>
      </c>
      <c r="B1415" s="33">
        <v>121</v>
      </c>
      <c r="C1415" t="str">
        <f t="shared" si="73"/>
        <v>17001</v>
      </c>
      <c r="D1415" t="s">
        <v>21</v>
      </c>
      <c r="E1415" s="33" t="str">
        <f>"1856"</f>
        <v>1856</v>
      </c>
      <c r="F1415" t="s">
        <v>1784</v>
      </c>
      <c r="G1415" s="1"/>
      <c r="H1415" s="1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</row>
    <row r="1416" spans="1:22" x14ac:dyDescent="0.25">
      <c r="A1416" t="str">
        <f t="shared" si="74"/>
        <v>17801</v>
      </c>
      <c r="B1416" s="33">
        <v>121</v>
      </c>
      <c r="C1416" t="str">
        <f t="shared" si="73"/>
        <v>17001</v>
      </c>
      <c r="D1416" t="s">
        <v>21</v>
      </c>
      <c r="E1416" s="33" t="str">
        <f>"3974"</f>
        <v>3974</v>
      </c>
      <c r="F1416" t="s">
        <v>1790</v>
      </c>
      <c r="G1416" s="1"/>
      <c r="H1416" s="1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</row>
    <row r="1417" spans="1:22" x14ac:dyDescent="0.25">
      <c r="A1417" t="str">
        <f t="shared" si="74"/>
        <v>17801</v>
      </c>
      <c r="B1417" s="33">
        <v>121</v>
      </c>
      <c r="C1417" t="str">
        <f t="shared" si="73"/>
        <v>17001</v>
      </c>
      <c r="D1417" t="s">
        <v>21</v>
      </c>
      <c r="E1417" s="33" t="str">
        <f>"2141"</f>
        <v>2141</v>
      </c>
      <c r="F1417" t="s">
        <v>1794</v>
      </c>
      <c r="G1417" s="1"/>
      <c r="H1417" s="1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</row>
    <row r="1418" spans="1:22" x14ac:dyDescent="0.25">
      <c r="A1418" t="str">
        <f t="shared" si="74"/>
        <v>17801</v>
      </c>
      <c r="B1418" s="33">
        <v>121</v>
      </c>
      <c r="C1418" t="str">
        <f t="shared" si="73"/>
        <v>17001</v>
      </c>
      <c r="D1418" t="s">
        <v>21</v>
      </c>
      <c r="E1418" s="33" t="str">
        <f>"1579"</f>
        <v>1579</v>
      </c>
      <c r="F1418" t="s">
        <v>1814</v>
      </c>
      <c r="G1418" s="1"/>
      <c r="H1418" s="1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</row>
    <row r="1419" spans="1:22" x14ac:dyDescent="0.25">
      <c r="A1419" t="str">
        <f t="shared" si="74"/>
        <v>17801</v>
      </c>
      <c r="B1419" s="33">
        <v>121</v>
      </c>
      <c r="C1419" t="str">
        <f t="shared" si="73"/>
        <v>17001</v>
      </c>
      <c r="D1419" t="s">
        <v>21</v>
      </c>
      <c r="E1419" s="33" t="str">
        <f>"2667"</f>
        <v>2667</v>
      </c>
      <c r="F1419" t="s">
        <v>1857</v>
      </c>
      <c r="G1419" s="1"/>
      <c r="H1419" s="1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</row>
    <row r="1420" spans="1:22" x14ac:dyDescent="0.25">
      <c r="A1420" t="str">
        <f t="shared" si="74"/>
        <v>17801</v>
      </c>
      <c r="B1420" s="33">
        <v>121</v>
      </c>
      <c r="C1420" t="str">
        <f t="shared" si="73"/>
        <v>17001</v>
      </c>
      <c r="D1420" t="s">
        <v>21</v>
      </c>
      <c r="E1420" s="33" t="str">
        <f>"2977"</f>
        <v>2977</v>
      </c>
      <c r="F1420" t="s">
        <v>1859</v>
      </c>
      <c r="G1420" s="1"/>
      <c r="H1420" s="1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</row>
    <row r="1421" spans="1:22" x14ac:dyDescent="0.25">
      <c r="A1421" t="str">
        <f t="shared" si="74"/>
        <v>17801</v>
      </c>
      <c r="B1421" s="33">
        <v>121</v>
      </c>
      <c r="C1421" t="str">
        <f t="shared" si="73"/>
        <v>17001</v>
      </c>
      <c r="D1421" t="s">
        <v>21</v>
      </c>
      <c r="E1421" s="33" t="str">
        <f>"4064"</f>
        <v>4064</v>
      </c>
      <c r="F1421" t="s">
        <v>1893</v>
      </c>
      <c r="G1421" s="1"/>
      <c r="H1421" s="1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</row>
    <row r="1422" spans="1:22" x14ac:dyDescent="0.25">
      <c r="A1422" t="str">
        <f t="shared" si="74"/>
        <v>17801</v>
      </c>
      <c r="B1422" s="33">
        <v>121</v>
      </c>
      <c r="C1422" t="str">
        <f t="shared" si="73"/>
        <v>17001</v>
      </c>
      <c r="D1422" t="s">
        <v>21</v>
      </c>
      <c r="E1422" s="33" t="str">
        <f>"3026"</f>
        <v>3026</v>
      </c>
      <c r="F1422" t="s">
        <v>1898</v>
      </c>
      <c r="G1422" s="1"/>
      <c r="H1422" s="1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</row>
    <row r="1423" spans="1:22" x14ac:dyDescent="0.25">
      <c r="A1423" t="str">
        <f t="shared" si="74"/>
        <v>17801</v>
      </c>
      <c r="B1423" s="33">
        <v>121</v>
      </c>
      <c r="C1423" t="str">
        <f t="shared" si="73"/>
        <v>17001</v>
      </c>
      <c r="D1423" t="s">
        <v>21</v>
      </c>
      <c r="E1423" s="33" t="str">
        <f>"2645"</f>
        <v>2645</v>
      </c>
      <c r="F1423" t="s">
        <v>1909</v>
      </c>
      <c r="G1423" s="1"/>
      <c r="H1423" s="1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</row>
    <row r="1424" spans="1:22" x14ac:dyDescent="0.25">
      <c r="A1424" t="str">
        <f t="shared" si="74"/>
        <v>17801</v>
      </c>
      <c r="B1424" s="33">
        <v>121</v>
      </c>
      <c r="C1424" t="str">
        <f t="shared" si="73"/>
        <v>17001</v>
      </c>
      <c r="D1424" t="s">
        <v>21</v>
      </c>
      <c r="E1424" s="33" t="str">
        <f>"2234"</f>
        <v>2234</v>
      </c>
      <c r="F1424" t="s">
        <v>1910</v>
      </c>
      <c r="G1424" s="1"/>
      <c r="H1424" s="1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</row>
    <row r="1425" spans="1:22" x14ac:dyDescent="0.25">
      <c r="A1425" t="str">
        <f t="shared" si="74"/>
        <v>17801</v>
      </c>
      <c r="B1425" s="33">
        <v>121</v>
      </c>
      <c r="C1425" t="str">
        <f t="shared" si="73"/>
        <v>17001</v>
      </c>
      <c r="D1425" t="s">
        <v>21</v>
      </c>
      <c r="E1425" s="33" t="str">
        <f>"2142"</f>
        <v>2142</v>
      </c>
      <c r="F1425" t="s">
        <v>1916</v>
      </c>
      <c r="G1425" s="1"/>
      <c r="H1425" s="1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</row>
    <row r="1426" spans="1:22" x14ac:dyDescent="0.25">
      <c r="A1426" t="str">
        <f t="shared" si="74"/>
        <v>17801</v>
      </c>
      <c r="B1426" s="33">
        <v>121</v>
      </c>
      <c r="C1426" t="str">
        <f t="shared" si="73"/>
        <v>17001</v>
      </c>
      <c r="D1426" t="s">
        <v>21</v>
      </c>
      <c r="E1426" s="33" t="str">
        <f>"3277"</f>
        <v>3277</v>
      </c>
      <c r="F1426" t="s">
        <v>1936</v>
      </c>
      <c r="G1426" s="1"/>
      <c r="H1426" s="1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</row>
    <row r="1427" spans="1:22" x14ac:dyDescent="0.25">
      <c r="A1427" t="str">
        <f t="shared" si="74"/>
        <v>17801</v>
      </c>
      <c r="B1427" s="33">
        <v>121</v>
      </c>
      <c r="C1427" t="str">
        <f t="shared" si="73"/>
        <v>17001</v>
      </c>
      <c r="D1427" t="s">
        <v>21</v>
      </c>
      <c r="E1427" s="33" t="str">
        <f>"2092"</f>
        <v>2092</v>
      </c>
      <c r="F1427" t="s">
        <v>1941</v>
      </c>
      <c r="G1427" s="1"/>
      <c r="H1427" s="1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</row>
    <row r="1428" spans="1:22" x14ac:dyDescent="0.25">
      <c r="A1428" t="str">
        <f t="shared" si="74"/>
        <v>17801</v>
      </c>
      <c r="B1428" s="33">
        <v>121</v>
      </c>
      <c r="C1428" t="str">
        <f t="shared" si="73"/>
        <v>17001</v>
      </c>
      <c r="D1428" t="s">
        <v>21</v>
      </c>
      <c r="E1428" s="33" t="str">
        <f>"3581"</f>
        <v>3581</v>
      </c>
      <c r="F1428" t="s">
        <v>1960</v>
      </c>
      <c r="G1428" s="1"/>
      <c r="H1428" s="1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</row>
    <row r="1429" spans="1:22" x14ac:dyDescent="0.25">
      <c r="A1429" t="str">
        <f t="shared" si="74"/>
        <v>17801</v>
      </c>
      <c r="B1429" s="63">
        <v>121</v>
      </c>
      <c r="C1429" s="64" t="str">
        <f t="shared" ref="C1429:C1443" si="75">"17412"</f>
        <v>17412</v>
      </c>
      <c r="D1429" s="64" t="s">
        <v>34</v>
      </c>
      <c r="E1429" s="63" t="str">
        <f>"3674"</f>
        <v>3674</v>
      </c>
      <c r="F1429" s="64" t="s">
        <v>35</v>
      </c>
      <c r="G1429" s="1"/>
      <c r="H1429" s="1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</row>
    <row r="1430" spans="1:22" x14ac:dyDescent="0.25">
      <c r="A1430" t="str">
        <f t="shared" si="74"/>
        <v>17801</v>
      </c>
      <c r="B1430" s="63">
        <v>121</v>
      </c>
      <c r="C1430" s="64" t="str">
        <f t="shared" si="75"/>
        <v>17412</v>
      </c>
      <c r="D1430" s="64" t="s">
        <v>34</v>
      </c>
      <c r="E1430" s="63" t="str">
        <f>"2990"</f>
        <v>2990</v>
      </c>
      <c r="F1430" s="64" t="s">
        <v>191</v>
      </c>
      <c r="G1430" s="1"/>
      <c r="H1430" s="1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</row>
    <row r="1431" spans="1:22" x14ac:dyDescent="0.25">
      <c r="A1431" t="str">
        <f t="shared" si="74"/>
        <v>17801</v>
      </c>
      <c r="B1431" s="63">
        <v>121</v>
      </c>
      <c r="C1431" s="64" t="str">
        <f t="shared" si="75"/>
        <v>17412</v>
      </c>
      <c r="D1431" s="64" t="s">
        <v>34</v>
      </c>
      <c r="E1431" s="63" t="str">
        <f>"3230"</f>
        <v>3230</v>
      </c>
      <c r="F1431" s="64" t="s">
        <v>210</v>
      </c>
      <c r="G1431" s="1"/>
      <c r="H1431" s="1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</row>
    <row r="1432" spans="1:22" x14ac:dyDescent="0.25">
      <c r="A1432" t="str">
        <f t="shared" si="74"/>
        <v>17801</v>
      </c>
      <c r="B1432" s="63">
        <v>121</v>
      </c>
      <c r="C1432" s="64" t="str">
        <f t="shared" si="75"/>
        <v>17412</v>
      </c>
      <c r="D1432" s="64" t="s">
        <v>34</v>
      </c>
      <c r="E1432" s="63" t="str">
        <f>"1942"</f>
        <v>1942</v>
      </c>
      <c r="F1432" s="64" t="s">
        <v>265</v>
      </c>
      <c r="G1432" s="1"/>
      <c r="H1432" s="1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</row>
    <row r="1433" spans="1:22" x14ac:dyDescent="0.25">
      <c r="A1433" t="str">
        <f t="shared" si="74"/>
        <v>17801</v>
      </c>
      <c r="B1433" s="63">
        <v>121</v>
      </c>
      <c r="C1433" s="64" t="str">
        <f t="shared" si="75"/>
        <v>17412</v>
      </c>
      <c r="D1433" s="64" t="s">
        <v>34</v>
      </c>
      <c r="E1433" s="63" t="str">
        <f>"3104"</f>
        <v>3104</v>
      </c>
      <c r="F1433" s="64" t="s">
        <v>546</v>
      </c>
      <c r="G1433" s="1"/>
      <c r="H1433" s="1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</row>
    <row r="1434" spans="1:22" x14ac:dyDescent="0.25">
      <c r="A1434" t="str">
        <f t="shared" si="74"/>
        <v>17801</v>
      </c>
      <c r="B1434" s="63">
        <v>121</v>
      </c>
      <c r="C1434" s="64" t="str">
        <f t="shared" si="75"/>
        <v>17412</v>
      </c>
      <c r="D1434" s="64" t="s">
        <v>34</v>
      </c>
      <c r="E1434" s="63" t="str">
        <f>"3231"</f>
        <v>3231</v>
      </c>
      <c r="F1434" s="64" t="s">
        <v>812</v>
      </c>
      <c r="G1434" s="1"/>
      <c r="H1434" s="1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</row>
    <row r="1435" spans="1:22" x14ac:dyDescent="0.25">
      <c r="A1435" t="str">
        <f t="shared" si="74"/>
        <v>17801</v>
      </c>
      <c r="B1435" s="63">
        <v>121</v>
      </c>
      <c r="C1435" s="64" t="str">
        <f t="shared" si="75"/>
        <v>17412</v>
      </c>
      <c r="D1435" s="64" t="s">
        <v>34</v>
      </c>
      <c r="E1435" s="63" t="str">
        <f>"1771"</f>
        <v>1771</v>
      </c>
      <c r="F1435" s="64" t="s">
        <v>834</v>
      </c>
      <c r="G1435" s="1"/>
      <c r="H1435" s="1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</row>
    <row r="1436" spans="1:22" x14ac:dyDescent="0.25">
      <c r="A1436" t="str">
        <f t="shared" si="74"/>
        <v>17801</v>
      </c>
      <c r="B1436" s="63">
        <v>121</v>
      </c>
      <c r="C1436" s="64" t="str">
        <f t="shared" si="75"/>
        <v>17412</v>
      </c>
      <c r="D1436" s="64" t="s">
        <v>34</v>
      </c>
      <c r="E1436" s="63" t="str">
        <f>"3387"</f>
        <v>3387</v>
      </c>
      <c r="F1436" s="64" t="s">
        <v>926</v>
      </c>
      <c r="G1436" s="1"/>
      <c r="H1436" s="1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</row>
    <row r="1437" spans="1:22" x14ac:dyDescent="0.25">
      <c r="A1437" t="str">
        <f t="shared" si="74"/>
        <v>17801</v>
      </c>
      <c r="B1437" s="63">
        <v>121</v>
      </c>
      <c r="C1437" s="64" t="str">
        <f t="shared" si="75"/>
        <v>17412</v>
      </c>
      <c r="D1437" s="64" t="s">
        <v>34</v>
      </c>
      <c r="E1437" s="63" t="str">
        <f>"2185"</f>
        <v>2185</v>
      </c>
      <c r="F1437" s="64" t="s">
        <v>985</v>
      </c>
      <c r="G1437" s="1"/>
      <c r="H1437" s="1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</row>
    <row r="1438" spans="1:22" x14ac:dyDescent="0.25">
      <c r="A1438" t="str">
        <f t="shared" si="74"/>
        <v>17801</v>
      </c>
      <c r="B1438" s="63">
        <v>121</v>
      </c>
      <c r="C1438" s="64" t="str">
        <f t="shared" si="75"/>
        <v>17412</v>
      </c>
      <c r="D1438" s="64" t="s">
        <v>34</v>
      </c>
      <c r="E1438" s="63" t="str">
        <f>"3527"</f>
        <v>3527</v>
      </c>
      <c r="F1438" s="64" t="s">
        <v>1182</v>
      </c>
      <c r="G1438" s="1"/>
      <c r="H1438" s="1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</row>
    <row r="1439" spans="1:22" x14ac:dyDescent="0.25">
      <c r="A1439" t="str">
        <f t="shared" si="74"/>
        <v>17801</v>
      </c>
      <c r="B1439" s="63">
        <v>121</v>
      </c>
      <c r="C1439" s="64" t="str">
        <f t="shared" si="75"/>
        <v>17412</v>
      </c>
      <c r="D1439" s="64" t="s">
        <v>34</v>
      </c>
      <c r="E1439" s="63" t="str">
        <f>"3958"</f>
        <v>3958</v>
      </c>
      <c r="F1439" s="64" t="s">
        <v>1190</v>
      </c>
      <c r="G1439" s="1"/>
      <c r="H1439" s="1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</row>
    <row r="1440" spans="1:22" x14ac:dyDescent="0.25">
      <c r="A1440" t="str">
        <f t="shared" si="74"/>
        <v>17801</v>
      </c>
      <c r="B1440" s="63">
        <v>121</v>
      </c>
      <c r="C1440" s="64" t="str">
        <f t="shared" si="75"/>
        <v>17412</v>
      </c>
      <c r="D1440" s="64" t="s">
        <v>34</v>
      </c>
      <c r="E1440" s="63" t="str">
        <f>"3489"</f>
        <v>3489</v>
      </c>
      <c r="F1440" s="64" t="s">
        <v>1424</v>
      </c>
      <c r="G1440" s="1"/>
      <c r="H1440" s="1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</row>
    <row r="1441" spans="1:22" x14ac:dyDescent="0.25">
      <c r="A1441" t="str">
        <f t="shared" si="74"/>
        <v>17801</v>
      </c>
      <c r="B1441" s="63">
        <v>121</v>
      </c>
      <c r="C1441" s="64" t="str">
        <f t="shared" si="75"/>
        <v>17412</v>
      </c>
      <c r="D1441" s="64" t="s">
        <v>34</v>
      </c>
      <c r="E1441" s="63" t="str">
        <f>"2703"</f>
        <v>2703</v>
      </c>
      <c r="F1441" s="64" t="s">
        <v>1524</v>
      </c>
      <c r="G1441" s="1"/>
      <c r="H1441" s="1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</row>
    <row r="1442" spans="1:22" x14ac:dyDescent="0.25">
      <c r="A1442" t="str">
        <f t="shared" si="74"/>
        <v>17801</v>
      </c>
      <c r="B1442" s="63">
        <v>121</v>
      </c>
      <c r="C1442" s="64" t="str">
        <f t="shared" si="75"/>
        <v>17412</v>
      </c>
      <c r="D1442" s="64" t="s">
        <v>34</v>
      </c>
      <c r="E1442" s="63" t="str">
        <f>"3343"</f>
        <v>3343</v>
      </c>
      <c r="F1442" s="64" t="s">
        <v>1643</v>
      </c>
      <c r="G1442" s="1"/>
      <c r="H1442" s="1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</row>
    <row r="1443" spans="1:22" x14ac:dyDescent="0.25">
      <c r="A1443" t="str">
        <f t="shared" si="74"/>
        <v>17801</v>
      </c>
      <c r="B1443" s="63">
        <v>121</v>
      </c>
      <c r="C1443" s="64" t="str">
        <f t="shared" si="75"/>
        <v>17412</v>
      </c>
      <c r="D1443" s="64" t="s">
        <v>34</v>
      </c>
      <c r="E1443" s="63" t="str">
        <f>"3921"</f>
        <v>3921</v>
      </c>
      <c r="F1443" s="64" t="s">
        <v>1645</v>
      </c>
      <c r="G1443" s="1"/>
      <c r="H1443" s="1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</row>
    <row r="1444" spans="1:22" x14ac:dyDescent="0.25">
      <c r="A1444" t="str">
        <f t="shared" si="74"/>
        <v>17801</v>
      </c>
      <c r="B1444" s="34">
        <v>121</v>
      </c>
      <c r="C1444" s="35">
        <v>17404</v>
      </c>
      <c r="D1444" s="2" t="s">
        <v>1665</v>
      </c>
      <c r="E1444" s="36">
        <v>2512</v>
      </c>
      <c r="F1444" s="2" t="s">
        <v>2293</v>
      </c>
      <c r="G1444" s="1"/>
      <c r="H1444" s="1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</row>
    <row r="1445" spans="1:22" x14ac:dyDescent="0.25">
      <c r="A1445" t="str">
        <f t="shared" si="74"/>
        <v>17801</v>
      </c>
      <c r="B1445" s="33">
        <v>121</v>
      </c>
      <c r="C1445" s="35">
        <v>17410</v>
      </c>
      <c r="D1445" t="s">
        <v>271</v>
      </c>
      <c r="E1445" s="36">
        <v>5015</v>
      </c>
      <c r="F1445" t="s">
        <v>272</v>
      </c>
      <c r="G1445" s="1"/>
      <c r="H1445" s="1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</row>
    <row r="1446" spans="1:22" x14ac:dyDescent="0.25">
      <c r="A1446" t="str">
        <f t="shared" si="74"/>
        <v>17801</v>
      </c>
      <c r="B1446" s="33">
        <v>121</v>
      </c>
      <c r="C1446" s="35">
        <v>17410</v>
      </c>
      <c r="D1446" t="s">
        <v>271</v>
      </c>
      <c r="E1446" s="36">
        <v>4397</v>
      </c>
      <c r="F1446" t="s">
        <v>352</v>
      </c>
      <c r="G1446" s="1"/>
      <c r="H1446" s="1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</row>
    <row r="1447" spans="1:22" x14ac:dyDescent="0.25">
      <c r="A1447" t="str">
        <f t="shared" si="74"/>
        <v>17801</v>
      </c>
      <c r="B1447" s="33">
        <v>121</v>
      </c>
      <c r="C1447" s="35">
        <v>17410</v>
      </c>
      <c r="D1447" t="s">
        <v>271</v>
      </c>
      <c r="E1447" s="36">
        <v>4308</v>
      </c>
      <c r="F1447" t="s">
        <v>558</v>
      </c>
      <c r="G1447" s="1"/>
      <c r="H1447" s="1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</row>
    <row r="1448" spans="1:22" x14ac:dyDescent="0.25">
      <c r="A1448" t="str">
        <f t="shared" si="74"/>
        <v>17801</v>
      </c>
      <c r="B1448" s="33">
        <v>121</v>
      </c>
      <c r="C1448" s="35">
        <v>17410</v>
      </c>
      <c r="D1448" t="s">
        <v>271</v>
      </c>
      <c r="E1448" s="36">
        <v>2222</v>
      </c>
      <c r="F1448" t="s">
        <v>616</v>
      </c>
      <c r="G1448" s="1"/>
      <c r="H1448" s="1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</row>
    <row r="1449" spans="1:22" x14ac:dyDescent="0.25">
      <c r="A1449" t="str">
        <f t="shared" si="74"/>
        <v>17801</v>
      </c>
      <c r="B1449" s="33">
        <v>121</v>
      </c>
      <c r="C1449" s="35">
        <v>17410</v>
      </c>
      <c r="D1449" t="s">
        <v>271</v>
      </c>
      <c r="E1449" s="36">
        <v>2850</v>
      </c>
      <c r="F1449" t="s">
        <v>1243</v>
      </c>
      <c r="G1449" s="1"/>
      <c r="H1449" s="1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</row>
    <row r="1450" spans="1:22" x14ac:dyDescent="0.25">
      <c r="A1450" t="str">
        <f t="shared" si="74"/>
        <v>17801</v>
      </c>
      <c r="B1450" s="33">
        <v>121</v>
      </c>
      <c r="C1450" s="35">
        <v>17410</v>
      </c>
      <c r="D1450" t="s">
        <v>271</v>
      </c>
      <c r="E1450" s="36">
        <v>2287</v>
      </c>
      <c r="F1450" t="s">
        <v>1304</v>
      </c>
      <c r="G1450" s="1"/>
      <c r="H1450" s="1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</row>
    <row r="1451" spans="1:22" x14ac:dyDescent="0.25">
      <c r="A1451" t="str">
        <f t="shared" si="74"/>
        <v>17801</v>
      </c>
      <c r="B1451" s="33">
        <v>121</v>
      </c>
      <c r="C1451" s="35">
        <v>17410</v>
      </c>
      <c r="D1451" t="s">
        <v>271</v>
      </c>
      <c r="E1451" s="36">
        <v>2288</v>
      </c>
      <c r="F1451" t="s">
        <v>1676</v>
      </c>
      <c r="G1451" s="1"/>
      <c r="H1451" s="1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</row>
    <row r="1452" spans="1:22" x14ac:dyDescent="0.25">
      <c r="A1452" t="str">
        <f t="shared" ref="A1452:A1515" si="76">"17801"</f>
        <v>17801</v>
      </c>
      <c r="B1452" s="33">
        <v>121</v>
      </c>
      <c r="C1452" s="35">
        <v>17410</v>
      </c>
      <c r="D1452" t="s">
        <v>271</v>
      </c>
      <c r="E1452" s="33" t="str">
        <f>"2124"</f>
        <v>2124</v>
      </c>
      <c r="F1452" t="s">
        <v>2294</v>
      </c>
      <c r="G1452" s="1"/>
      <c r="H1452" s="1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</row>
    <row r="1453" spans="1:22" x14ac:dyDescent="0.25">
      <c r="A1453" t="str">
        <f t="shared" si="76"/>
        <v>17801</v>
      </c>
      <c r="B1453" s="33">
        <v>121</v>
      </c>
      <c r="C1453" s="35">
        <v>17410</v>
      </c>
      <c r="D1453" t="s">
        <v>271</v>
      </c>
      <c r="E1453" s="36">
        <v>5296</v>
      </c>
      <c r="F1453" t="s">
        <v>1677</v>
      </c>
      <c r="G1453" s="1"/>
      <c r="H1453" s="1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</row>
    <row r="1454" spans="1:22" x14ac:dyDescent="0.25">
      <c r="A1454" t="str">
        <f t="shared" si="76"/>
        <v>17801</v>
      </c>
      <c r="B1454" s="34">
        <v>121</v>
      </c>
      <c r="C1454" s="35">
        <v>17410</v>
      </c>
      <c r="D1454" s="2" t="s">
        <v>271</v>
      </c>
      <c r="E1454" s="36">
        <v>5457</v>
      </c>
      <c r="F1454" s="2" t="s">
        <v>1800</v>
      </c>
      <c r="G1454" s="1"/>
      <c r="H1454" s="1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</row>
    <row r="1455" spans="1:22" x14ac:dyDescent="0.25">
      <c r="A1455" t="str">
        <f t="shared" si="76"/>
        <v>17801</v>
      </c>
      <c r="B1455" s="33">
        <v>121</v>
      </c>
      <c r="C1455" s="35">
        <v>17410</v>
      </c>
      <c r="D1455" t="s">
        <v>271</v>
      </c>
      <c r="E1455" s="36">
        <v>5135</v>
      </c>
      <c r="F1455" t="s">
        <v>1830</v>
      </c>
      <c r="G1455" s="1"/>
      <c r="H1455" s="1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</row>
    <row r="1456" spans="1:22" x14ac:dyDescent="0.25">
      <c r="A1456" t="str">
        <f t="shared" si="76"/>
        <v>17801</v>
      </c>
      <c r="B1456" s="33">
        <v>121</v>
      </c>
      <c r="C1456" s="35">
        <v>17410</v>
      </c>
      <c r="D1456" t="s">
        <v>271</v>
      </c>
      <c r="E1456" s="36">
        <v>1502</v>
      </c>
      <c r="F1456" t="s">
        <v>1832</v>
      </c>
      <c r="G1456" s="1"/>
      <c r="H1456" s="1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</row>
    <row r="1457" spans="1:22" x14ac:dyDescent="0.25">
      <c r="A1457" t="str">
        <f t="shared" si="76"/>
        <v>17801</v>
      </c>
      <c r="B1457" s="33">
        <v>121</v>
      </c>
      <c r="D1457" t="s">
        <v>2295</v>
      </c>
      <c r="E1457" s="33"/>
      <c r="F1457" t="s">
        <v>2295</v>
      </c>
      <c r="G1457" s="1"/>
      <c r="H1457" s="1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</row>
    <row r="1458" spans="1:22" x14ac:dyDescent="0.25">
      <c r="A1458" t="str">
        <f t="shared" si="76"/>
        <v>17801</v>
      </c>
      <c r="B1458" s="63">
        <v>121</v>
      </c>
      <c r="C1458" s="35">
        <v>27001</v>
      </c>
      <c r="D1458" s="64" t="s">
        <v>61</v>
      </c>
      <c r="E1458" s="36">
        <v>2040</v>
      </c>
      <c r="F1458" s="64" t="s">
        <v>62</v>
      </c>
      <c r="G1458" s="1"/>
      <c r="H1458" s="1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</row>
    <row r="1459" spans="1:22" x14ac:dyDescent="0.25">
      <c r="A1459" t="str">
        <f t="shared" si="76"/>
        <v>17801</v>
      </c>
      <c r="B1459" s="63">
        <v>121</v>
      </c>
      <c r="C1459" s="35">
        <v>27001</v>
      </c>
      <c r="D1459" s="64" t="s">
        <v>61</v>
      </c>
      <c r="E1459" s="36">
        <v>3446</v>
      </c>
      <c r="F1459" s="64" t="s">
        <v>345</v>
      </c>
      <c r="G1459" s="1"/>
      <c r="H1459" s="1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</row>
    <row r="1460" spans="1:22" x14ac:dyDescent="0.25">
      <c r="A1460" t="str">
        <f t="shared" si="76"/>
        <v>17801</v>
      </c>
      <c r="B1460" s="63">
        <v>121</v>
      </c>
      <c r="C1460" s="35">
        <v>27001</v>
      </c>
      <c r="D1460" s="64" t="s">
        <v>61</v>
      </c>
      <c r="E1460" s="36">
        <v>4562</v>
      </c>
      <c r="F1460" s="64" t="s">
        <v>362</v>
      </c>
      <c r="G1460" s="1"/>
      <c r="H1460" s="1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</row>
    <row r="1461" spans="1:22" x14ac:dyDescent="0.25">
      <c r="A1461" t="str">
        <f t="shared" si="76"/>
        <v>17801</v>
      </c>
      <c r="B1461" s="63">
        <v>121</v>
      </c>
      <c r="C1461" s="35">
        <v>27001</v>
      </c>
      <c r="D1461" s="64" t="s">
        <v>61</v>
      </c>
      <c r="E1461" s="36">
        <v>2237</v>
      </c>
      <c r="F1461" s="64" t="s">
        <v>1450</v>
      </c>
      <c r="G1461" s="1"/>
      <c r="H1461" s="1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</row>
    <row r="1462" spans="1:22" x14ac:dyDescent="0.25">
      <c r="A1462" t="str">
        <f t="shared" si="76"/>
        <v>17801</v>
      </c>
      <c r="B1462" s="63">
        <v>121</v>
      </c>
      <c r="C1462" s="35">
        <v>27001</v>
      </c>
      <c r="D1462" s="64" t="s">
        <v>61</v>
      </c>
      <c r="E1462" s="36">
        <v>3827</v>
      </c>
      <c r="F1462" s="64" t="s">
        <v>1587</v>
      </c>
      <c r="G1462" s="1"/>
      <c r="H1462" s="1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</row>
    <row r="1463" spans="1:22" x14ac:dyDescent="0.25">
      <c r="A1463" t="str">
        <f t="shared" si="76"/>
        <v>17801</v>
      </c>
      <c r="B1463" s="63">
        <v>121</v>
      </c>
      <c r="C1463" s="35">
        <v>27001</v>
      </c>
      <c r="D1463" s="64" t="s">
        <v>61</v>
      </c>
      <c r="E1463" s="36">
        <v>4131</v>
      </c>
      <c r="F1463" s="64" t="s">
        <v>1727</v>
      </c>
      <c r="G1463" s="1"/>
      <c r="H1463" s="1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</row>
    <row r="1464" spans="1:22" x14ac:dyDescent="0.25">
      <c r="A1464" t="str">
        <f t="shared" si="76"/>
        <v>17801</v>
      </c>
      <c r="B1464" s="33">
        <v>121</v>
      </c>
      <c r="C1464" t="str">
        <f>"17905"</f>
        <v>17905</v>
      </c>
      <c r="D1464" t="s">
        <v>2296</v>
      </c>
      <c r="E1464" s="33" t="str">
        <f>"5469"</f>
        <v>5469</v>
      </c>
      <c r="F1464" t="s">
        <v>2297</v>
      </c>
      <c r="G1464" s="1"/>
      <c r="H1464" s="1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</row>
    <row r="1465" spans="1:22" x14ac:dyDescent="0.25">
      <c r="A1465" t="str">
        <f t="shared" si="76"/>
        <v>17801</v>
      </c>
      <c r="B1465" s="33">
        <v>121</v>
      </c>
      <c r="C1465" t="str">
        <f>"27905"</f>
        <v>27905</v>
      </c>
      <c r="D1465" t="s">
        <v>2296</v>
      </c>
      <c r="E1465" s="33" t="str">
        <f>"5376"</f>
        <v>5376</v>
      </c>
      <c r="F1465" t="s">
        <v>2298</v>
      </c>
      <c r="G1465" s="1"/>
      <c r="H1465" s="1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</row>
    <row r="1466" spans="1:22" x14ac:dyDescent="0.25">
      <c r="A1466" t="str">
        <f t="shared" si="76"/>
        <v>17801</v>
      </c>
      <c r="B1466" s="33">
        <v>121</v>
      </c>
      <c r="C1466" t="str">
        <f>"17902"</f>
        <v>17902</v>
      </c>
      <c r="D1466" t="s">
        <v>2296</v>
      </c>
      <c r="E1466" s="33" t="str">
        <f>"5375"</f>
        <v>5375</v>
      </c>
      <c r="F1466" t="s">
        <v>2299</v>
      </c>
      <c r="G1466" s="1"/>
      <c r="H1466" s="1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</row>
    <row r="1467" spans="1:22" x14ac:dyDescent="0.25">
      <c r="A1467" t="str">
        <f t="shared" si="76"/>
        <v>17801</v>
      </c>
      <c r="B1467" s="34">
        <v>121</v>
      </c>
      <c r="C1467" s="31" t="str">
        <f t="shared" ref="C1467:C1478" si="77">"27320"</f>
        <v>27320</v>
      </c>
      <c r="D1467" s="31" t="s">
        <v>173</v>
      </c>
      <c r="E1467" s="34" t="str">
        <f>"3349"</f>
        <v>3349</v>
      </c>
      <c r="F1467" s="31" t="s">
        <v>174</v>
      </c>
      <c r="G1467" s="1"/>
      <c r="H1467" s="1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</row>
    <row r="1468" spans="1:22" x14ac:dyDescent="0.25">
      <c r="A1468" t="str">
        <f t="shared" si="76"/>
        <v>17801</v>
      </c>
      <c r="B1468" s="34">
        <v>121</v>
      </c>
      <c r="C1468" s="31" t="str">
        <f t="shared" si="77"/>
        <v>27320</v>
      </c>
      <c r="D1468" s="31" t="s">
        <v>173</v>
      </c>
      <c r="E1468" s="34" t="str">
        <f>"4585"</f>
        <v>4585</v>
      </c>
      <c r="F1468" s="31" t="s">
        <v>175</v>
      </c>
      <c r="G1468" s="1"/>
      <c r="H1468" s="1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</row>
    <row r="1469" spans="1:22" x14ac:dyDescent="0.25">
      <c r="A1469" t="str">
        <f t="shared" si="76"/>
        <v>17801</v>
      </c>
      <c r="B1469" s="34">
        <v>121</v>
      </c>
      <c r="C1469" s="31" t="str">
        <f t="shared" si="77"/>
        <v>27320</v>
      </c>
      <c r="D1469" s="31" t="s">
        <v>173</v>
      </c>
      <c r="E1469" s="34" t="str">
        <f>"4435"</f>
        <v>4435</v>
      </c>
      <c r="F1469" s="31" t="s">
        <v>451</v>
      </c>
      <c r="G1469" s="1"/>
      <c r="H1469" s="1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</row>
    <row r="1470" spans="1:22" x14ac:dyDescent="0.25">
      <c r="A1470" t="str">
        <f t="shared" si="76"/>
        <v>17801</v>
      </c>
      <c r="B1470" s="34">
        <v>121</v>
      </c>
      <c r="C1470" s="31" t="str">
        <f t="shared" si="77"/>
        <v>27320</v>
      </c>
      <c r="D1470" s="31" t="s">
        <v>173</v>
      </c>
      <c r="E1470" s="34" t="str">
        <f>"4541"</f>
        <v>4541</v>
      </c>
      <c r="F1470" s="31" t="s">
        <v>465</v>
      </c>
      <c r="G1470" s="1"/>
      <c r="H1470" s="1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</row>
    <row r="1471" spans="1:22" x14ac:dyDescent="0.25">
      <c r="A1471" t="str">
        <f t="shared" si="76"/>
        <v>17801</v>
      </c>
      <c r="B1471" s="34">
        <v>121</v>
      </c>
      <c r="C1471" s="31" t="str">
        <f t="shared" si="77"/>
        <v>27320</v>
      </c>
      <c r="D1471" s="31" t="s">
        <v>173</v>
      </c>
      <c r="E1471" s="34" t="str">
        <f>"3399"</f>
        <v>3399</v>
      </c>
      <c r="F1471" s="31" t="s">
        <v>561</v>
      </c>
      <c r="G1471" s="1"/>
      <c r="H1471" s="1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</row>
    <row r="1472" spans="1:22" x14ac:dyDescent="0.25">
      <c r="A1472" t="str">
        <f t="shared" si="76"/>
        <v>17801</v>
      </c>
      <c r="B1472" s="34">
        <v>121</v>
      </c>
      <c r="C1472" s="31" t="str">
        <f t="shared" si="77"/>
        <v>27320</v>
      </c>
      <c r="D1472" s="31" t="s">
        <v>173</v>
      </c>
      <c r="E1472" s="34" t="str">
        <f>"4250"</f>
        <v>4250</v>
      </c>
      <c r="F1472" s="31" t="s">
        <v>575</v>
      </c>
      <c r="G1472" s="1"/>
      <c r="H1472" s="1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</row>
    <row r="1473" spans="1:22" x14ac:dyDescent="0.25">
      <c r="A1473" t="str">
        <f t="shared" si="76"/>
        <v>17801</v>
      </c>
      <c r="B1473" s="34">
        <v>121</v>
      </c>
      <c r="C1473" s="31" t="str">
        <f t="shared" si="77"/>
        <v>27320</v>
      </c>
      <c r="D1473" s="31" t="s">
        <v>173</v>
      </c>
      <c r="E1473" s="34" t="str">
        <f>"4132"</f>
        <v>4132</v>
      </c>
      <c r="F1473" s="31" t="s">
        <v>1006</v>
      </c>
      <c r="G1473" s="1"/>
      <c r="H1473" s="1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</row>
    <row r="1474" spans="1:22" x14ac:dyDescent="0.25">
      <c r="A1474" t="str">
        <f t="shared" si="76"/>
        <v>17801</v>
      </c>
      <c r="B1474" s="34">
        <v>121</v>
      </c>
      <c r="C1474" s="31" t="str">
        <f t="shared" si="77"/>
        <v>27320</v>
      </c>
      <c r="D1474" s="31" t="s">
        <v>173</v>
      </c>
      <c r="E1474" s="34" t="str">
        <f>"4402"</f>
        <v>4402</v>
      </c>
      <c r="F1474" s="31" t="s">
        <v>1050</v>
      </c>
      <c r="G1474" s="1"/>
      <c r="H1474" s="1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</row>
    <row r="1475" spans="1:22" x14ac:dyDescent="0.25">
      <c r="A1475" t="str">
        <f t="shared" si="76"/>
        <v>17801</v>
      </c>
      <c r="B1475" s="34">
        <v>121</v>
      </c>
      <c r="C1475" s="31" t="str">
        <f t="shared" si="77"/>
        <v>27320</v>
      </c>
      <c r="D1475" s="31" t="s">
        <v>173</v>
      </c>
      <c r="E1475" s="34" t="str">
        <f>"2875"</f>
        <v>2875</v>
      </c>
      <c r="F1475" s="31" t="s">
        <v>1118</v>
      </c>
      <c r="G1475" s="1"/>
      <c r="H1475" s="1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</row>
    <row r="1476" spans="1:22" x14ac:dyDescent="0.25">
      <c r="A1476" t="str">
        <f t="shared" si="76"/>
        <v>17801</v>
      </c>
      <c r="B1476" s="34">
        <v>121</v>
      </c>
      <c r="C1476" s="31" t="str">
        <f t="shared" si="77"/>
        <v>27320</v>
      </c>
      <c r="D1476" s="31" t="s">
        <v>173</v>
      </c>
      <c r="E1476" s="34" t="str">
        <f>"4502"</f>
        <v>4502</v>
      </c>
      <c r="F1476" s="31" t="s">
        <v>1249</v>
      </c>
      <c r="G1476" s="1"/>
      <c r="H1476" s="1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</row>
    <row r="1477" spans="1:22" x14ac:dyDescent="0.25">
      <c r="A1477" t="str">
        <f t="shared" si="76"/>
        <v>17801</v>
      </c>
      <c r="B1477" s="34">
        <v>121</v>
      </c>
      <c r="C1477" s="31" t="str">
        <f t="shared" si="77"/>
        <v>27320</v>
      </c>
      <c r="D1477" s="31" t="s">
        <v>173</v>
      </c>
      <c r="E1477" s="34" t="str">
        <f>"3247"</f>
        <v>3247</v>
      </c>
      <c r="F1477" s="31" t="s">
        <v>1748</v>
      </c>
      <c r="G1477" s="1"/>
      <c r="H1477" s="1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</row>
    <row r="1478" spans="1:22" x14ac:dyDescent="0.25">
      <c r="A1478" t="str">
        <f t="shared" si="76"/>
        <v>17801</v>
      </c>
      <c r="B1478" s="34">
        <v>121</v>
      </c>
      <c r="C1478" s="31" t="str">
        <f t="shared" si="77"/>
        <v>27320</v>
      </c>
      <c r="D1478" s="31" t="s">
        <v>173</v>
      </c>
      <c r="E1478" s="34" t="str">
        <f>"3499"</f>
        <v>3499</v>
      </c>
      <c r="F1478" s="31" t="s">
        <v>1749</v>
      </c>
      <c r="G1478" s="1"/>
      <c r="H1478" s="1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</row>
    <row r="1479" spans="1:22" x14ac:dyDescent="0.25">
      <c r="A1479" t="str">
        <f t="shared" si="76"/>
        <v>17801</v>
      </c>
      <c r="B1479" s="33">
        <v>121</v>
      </c>
      <c r="C1479" t="s">
        <v>2300</v>
      </c>
      <c r="D1479" s="31" t="s">
        <v>173</v>
      </c>
      <c r="E1479" s="36">
        <v>5524</v>
      </c>
      <c r="F1479" t="s">
        <v>2301</v>
      </c>
      <c r="G1479" s="1"/>
      <c r="H1479" s="1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</row>
    <row r="1480" spans="1:22" x14ac:dyDescent="0.25">
      <c r="A1480" t="str">
        <f t="shared" si="76"/>
        <v>17801</v>
      </c>
      <c r="B1480" s="34">
        <v>121</v>
      </c>
      <c r="C1480" s="31" t="str">
        <f>"27320"</f>
        <v>27320</v>
      </c>
      <c r="D1480" s="31" t="s">
        <v>173</v>
      </c>
      <c r="E1480" s="36">
        <v>4166</v>
      </c>
      <c r="F1480" s="31" t="s">
        <v>1855</v>
      </c>
      <c r="G1480" s="1"/>
      <c r="H1480" s="1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</row>
    <row r="1481" spans="1:22" x14ac:dyDescent="0.25">
      <c r="A1481" t="str">
        <f t="shared" si="76"/>
        <v>17801</v>
      </c>
      <c r="B1481" s="34">
        <v>121</v>
      </c>
      <c r="C1481" s="31" t="str">
        <f t="shared" ref="C1481:C1536" si="78">"27010"</f>
        <v>27010</v>
      </c>
      <c r="D1481" s="31" t="s">
        <v>63</v>
      </c>
      <c r="E1481" s="34" t="str">
        <f>"4575"</f>
        <v>4575</v>
      </c>
      <c r="F1481" s="31" t="s">
        <v>64</v>
      </c>
      <c r="G1481" s="1"/>
      <c r="H1481" s="1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</row>
    <row r="1482" spans="1:22" x14ac:dyDescent="0.25">
      <c r="A1482" t="str">
        <f t="shared" si="76"/>
        <v>17801</v>
      </c>
      <c r="B1482" s="34">
        <v>121</v>
      </c>
      <c r="C1482" s="31" t="str">
        <f t="shared" si="78"/>
        <v>27010</v>
      </c>
      <c r="D1482" s="31" t="s">
        <v>63</v>
      </c>
      <c r="E1482" s="34" t="str">
        <f>"2940"</f>
        <v>2940</v>
      </c>
      <c r="F1482" s="31" t="s">
        <v>73</v>
      </c>
      <c r="G1482" s="1"/>
      <c r="H1482" s="1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</row>
    <row r="1483" spans="1:22" x14ac:dyDescent="0.25">
      <c r="A1483" t="str">
        <f t="shared" si="76"/>
        <v>17801</v>
      </c>
      <c r="B1483" s="34">
        <v>121</v>
      </c>
      <c r="C1483" s="31" t="str">
        <f t="shared" si="78"/>
        <v>27010</v>
      </c>
      <c r="D1483" s="31" t="s">
        <v>63</v>
      </c>
      <c r="E1483" s="34" t="str">
        <f>"3054"</f>
        <v>3054</v>
      </c>
      <c r="F1483" s="31" t="s">
        <v>105</v>
      </c>
      <c r="G1483" s="1"/>
      <c r="H1483" s="1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</row>
    <row r="1484" spans="1:22" x14ac:dyDescent="0.25">
      <c r="A1484" t="str">
        <f t="shared" si="76"/>
        <v>17801</v>
      </c>
      <c r="B1484" s="34">
        <v>121</v>
      </c>
      <c r="C1484" s="31" t="str">
        <f t="shared" si="78"/>
        <v>27010</v>
      </c>
      <c r="D1484" s="31" t="s">
        <v>63</v>
      </c>
      <c r="E1484" s="34" t="str">
        <f>"3449"</f>
        <v>3449</v>
      </c>
      <c r="F1484" s="31" t="s">
        <v>159</v>
      </c>
      <c r="G1484" s="1"/>
      <c r="H1484" s="1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</row>
    <row r="1485" spans="1:22" x14ac:dyDescent="0.25">
      <c r="A1485" t="str">
        <f t="shared" si="76"/>
        <v>17801</v>
      </c>
      <c r="B1485" s="34">
        <v>121</v>
      </c>
      <c r="C1485" s="31" t="str">
        <f t="shared" si="78"/>
        <v>27010</v>
      </c>
      <c r="D1485" s="31" t="s">
        <v>63</v>
      </c>
      <c r="E1485" s="34" t="str">
        <f>"2094"</f>
        <v>2094</v>
      </c>
      <c r="F1485" s="31" t="s">
        <v>169</v>
      </c>
      <c r="G1485" s="1"/>
      <c r="H1485" s="1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</row>
    <row r="1486" spans="1:22" x14ac:dyDescent="0.25">
      <c r="A1486" t="str">
        <f t="shared" si="76"/>
        <v>17801</v>
      </c>
      <c r="B1486" s="34">
        <v>121</v>
      </c>
      <c r="C1486" s="31" t="str">
        <f t="shared" si="78"/>
        <v>27010</v>
      </c>
      <c r="D1486" s="31" t="s">
        <v>63</v>
      </c>
      <c r="E1486" s="34" t="str">
        <f>"3646"</f>
        <v>3646</v>
      </c>
      <c r="F1486" s="31" t="s">
        <v>182</v>
      </c>
      <c r="G1486" s="1"/>
      <c r="H1486" s="1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</row>
    <row r="1487" spans="1:22" x14ac:dyDescent="0.25">
      <c r="A1487" t="str">
        <f t="shared" si="76"/>
        <v>17801</v>
      </c>
      <c r="B1487" s="34">
        <v>121</v>
      </c>
      <c r="C1487" s="31" t="str">
        <f t="shared" si="78"/>
        <v>27010</v>
      </c>
      <c r="D1487" s="31" t="s">
        <v>63</v>
      </c>
      <c r="E1487" s="34" t="str">
        <f>"2872"</f>
        <v>2872</v>
      </c>
      <c r="F1487" s="31" t="s">
        <v>212</v>
      </c>
      <c r="G1487" s="1"/>
      <c r="H1487" s="1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</row>
    <row r="1488" spans="1:22" x14ac:dyDescent="0.25">
      <c r="A1488" t="str">
        <f t="shared" si="76"/>
        <v>17801</v>
      </c>
      <c r="B1488" s="34">
        <v>121</v>
      </c>
      <c r="C1488" s="31" t="str">
        <f t="shared" si="78"/>
        <v>27010</v>
      </c>
      <c r="D1488" s="31" t="s">
        <v>63</v>
      </c>
      <c r="E1488" s="34" t="str">
        <f>"3397"</f>
        <v>3397</v>
      </c>
      <c r="F1488" s="31" t="s">
        <v>214</v>
      </c>
      <c r="G1488" s="1"/>
      <c r="H1488" s="1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</row>
    <row r="1489" spans="1:22" x14ac:dyDescent="0.25">
      <c r="A1489" t="str">
        <f t="shared" si="76"/>
        <v>17801</v>
      </c>
      <c r="B1489" s="34">
        <v>121</v>
      </c>
      <c r="C1489" s="31" t="str">
        <f t="shared" si="78"/>
        <v>27010</v>
      </c>
      <c r="D1489" s="31" t="s">
        <v>63</v>
      </c>
      <c r="E1489" s="34" t="str">
        <f>"4537"</f>
        <v>4537</v>
      </c>
      <c r="F1489" s="31" t="s">
        <v>448</v>
      </c>
      <c r="G1489" s="11"/>
      <c r="H1489" s="11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</row>
    <row r="1490" spans="1:22" x14ac:dyDescent="0.25">
      <c r="A1490" t="str">
        <f t="shared" si="76"/>
        <v>17801</v>
      </c>
      <c r="B1490" s="34">
        <v>121</v>
      </c>
      <c r="C1490" s="31" t="str">
        <f t="shared" si="78"/>
        <v>27010</v>
      </c>
      <c r="D1490" s="31" t="s">
        <v>63</v>
      </c>
      <c r="E1490" s="34" t="str">
        <f>"2939"</f>
        <v>2939</v>
      </c>
      <c r="F1490" s="31" t="s">
        <v>493</v>
      </c>
      <c r="G1490" s="1"/>
      <c r="H1490" s="1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</row>
    <row r="1491" spans="1:22" x14ac:dyDescent="0.25">
      <c r="A1491" t="str">
        <f t="shared" si="76"/>
        <v>17801</v>
      </c>
      <c r="B1491" s="34">
        <v>121</v>
      </c>
      <c r="C1491" s="31" t="str">
        <f t="shared" si="78"/>
        <v>27010</v>
      </c>
      <c r="D1491" s="31" t="s">
        <v>63</v>
      </c>
      <c r="E1491" s="34" t="str">
        <f>"2747"</f>
        <v>2747</v>
      </c>
      <c r="F1491" s="31" t="s">
        <v>514</v>
      </c>
      <c r="G1491" s="1"/>
      <c r="H1491" s="1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</row>
    <row r="1492" spans="1:22" x14ac:dyDescent="0.25">
      <c r="A1492" t="str">
        <f t="shared" si="76"/>
        <v>17801</v>
      </c>
      <c r="B1492" s="34">
        <v>121</v>
      </c>
      <c r="C1492" s="31" t="str">
        <f t="shared" si="78"/>
        <v>27010</v>
      </c>
      <c r="D1492" s="31" t="s">
        <v>63</v>
      </c>
      <c r="E1492" s="34" t="str">
        <f>"2871"</f>
        <v>2871</v>
      </c>
      <c r="F1492" s="31" t="s">
        <v>549</v>
      </c>
      <c r="G1492" s="1"/>
      <c r="H1492" s="1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</row>
    <row r="1493" spans="1:22" x14ac:dyDescent="0.25">
      <c r="A1493" t="str">
        <f t="shared" si="76"/>
        <v>17801</v>
      </c>
      <c r="B1493" s="34">
        <v>121</v>
      </c>
      <c r="C1493" s="31" t="str">
        <f t="shared" si="78"/>
        <v>27010</v>
      </c>
      <c r="D1493" s="31" t="s">
        <v>63</v>
      </c>
      <c r="E1493" s="34" t="str">
        <f>"2772"</f>
        <v>2772</v>
      </c>
      <c r="F1493" s="31" t="s">
        <v>619</v>
      </c>
      <c r="G1493" s="1"/>
      <c r="H1493" s="1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</row>
    <row r="1494" spans="1:22" x14ac:dyDescent="0.25">
      <c r="A1494" t="str">
        <f t="shared" si="76"/>
        <v>17801</v>
      </c>
      <c r="B1494" s="34">
        <v>121</v>
      </c>
      <c r="C1494" s="31" t="str">
        <f t="shared" si="78"/>
        <v>27010</v>
      </c>
      <c r="D1494" s="31" t="s">
        <v>63</v>
      </c>
      <c r="E1494" s="34" t="str">
        <f>"2167"</f>
        <v>2167</v>
      </c>
      <c r="F1494" s="31" t="s">
        <v>623</v>
      </c>
      <c r="G1494" s="1"/>
      <c r="H1494" s="1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</row>
    <row r="1495" spans="1:22" x14ac:dyDescent="0.25">
      <c r="A1495" t="str">
        <f t="shared" si="76"/>
        <v>17801</v>
      </c>
      <c r="B1495" s="34">
        <v>121</v>
      </c>
      <c r="C1495" s="31" t="str">
        <f t="shared" si="78"/>
        <v>27010</v>
      </c>
      <c r="D1495" s="31" t="s">
        <v>63</v>
      </c>
      <c r="E1495" s="34" t="str">
        <f>"5170"</f>
        <v>5170</v>
      </c>
      <c r="F1495" s="31" t="s">
        <v>638</v>
      </c>
      <c r="G1495" s="1"/>
      <c r="H1495" s="1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</row>
    <row r="1496" spans="1:22" x14ac:dyDescent="0.25">
      <c r="A1496" t="str">
        <f t="shared" si="76"/>
        <v>17801</v>
      </c>
      <c r="B1496" s="34">
        <v>121</v>
      </c>
      <c r="C1496" s="31" t="str">
        <f t="shared" si="78"/>
        <v>27010</v>
      </c>
      <c r="D1496" s="31" t="s">
        <v>63</v>
      </c>
      <c r="E1496" s="34" t="str">
        <f>"3880"</f>
        <v>3880</v>
      </c>
      <c r="F1496" s="31" t="s">
        <v>654</v>
      </c>
      <c r="G1496" s="1"/>
      <c r="H1496" s="1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</row>
    <row r="1497" spans="1:22" x14ac:dyDescent="0.25">
      <c r="A1497" t="str">
        <f t="shared" si="76"/>
        <v>17801</v>
      </c>
      <c r="B1497" s="34">
        <v>121</v>
      </c>
      <c r="C1497" s="31" t="str">
        <f t="shared" si="78"/>
        <v>27010</v>
      </c>
      <c r="D1497" s="31" t="s">
        <v>63</v>
      </c>
      <c r="E1497" s="34" t="str">
        <f>"2148"</f>
        <v>2148</v>
      </c>
      <c r="F1497" s="31" t="s">
        <v>659</v>
      </c>
      <c r="G1497" s="1"/>
      <c r="H1497" s="1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</row>
    <row r="1498" spans="1:22" x14ac:dyDescent="0.25">
      <c r="A1498" t="str">
        <f t="shared" si="76"/>
        <v>17801</v>
      </c>
      <c r="B1498" s="34">
        <v>121</v>
      </c>
      <c r="C1498" s="31" t="str">
        <f t="shared" si="78"/>
        <v>27010</v>
      </c>
      <c r="D1498" s="31" t="s">
        <v>63</v>
      </c>
      <c r="E1498" s="34" t="str">
        <f>"2746"</f>
        <v>2746</v>
      </c>
      <c r="F1498" s="31" t="s">
        <v>694</v>
      </c>
      <c r="G1498" s="1"/>
      <c r="H1498" s="1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</row>
    <row r="1499" spans="1:22" x14ac:dyDescent="0.25">
      <c r="A1499" t="str">
        <f t="shared" si="76"/>
        <v>17801</v>
      </c>
      <c r="B1499" s="34">
        <v>121</v>
      </c>
      <c r="C1499" s="31" t="str">
        <f t="shared" si="78"/>
        <v>27010</v>
      </c>
      <c r="D1499" s="31" t="s">
        <v>63</v>
      </c>
      <c r="E1499" s="34" t="str">
        <f>"3053"</f>
        <v>3053</v>
      </c>
      <c r="F1499" s="31" t="s">
        <v>738</v>
      </c>
      <c r="G1499" s="1"/>
      <c r="H1499" s="1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</row>
    <row r="1500" spans="1:22" x14ac:dyDescent="0.25">
      <c r="A1500" t="str">
        <f t="shared" si="76"/>
        <v>17801</v>
      </c>
      <c r="B1500" s="34">
        <v>121</v>
      </c>
      <c r="C1500" s="31" t="str">
        <f t="shared" si="78"/>
        <v>27010</v>
      </c>
      <c r="D1500" s="31" t="s">
        <v>63</v>
      </c>
      <c r="E1500" s="34" t="str">
        <f>"2377"</f>
        <v>2377</v>
      </c>
      <c r="F1500" s="31" t="s">
        <v>744</v>
      </c>
      <c r="G1500" s="1"/>
      <c r="H1500" s="1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</row>
    <row r="1501" spans="1:22" x14ac:dyDescent="0.25">
      <c r="A1501" t="str">
        <f t="shared" si="76"/>
        <v>17801</v>
      </c>
      <c r="B1501" s="34">
        <v>121</v>
      </c>
      <c r="C1501" s="31" t="str">
        <f t="shared" si="78"/>
        <v>27010</v>
      </c>
      <c r="D1501" s="31" t="s">
        <v>63</v>
      </c>
      <c r="E1501" s="34" t="str">
        <f>"5066"</f>
        <v>5066</v>
      </c>
      <c r="F1501" s="31" t="s">
        <v>797</v>
      </c>
      <c r="G1501" s="1"/>
      <c r="H1501" s="1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</row>
    <row r="1502" spans="1:22" x14ac:dyDescent="0.25">
      <c r="A1502" t="str">
        <f t="shared" si="76"/>
        <v>17801</v>
      </c>
      <c r="B1502" s="34">
        <v>121</v>
      </c>
      <c r="C1502" s="31" t="str">
        <f t="shared" si="78"/>
        <v>27010</v>
      </c>
      <c r="D1502" s="31" t="s">
        <v>63</v>
      </c>
      <c r="E1502" s="34">
        <v>5458</v>
      </c>
      <c r="F1502" s="31" t="s">
        <v>2103</v>
      </c>
      <c r="G1502" s="1"/>
      <c r="H1502" s="1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</row>
    <row r="1503" spans="1:22" x14ac:dyDescent="0.25">
      <c r="A1503" t="str">
        <f t="shared" si="76"/>
        <v>17801</v>
      </c>
      <c r="B1503" s="34">
        <v>121</v>
      </c>
      <c r="C1503" s="31" t="str">
        <f t="shared" si="78"/>
        <v>27010</v>
      </c>
      <c r="D1503" s="31" t="s">
        <v>63</v>
      </c>
      <c r="E1503" s="34" t="str">
        <f>"2338"</f>
        <v>2338</v>
      </c>
      <c r="F1503" s="31" t="s">
        <v>891</v>
      </c>
      <c r="G1503" s="1"/>
      <c r="H1503" s="1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</row>
    <row r="1504" spans="1:22" x14ac:dyDescent="0.25">
      <c r="A1504" t="str">
        <f t="shared" si="76"/>
        <v>17801</v>
      </c>
      <c r="B1504" s="34">
        <v>121</v>
      </c>
      <c r="C1504" s="31" t="str">
        <f t="shared" si="78"/>
        <v>27010</v>
      </c>
      <c r="D1504" s="31" t="s">
        <v>63</v>
      </c>
      <c r="E1504" s="34" t="str">
        <f>"2103"</f>
        <v>2103</v>
      </c>
      <c r="F1504" s="31" t="s">
        <v>894</v>
      </c>
      <c r="G1504" s="1"/>
      <c r="H1504" s="1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</row>
    <row r="1505" spans="1:22" x14ac:dyDescent="0.25">
      <c r="A1505" t="str">
        <f t="shared" si="76"/>
        <v>17801</v>
      </c>
      <c r="B1505" s="34">
        <v>121</v>
      </c>
      <c r="C1505" s="31" t="str">
        <f t="shared" si="78"/>
        <v>27010</v>
      </c>
      <c r="D1505" s="31" t="s">
        <v>63</v>
      </c>
      <c r="E1505" s="34" t="str">
        <f>"2036"</f>
        <v>2036</v>
      </c>
      <c r="F1505" s="31" t="s">
        <v>1018</v>
      </c>
      <c r="G1505" s="1"/>
      <c r="H1505" s="1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</row>
    <row r="1506" spans="1:22" x14ac:dyDescent="0.25">
      <c r="A1506" t="str">
        <f t="shared" si="76"/>
        <v>17801</v>
      </c>
      <c r="B1506" s="34">
        <v>121</v>
      </c>
      <c r="C1506" s="31" t="str">
        <f t="shared" si="78"/>
        <v>27010</v>
      </c>
      <c r="D1506" s="31" t="s">
        <v>63</v>
      </c>
      <c r="E1506" s="34" t="str">
        <f>"2215"</f>
        <v>2215</v>
      </c>
      <c r="F1506" s="31" t="s">
        <v>1054</v>
      </c>
      <c r="G1506" s="1"/>
      <c r="H1506" s="1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</row>
    <row r="1507" spans="1:22" x14ac:dyDescent="0.25">
      <c r="A1507" t="str">
        <f t="shared" si="76"/>
        <v>17801</v>
      </c>
      <c r="B1507" s="34">
        <v>121</v>
      </c>
      <c r="C1507" s="31" t="str">
        <f t="shared" si="78"/>
        <v>27010</v>
      </c>
      <c r="D1507" s="31" t="s">
        <v>63</v>
      </c>
      <c r="E1507" s="34" t="str">
        <f>"2771"</f>
        <v>2771</v>
      </c>
      <c r="F1507" s="31" t="s">
        <v>1067</v>
      </c>
      <c r="G1507" s="1"/>
      <c r="H1507" s="1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</row>
    <row r="1508" spans="1:22" x14ac:dyDescent="0.25">
      <c r="A1508" t="str">
        <f t="shared" si="76"/>
        <v>17801</v>
      </c>
      <c r="B1508" s="34">
        <v>121</v>
      </c>
      <c r="C1508" s="31" t="str">
        <f t="shared" si="78"/>
        <v>27010</v>
      </c>
      <c r="D1508" s="31" t="s">
        <v>63</v>
      </c>
      <c r="E1508" s="34" t="str">
        <f>"2805"</f>
        <v>2805</v>
      </c>
      <c r="F1508" s="31" t="s">
        <v>1084</v>
      </c>
      <c r="G1508" s="1"/>
      <c r="H1508" s="1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</row>
    <row r="1509" spans="1:22" x14ac:dyDescent="0.25">
      <c r="A1509" t="str">
        <f t="shared" si="76"/>
        <v>17801</v>
      </c>
      <c r="B1509" s="34">
        <v>121</v>
      </c>
      <c r="C1509" s="31" t="str">
        <f t="shared" si="78"/>
        <v>27010</v>
      </c>
      <c r="D1509" s="31" t="s">
        <v>63</v>
      </c>
      <c r="E1509" s="34" t="str">
        <f>"2336"</f>
        <v>2336</v>
      </c>
      <c r="F1509" s="31" t="s">
        <v>1100</v>
      </c>
      <c r="G1509" s="1"/>
      <c r="H1509" s="1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</row>
    <row r="1510" spans="1:22" x14ac:dyDescent="0.25">
      <c r="A1510" t="str">
        <f t="shared" si="76"/>
        <v>17801</v>
      </c>
      <c r="B1510" s="34">
        <v>121</v>
      </c>
      <c r="C1510" s="31" t="str">
        <f t="shared" si="78"/>
        <v>27010</v>
      </c>
      <c r="D1510" s="31" t="s">
        <v>63</v>
      </c>
      <c r="E1510" s="34" t="str">
        <f>"2252"</f>
        <v>2252</v>
      </c>
      <c r="F1510" s="31" t="s">
        <v>1110</v>
      </c>
      <c r="G1510" s="1"/>
      <c r="H1510" s="1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</row>
    <row r="1511" spans="1:22" x14ac:dyDescent="0.25">
      <c r="A1511" t="str">
        <f t="shared" si="76"/>
        <v>17801</v>
      </c>
      <c r="B1511" s="34">
        <v>121</v>
      </c>
      <c r="C1511" s="31" t="str">
        <f t="shared" si="78"/>
        <v>27010</v>
      </c>
      <c r="D1511" s="31" t="s">
        <v>63</v>
      </c>
      <c r="E1511" s="34" t="str">
        <f>"2941"</f>
        <v>2941</v>
      </c>
      <c r="F1511" s="31" t="s">
        <v>1111</v>
      </c>
      <c r="G1511" s="1"/>
      <c r="H1511" s="1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</row>
    <row r="1512" spans="1:22" x14ac:dyDescent="0.25">
      <c r="A1512" t="str">
        <f t="shared" si="76"/>
        <v>17801</v>
      </c>
      <c r="B1512" s="34">
        <v>121</v>
      </c>
      <c r="C1512" s="31" t="str">
        <f t="shared" si="78"/>
        <v>27010</v>
      </c>
      <c r="D1512" s="31" t="s">
        <v>63</v>
      </c>
      <c r="E1512" s="34" t="str">
        <f>"2376"</f>
        <v>2376</v>
      </c>
      <c r="F1512" s="31" t="s">
        <v>1143</v>
      </c>
      <c r="G1512" s="1"/>
      <c r="H1512" s="1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</row>
    <row r="1513" spans="1:22" x14ac:dyDescent="0.25">
      <c r="A1513" t="str">
        <f t="shared" si="76"/>
        <v>17801</v>
      </c>
      <c r="B1513" s="34">
        <v>121</v>
      </c>
      <c r="C1513" s="31" t="str">
        <f t="shared" si="78"/>
        <v>27010</v>
      </c>
      <c r="D1513" s="31" t="s">
        <v>63</v>
      </c>
      <c r="E1513" s="34" t="str">
        <f>"3453"</f>
        <v>3453</v>
      </c>
      <c r="F1513" s="31" t="s">
        <v>1150</v>
      </c>
      <c r="G1513" s="1"/>
      <c r="H1513" s="1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</row>
    <row r="1514" spans="1:22" x14ac:dyDescent="0.25">
      <c r="A1514" t="str">
        <f t="shared" si="76"/>
        <v>17801</v>
      </c>
      <c r="B1514" s="34">
        <v>121</v>
      </c>
      <c r="C1514" s="31" t="str">
        <f t="shared" si="78"/>
        <v>27010</v>
      </c>
      <c r="D1514" s="31" t="s">
        <v>63</v>
      </c>
      <c r="E1514" s="34" t="str">
        <f>"3244"</f>
        <v>3244</v>
      </c>
      <c r="F1514" s="31" t="s">
        <v>1179</v>
      </c>
      <c r="G1514" s="1"/>
      <c r="H1514" s="1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</row>
    <row r="1515" spans="1:22" x14ac:dyDescent="0.25">
      <c r="A1515" t="str">
        <f t="shared" si="76"/>
        <v>17801</v>
      </c>
      <c r="B1515" s="34">
        <v>121</v>
      </c>
      <c r="C1515" s="31" t="str">
        <f t="shared" si="78"/>
        <v>27010</v>
      </c>
      <c r="D1515" s="31" t="s">
        <v>63</v>
      </c>
      <c r="E1515" s="34" t="str">
        <f>"3398"</f>
        <v>3398</v>
      </c>
      <c r="F1515" s="31" t="s">
        <v>1258</v>
      </c>
      <c r="G1515" s="1"/>
      <c r="H1515" s="1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</row>
    <row r="1516" spans="1:22" x14ac:dyDescent="0.25">
      <c r="A1516" t="str">
        <f t="shared" ref="A1516:A1569" si="79">"17801"</f>
        <v>17801</v>
      </c>
      <c r="B1516" s="34">
        <v>121</v>
      </c>
      <c r="C1516" s="31" t="str">
        <f t="shared" si="78"/>
        <v>27010</v>
      </c>
      <c r="D1516" s="31" t="s">
        <v>63</v>
      </c>
      <c r="E1516" s="34" t="str">
        <f>"2247"</f>
        <v>2247</v>
      </c>
      <c r="F1516" s="31" t="s">
        <v>1318</v>
      </c>
      <c r="G1516" s="1"/>
      <c r="H1516" s="1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</row>
    <row r="1517" spans="1:22" x14ac:dyDescent="0.25">
      <c r="A1517" t="str">
        <f t="shared" si="79"/>
        <v>17801</v>
      </c>
      <c r="B1517" s="34">
        <v>121</v>
      </c>
      <c r="C1517" s="31" t="str">
        <f t="shared" si="78"/>
        <v>27010</v>
      </c>
      <c r="D1517" s="31" t="s">
        <v>63</v>
      </c>
      <c r="E1517" s="34" t="str">
        <f>"4109"</f>
        <v>4109</v>
      </c>
      <c r="F1517" s="31" t="s">
        <v>1341</v>
      </c>
      <c r="G1517" s="1"/>
      <c r="H1517" s="1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</row>
    <row r="1518" spans="1:22" x14ac:dyDescent="0.25">
      <c r="A1518" t="str">
        <f t="shared" si="79"/>
        <v>17801</v>
      </c>
      <c r="B1518" s="34">
        <v>121</v>
      </c>
      <c r="C1518" s="31" t="str">
        <f t="shared" si="78"/>
        <v>27010</v>
      </c>
      <c r="D1518" s="31" t="s">
        <v>63</v>
      </c>
      <c r="E1518" s="34" t="str">
        <f>"4283"</f>
        <v>4283</v>
      </c>
      <c r="F1518" s="31" t="s">
        <v>1429</v>
      </c>
      <c r="G1518" s="1"/>
      <c r="H1518" s="1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</row>
    <row r="1519" spans="1:22" x14ac:dyDescent="0.25">
      <c r="A1519" t="str">
        <f t="shared" si="79"/>
        <v>17801</v>
      </c>
      <c r="B1519" s="34">
        <v>121</v>
      </c>
      <c r="C1519" s="31" t="str">
        <f t="shared" si="78"/>
        <v>27010</v>
      </c>
      <c r="D1519" s="31" t="s">
        <v>63</v>
      </c>
      <c r="E1519" s="34" t="str">
        <f>"2169"</f>
        <v>2169</v>
      </c>
      <c r="F1519" s="31" t="s">
        <v>1456</v>
      </c>
      <c r="G1519" s="1"/>
      <c r="H1519" s="1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</row>
    <row r="1520" spans="1:22" x14ac:dyDescent="0.25">
      <c r="A1520" t="str">
        <f t="shared" si="79"/>
        <v>17801</v>
      </c>
      <c r="B1520" s="34">
        <v>121</v>
      </c>
      <c r="C1520" s="31" t="str">
        <f t="shared" si="78"/>
        <v>27010</v>
      </c>
      <c r="D1520" s="31" t="s">
        <v>63</v>
      </c>
      <c r="E1520" s="34" t="str">
        <f>"2806"</f>
        <v>2806</v>
      </c>
      <c r="F1520" s="31" t="s">
        <v>1511</v>
      </c>
      <c r="G1520" s="1"/>
      <c r="H1520" s="1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</row>
    <row r="1521" spans="1:22" x14ac:dyDescent="0.25">
      <c r="A1521" t="str">
        <f t="shared" si="79"/>
        <v>17801</v>
      </c>
      <c r="B1521" s="34">
        <v>121</v>
      </c>
      <c r="C1521" s="31" t="str">
        <f t="shared" si="78"/>
        <v>27010</v>
      </c>
      <c r="D1521" s="31" t="s">
        <v>63</v>
      </c>
      <c r="E1521" s="34" t="str">
        <f>"2039"</f>
        <v>2039</v>
      </c>
      <c r="F1521" s="31" t="s">
        <v>1514</v>
      </c>
      <c r="G1521" s="1"/>
      <c r="H1521" s="1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</row>
    <row r="1522" spans="1:22" x14ac:dyDescent="0.25">
      <c r="A1522" t="str">
        <f t="shared" si="79"/>
        <v>17801</v>
      </c>
      <c r="B1522" s="34">
        <v>121</v>
      </c>
      <c r="C1522" s="31" t="str">
        <f t="shared" si="78"/>
        <v>27010</v>
      </c>
      <c r="D1522" s="31" t="s">
        <v>63</v>
      </c>
      <c r="E1522" s="34" t="str">
        <f>"2275"</f>
        <v>2275</v>
      </c>
      <c r="F1522" s="31" t="s">
        <v>1554</v>
      </c>
      <c r="G1522" s="1"/>
      <c r="H1522" s="1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</row>
    <row r="1523" spans="1:22" x14ac:dyDescent="0.25">
      <c r="A1523" t="str">
        <f t="shared" si="79"/>
        <v>17801</v>
      </c>
      <c r="B1523" s="34">
        <v>121</v>
      </c>
      <c r="C1523" s="31" t="str">
        <f t="shared" si="78"/>
        <v>27010</v>
      </c>
      <c r="D1523" s="31" t="s">
        <v>63</v>
      </c>
      <c r="E1523" s="34" t="str">
        <f>"5169"</f>
        <v>5169</v>
      </c>
      <c r="F1523" s="31" t="s">
        <v>1600</v>
      </c>
      <c r="G1523" s="1"/>
      <c r="H1523" s="1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</row>
    <row r="1524" spans="1:22" x14ac:dyDescent="0.25">
      <c r="A1524" t="str">
        <f t="shared" si="79"/>
        <v>17801</v>
      </c>
      <c r="B1524" s="34">
        <v>121</v>
      </c>
      <c r="C1524" s="31" t="str">
        <f t="shared" si="78"/>
        <v>27010</v>
      </c>
      <c r="D1524" s="31" t="s">
        <v>63</v>
      </c>
      <c r="E1524" s="34" t="str">
        <f>"2168"</f>
        <v>2168</v>
      </c>
      <c r="F1524" s="31" t="s">
        <v>1635</v>
      </c>
      <c r="G1524" s="1"/>
      <c r="H1524" s="1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</row>
    <row r="1525" spans="1:22" x14ac:dyDescent="0.25">
      <c r="A1525" t="str">
        <f t="shared" si="79"/>
        <v>17801</v>
      </c>
      <c r="B1525" s="34">
        <v>121</v>
      </c>
      <c r="C1525" s="31" t="str">
        <f t="shared" si="78"/>
        <v>27010</v>
      </c>
      <c r="D1525" s="31" t="s">
        <v>63</v>
      </c>
      <c r="E1525" s="34" t="str">
        <f>"2938"</f>
        <v>2938</v>
      </c>
      <c r="F1525" s="31" t="s">
        <v>1637</v>
      </c>
      <c r="G1525" s="1"/>
      <c r="H1525" s="1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</row>
    <row r="1526" spans="1:22" x14ac:dyDescent="0.25">
      <c r="A1526" t="str">
        <f t="shared" si="79"/>
        <v>17801</v>
      </c>
      <c r="B1526" s="34">
        <v>121</v>
      </c>
      <c r="C1526" s="31" t="str">
        <f t="shared" si="78"/>
        <v>27010</v>
      </c>
      <c r="D1526" s="31" t="s">
        <v>63</v>
      </c>
      <c r="E1526" s="34" t="str">
        <f>"3498"</f>
        <v>3498</v>
      </c>
      <c r="F1526" s="31" t="s">
        <v>1666</v>
      </c>
      <c r="G1526" s="1"/>
      <c r="H1526" s="1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</row>
    <row r="1527" spans="1:22" x14ac:dyDescent="0.25">
      <c r="A1527" t="str">
        <f t="shared" si="79"/>
        <v>17801</v>
      </c>
      <c r="B1527" s="34">
        <v>121</v>
      </c>
      <c r="C1527" s="31" t="str">
        <f t="shared" si="78"/>
        <v>27010</v>
      </c>
      <c r="D1527" s="31" t="s">
        <v>63</v>
      </c>
      <c r="E1527" s="34" t="str">
        <f>"2084"</f>
        <v>2084</v>
      </c>
      <c r="F1527" s="31" t="s">
        <v>1719</v>
      </c>
      <c r="G1527" s="1"/>
      <c r="H1527" s="1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</row>
    <row r="1528" spans="1:22" x14ac:dyDescent="0.25">
      <c r="A1528" t="str">
        <f t="shared" si="79"/>
        <v>17801</v>
      </c>
      <c r="B1528" s="34">
        <v>121</v>
      </c>
      <c r="C1528" s="31" t="str">
        <f t="shared" si="78"/>
        <v>27010</v>
      </c>
      <c r="D1528" s="31" t="s">
        <v>63</v>
      </c>
      <c r="E1528" s="34" t="str">
        <f>"2358"</f>
        <v>2358</v>
      </c>
      <c r="F1528" s="31" t="s">
        <v>1720</v>
      </c>
      <c r="G1528" s="1"/>
      <c r="H1528" s="1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</row>
    <row r="1529" spans="1:22" x14ac:dyDescent="0.25">
      <c r="A1529" t="str">
        <f t="shared" si="79"/>
        <v>17801</v>
      </c>
      <c r="B1529" s="34">
        <v>121</v>
      </c>
      <c r="C1529" s="31" t="str">
        <f t="shared" si="78"/>
        <v>27010</v>
      </c>
      <c r="D1529" s="31" t="s">
        <v>63</v>
      </c>
      <c r="E1529" s="34" t="str">
        <f>"2359"</f>
        <v>2359</v>
      </c>
      <c r="F1529" s="31" t="s">
        <v>1735</v>
      </c>
      <c r="G1529" s="1"/>
      <c r="H1529" s="1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</row>
    <row r="1530" spans="1:22" x14ac:dyDescent="0.25">
      <c r="A1530" t="str">
        <f t="shared" si="79"/>
        <v>17801</v>
      </c>
      <c r="B1530" s="34">
        <v>121</v>
      </c>
      <c r="C1530" s="31" t="str">
        <f t="shared" si="78"/>
        <v>27010</v>
      </c>
      <c r="D1530" s="31" t="s">
        <v>63</v>
      </c>
      <c r="E1530" s="34" t="str">
        <f>"1860"</f>
        <v>1860</v>
      </c>
      <c r="F1530" s="31" t="s">
        <v>1766</v>
      </c>
      <c r="G1530" s="1"/>
      <c r="H1530" s="1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</row>
    <row r="1531" spans="1:22" x14ac:dyDescent="0.25">
      <c r="A1531" t="str">
        <f t="shared" si="79"/>
        <v>17801</v>
      </c>
      <c r="B1531" s="34">
        <v>121</v>
      </c>
      <c r="C1531" s="31" t="str">
        <f t="shared" si="78"/>
        <v>27010</v>
      </c>
      <c r="D1531" s="31" t="s">
        <v>63</v>
      </c>
      <c r="E1531" s="34" t="str">
        <f>"3448"</f>
        <v>3448</v>
      </c>
      <c r="F1531" s="31" t="s">
        <v>1822</v>
      </c>
      <c r="G1531" s="11"/>
      <c r="H1531" s="11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</row>
    <row r="1532" spans="1:22" x14ac:dyDescent="0.25">
      <c r="A1532" t="str">
        <f t="shared" si="79"/>
        <v>17801</v>
      </c>
      <c r="B1532" s="34">
        <v>121</v>
      </c>
      <c r="C1532" s="31" t="str">
        <f t="shared" si="78"/>
        <v>27010</v>
      </c>
      <c r="D1532" s="31" t="s">
        <v>63</v>
      </c>
      <c r="E1532" s="34" t="str">
        <f>"3116"</f>
        <v>3116</v>
      </c>
      <c r="F1532" s="31" t="s">
        <v>1873</v>
      </c>
      <c r="G1532" s="1"/>
      <c r="H1532" s="1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</row>
    <row r="1533" spans="1:22" x14ac:dyDescent="0.25">
      <c r="A1533" t="str">
        <f t="shared" si="79"/>
        <v>17801</v>
      </c>
      <c r="B1533" s="34">
        <v>121</v>
      </c>
      <c r="C1533" s="31" t="str">
        <f t="shared" si="78"/>
        <v>27010</v>
      </c>
      <c r="D1533" s="31" t="s">
        <v>63</v>
      </c>
      <c r="E1533" s="34" t="str">
        <f>"2083"</f>
        <v>2083</v>
      </c>
      <c r="F1533" s="31" t="s">
        <v>1890</v>
      </c>
      <c r="G1533" s="1"/>
      <c r="H1533" s="1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</row>
    <row r="1534" spans="1:22" x14ac:dyDescent="0.25">
      <c r="A1534" t="str">
        <f t="shared" si="79"/>
        <v>17801</v>
      </c>
      <c r="B1534" s="34">
        <v>121</v>
      </c>
      <c r="C1534" s="31" t="str">
        <f t="shared" si="78"/>
        <v>27010</v>
      </c>
      <c r="D1534" s="31" t="s">
        <v>63</v>
      </c>
      <c r="E1534" s="34" t="str">
        <f>"2874"</f>
        <v>2874</v>
      </c>
      <c r="F1534" s="31" t="s">
        <v>1934</v>
      </c>
      <c r="G1534" s="1"/>
      <c r="H1534" s="1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</row>
    <row r="1535" spans="1:22" x14ac:dyDescent="0.25">
      <c r="A1535" t="str">
        <f t="shared" si="79"/>
        <v>17801</v>
      </c>
      <c r="B1535" s="34">
        <v>121</v>
      </c>
      <c r="C1535" s="31" t="str">
        <f t="shared" si="78"/>
        <v>27010</v>
      </c>
      <c r="D1535" s="31" t="s">
        <v>63</v>
      </c>
      <c r="E1535" s="34" t="str">
        <f>"3452"</f>
        <v>3452</v>
      </c>
      <c r="F1535" s="31" t="s">
        <v>1939</v>
      </c>
      <c r="G1535" s="1"/>
      <c r="H1535" s="1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</row>
    <row r="1536" spans="1:22" x14ac:dyDescent="0.25">
      <c r="A1536" t="str">
        <f t="shared" si="79"/>
        <v>17801</v>
      </c>
      <c r="B1536" s="34">
        <v>121</v>
      </c>
      <c r="C1536" s="31" t="str">
        <f t="shared" si="78"/>
        <v>27010</v>
      </c>
      <c r="D1536" s="31" t="s">
        <v>63</v>
      </c>
      <c r="E1536" s="34" t="str">
        <f>"3246"</f>
        <v>3246</v>
      </c>
      <c r="F1536" s="31" t="s">
        <v>1952</v>
      </c>
      <c r="G1536" s="1"/>
      <c r="H1536" s="1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</row>
    <row r="1537" spans="1:22" x14ac:dyDescent="0.25">
      <c r="A1537" t="str">
        <f t="shared" si="79"/>
        <v>17801</v>
      </c>
      <c r="B1537" s="34">
        <v>121</v>
      </c>
      <c r="C1537" s="35">
        <v>17409</v>
      </c>
      <c r="D1537" s="31" t="s">
        <v>289</v>
      </c>
      <c r="E1537" s="36">
        <v>5489</v>
      </c>
      <c r="F1537" s="31" t="s">
        <v>290</v>
      </c>
      <c r="G1537" s="1"/>
      <c r="H1537" s="1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</row>
    <row r="1538" spans="1:22" x14ac:dyDescent="0.25">
      <c r="A1538" t="str">
        <f t="shared" si="79"/>
        <v>17801</v>
      </c>
      <c r="B1538" s="34">
        <v>121</v>
      </c>
      <c r="C1538" s="35">
        <v>17409</v>
      </c>
      <c r="D1538" s="31" t="s">
        <v>289</v>
      </c>
      <c r="E1538" s="36">
        <v>4453</v>
      </c>
      <c r="F1538" s="31" t="s">
        <v>709</v>
      </c>
      <c r="G1538" s="1"/>
      <c r="H1538" s="1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</row>
    <row r="1539" spans="1:22" x14ac:dyDescent="0.25">
      <c r="A1539" t="str">
        <f t="shared" si="79"/>
        <v>17801</v>
      </c>
      <c r="B1539" s="34">
        <v>121</v>
      </c>
      <c r="C1539" s="35">
        <v>17409</v>
      </c>
      <c r="D1539" s="31" t="s">
        <v>289</v>
      </c>
      <c r="E1539" s="36">
        <v>3286</v>
      </c>
      <c r="F1539" s="31" t="s">
        <v>1001</v>
      </c>
      <c r="G1539" s="1"/>
      <c r="H1539" s="1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</row>
    <row r="1540" spans="1:22" x14ac:dyDescent="0.25">
      <c r="A1540" t="str">
        <f t="shared" si="79"/>
        <v>17801</v>
      </c>
      <c r="B1540" s="34">
        <v>121</v>
      </c>
      <c r="C1540" s="35">
        <v>17409</v>
      </c>
      <c r="D1540" s="31" t="s">
        <v>289</v>
      </c>
      <c r="E1540" s="36">
        <v>3937</v>
      </c>
      <c r="F1540" s="31" t="s">
        <v>1119</v>
      </c>
      <c r="G1540" s="1"/>
      <c r="H1540" s="1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</row>
    <row r="1541" spans="1:22" x14ac:dyDescent="0.25">
      <c r="A1541" t="str">
        <f t="shared" si="79"/>
        <v>17801</v>
      </c>
      <c r="B1541" s="34">
        <v>121</v>
      </c>
      <c r="C1541" s="35">
        <v>17409</v>
      </c>
      <c r="D1541" s="31" t="s">
        <v>289</v>
      </c>
      <c r="E1541" s="36">
        <v>4415</v>
      </c>
      <c r="F1541" s="31" t="s">
        <v>1550</v>
      </c>
      <c r="G1541" s="1"/>
      <c r="H1541" s="1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</row>
    <row r="1542" spans="1:22" x14ac:dyDescent="0.25">
      <c r="A1542" t="str">
        <f t="shared" si="79"/>
        <v>17801</v>
      </c>
      <c r="B1542" s="34">
        <v>121</v>
      </c>
      <c r="C1542" s="35">
        <v>17409</v>
      </c>
      <c r="D1542" s="31" t="s">
        <v>289</v>
      </c>
      <c r="E1542" s="36">
        <v>3589</v>
      </c>
      <c r="F1542" s="31" t="s">
        <v>1628</v>
      </c>
      <c r="G1542" s="1"/>
      <c r="H1542" s="1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</row>
    <row r="1543" spans="1:22" x14ac:dyDescent="0.25">
      <c r="A1543" t="str">
        <f t="shared" si="79"/>
        <v>17801</v>
      </c>
      <c r="B1543" s="34">
        <v>121</v>
      </c>
      <c r="C1543" s="35">
        <v>17409</v>
      </c>
      <c r="D1543" s="31" t="s">
        <v>289</v>
      </c>
      <c r="E1543" s="36">
        <v>3341</v>
      </c>
      <c r="F1543" s="31" t="s">
        <v>1745</v>
      </c>
      <c r="G1543" s="1"/>
      <c r="H1543" s="1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</row>
    <row r="1544" spans="1:22" x14ac:dyDescent="0.25">
      <c r="A1544" t="str">
        <f t="shared" si="79"/>
        <v>17801</v>
      </c>
      <c r="B1544" s="34">
        <v>121</v>
      </c>
      <c r="C1544" s="35">
        <v>17409</v>
      </c>
      <c r="D1544" s="31" t="s">
        <v>289</v>
      </c>
      <c r="E1544" s="36">
        <v>5490</v>
      </c>
      <c r="F1544" s="31" t="s">
        <v>1769</v>
      </c>
      <c r="G1544" s="1"/>
      <c r="H1544" s="1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</row>
    <row r="1545" spans="1:22" x14ac:dyDescent="0.25">
      <c r="A1545" t="str">
        <f t="shared" si="79"/>
        <v>17801</v>
      </c>
      <c r="B1545" s="34">
        <v>121</v>
      </c>
      <c r="C1545" s="35">
        <v>17409</v>
      </c>
      <c r="D1545" s="31" t="s">
        <v>289</v>
      </c>
      <c r="E1545" s="36">
        <v>2849</v>
      </c>
      <c r="F1545" s="31" t="s">
        <v>1770</v>
      </c>
      <c r="G1545" s="1"/>
      <c r="H1545" s="1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</row>
    <row r="1546" spans="1:22" x14ac:dyDescent="0.25">
      <c r="A1546" t="str">
        <f t="shared" si="79"/>
        <v>17801</v>
      </c>
      <c r="B1546" s="34">
        <v>121</v>
      </c>
      <c r="C1546" s="35">
        <v>17406</v>
      </c>
      <c r="D1546" s="31" t="s">
        <v>269</v>
      </c>
      <c r="E1546" s="36">
        <v>3226</v>
      </c>
      <c r="F1546" s="31" t="s">
        <v>270</v>
      </c>
      <c r="G1546" s="1"/>
      <c r="H1546" s="1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</row>
    <row r="1547" spans="1:22" x14ac:dyDescent="0.25">
      <c r="A1547" t="str">
        <f t="shared" si="79"/>
        <v>17801</v>
      </c>
      <c r="B1547" s="34">
        <v>121</v>
      </c>
      <c r="C1547" s="35">
        <v>17406</v>
      </c>
      <c r="D1547" s="31" t="s">
        <v>269</v>
      </c>
      <c r="E1547" s="36">
        <v>2848</v>
      </c>
      <c r="F1547" s="31" t="s">
        <v>655</v>
      </c>
      <c r="G1547" s="1"/>
      <c r="H1547" s="1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</row>
    <row r="1548" spans="1:22" x14ac:dyDescent="0.25">
      <c r="A1548" t="str">
        <f t="shared" si="79"/>
        <v>17801</v>
      </c>
      <c r="B1548" s="34">
        <v>121</v>
      </c>
      <c r="C1548" s="35">
        <v>17406</v>
      </c>
      <c r="D1548" s="31" t="s">
        <v>269</v>
      </c>
      <c r="E1548" s="36">
        <v>2564</v>
      </c>
      <c r="F1548" s="31" t="s">
        <v>1647</v>
      </c>
      <c r="G1548" s="1"/>
      <c r="H1548" s="1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</row>
    <row r="1549" spans="1:22" x14ac:dyDescent="0.25">
      <c r="A1549" t="str">
        <f t="shared" si="79"/>
        <v>17801</v>
      </c>
      <c r="B1549" s="34">
        <v>121</v>
      </c>
      <c r="C1549" s="35">
        <v>17406</v>
      </c>
      <c r="D1549" s="31" t="s">
        <v>269</v>
      </c>
      <c r="E1549" s="36">
        <v>3635</v>
      </c>
      <c r="F1549" s="31" t="s">
        <v>1789</v>
      </c>
      <c r="G1549" s="1"/>
      <c r="H1549" s="1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</row>
    <row r="1550" spans="1:22" x14ac:dyDescent="0.25">
      <c r="A1550" t="str">
        <f t="shared" si="79"/>
        <v>17801</v>
      </c>
      <c r="B1550" s="34">
        <v>121</v>
      </c>
      <c r="C1550" s="35">
        <v>17406</v>
      </c>
      <c r="D1550" s="31" t="s">
        <v>269</v>
      </c>
      <c r="E1550" s="36">
        <v>3488</v>
      </c>
      <c r="F1550" s="31" t="s">
        <v>1825</v>
      </c>
      <c r="G1550" s="1"/>
      <c r="H1550" s="1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</row>
    <row r="1551" spans="1:22" x14ac:dyDescent="0.25">
      <c r="A1551" t="str">
        <f t="shared" si="79"/>
        <v>17801</v>
      </c>
      <c r="B1551" s="33">
        <v>121</v>
      </c>
      <c r="C1551" t="str">
        <f t="shared" ref="C1551:C1558" si="80">"27083"</f>
        <v>27083</v>
      </c>
      <c r="D1551" t="s">
        <v>323</v>
      </c>
      <c r="E1551" s="33" t="str">
        <f>"3792"</f>
        <v>3792</v>
      </c>
      <c r="F1551" t="s">
        <v>324</v>
      </c>
      <c r="G1551" s="1"/>
      <c r="H1551" s="1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</row>
    <row r="1552" spans="1:22" x14ac:dyDescent="0.25">
      <c r="A1552" t="str">
        <f t="shared" si="79"/>
        <v>17801</v>
      </c>
      <c r="B1552" s="33">
        <v>121</v>
      </c>
      <c r="C1552" t="str">
        <f t="shared" si="80"/>
        <v>27083</v>
      </c>
      <c r="D1552" t="s">
        <v>323</v>
      </c>
      <c r="E1552" s="33" t="str">
        <f>"3179"</f>
        <v>3179</v>
      </c>
      <c r="F1552" t="s">
        <v>460</v>
      </c>
      <c r="G1552" s="1"/>
      <c r="H1552" s="1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</row>
    <row r="1553" spans="1:22" x14ac:dyDescent="0.25">
      <c r="A1553" t="str">
        <f t="shared" si="79"/>
        <v>17801</v>
      </c>
      <c r="B1553" s="33">
        <v>121</v>
      </c>
      <c r="C1553" t="str">
        <f t="shared" si="80"/>
        <v>27083</v>
      </c>
      <c r="D1553" t="s">
        <v>323</v>
      </c>
      <c r="E1553" s="33" t="str">
        <f>"3600"</f>
        <v>3600</v>
      </c>
      <c r="F1553" t="s">
        <v>461</v>
      </c>
      <c r="G1553" s="1"/>
      <c r="H1553" s="1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</row>
    <row r="1554" spans="1:22" x14ac:dyDescent="0.25">
      <c r="A1554" t="str">
        <f t="shared" si="79"/>
        <v>17801</v>
      </c>
      <c r="B1554" s="33">
        <v>121</v>
      </c>
      <c r="C1554" t="str">
        <f t="shared" si="80"/>
        <v>27083</v>
      </c>
      <c r="D1554" t="s">
        <v>323</v>
      </c>
      <c r="E1554" s="33" t="str">
        <f>"4325"</f>
        <v>4325</v>
      </c>
      <c r="F1554" t="s">
        <v>515</v>
      </c>
      <c r="G1554" s="1"/>
      <c r="H1554" s="1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</row>
    <row r="1555" spans="1:22" x14ac:dyDescent="0.25">
      <c r="A1555" t="str">
        <f t="shared" si="79"/>
        <v>17801</v>
      </c>
      <c r="B1555" s="33">
        <v>121</v>
      </c>
      <c r="C1555" t="str">
        <f t="shared" si="80"/>
        <v>27083</v>
      </c>
      <c r="D1555" t="s">
        <v>323</v>
      </c>
      <c r="E1555" s="33" t="str">
        <f>"4447"</f>
        <v>4447</v>
      </c>
      <c r="F1555" t="s">
        <v>605</v>
      </c>
      <c r="G1555" s="1"/>
      <c r="H1555" s="1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</row>
    <row r="1556" spans="1:22" x14ac:dyDescent="0.25">
      <c r="A1556" t="str">
        <f t="shared" si="79"/>
        <v>17801</v>
      </c>
      <c r="B1556" s="33">
        <v>121</v>
      </c>
      <c r="C1556" t="str">
        <f t="shared" si="80"/>
        <v>27083</v>
      </c>
      <c r="D1556" t="s">
        <v>323</v>
      </c>
      <c r="E1556" s="33" t="str">
        <f>"3296"</f>
        <v>3296</v>
      </c>
      <c r="F1556" t="s">
        <v>1275</v>
      </c>
      <c r="G1556" s="1"/>
      <c r="H1556" s="1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</row>
    <row r="1557" spans="1:22" x14ac:dyDescent="0.25">
      <c r="A1557" t="str">
        <f t="shared" si="79"/>
        <v>17801</v>
      </c>
      <c r="B1557" s="33">
        <v>121</v>
      </c>
      <c r="C1557" t="str">
        <f t="shared" si="80"/>
        <v>27083</v>
      </c>
      <c r="D1557" t="s">
        <v>323</v>
      </c>
      <c r="E1557" s="33" t="str">
        <f>"3601"</f>
        <v>3601</v>
      </c>
      <c r="F1557" t="s">
        <v>1760</v>
      </c>
      <c r="G1557" s="1"/>
      <c r="H1557" s="1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</row>
    <row r="1558" spans="1:22" x14ac:dyDescent="0.25">
      <c r="A1558" t="str">
        <f t="shared" si="79"/>
        <v>17801</v>
      </c>
      <c r="B1558" s="33">
        <v>121</v>
      </c>
      <c r="C1558" t="str">
        <f t="shared" si="80"/>
        <v>27083</v>
      </c>
      <c r="D1558" t="s">
        <v>323</v>
      </c>
      <c r="E1558" s="33" t="str">
        <f>"2223"</f>
        <v>2223</v>
      </c>
      <c r="F1558" t="s">
        <v>1840</v>
      </c>
      <c r="G1558" s="1"/>
      <c r="H1558" s="1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</row>
    <row r="1559" spans="1:22" x14ac:dyDescent="0.25">
      <c r="A1559" t="str">
        <f t="shared" si="79"/>
        <v>17801</v>
      </c>
      <c r="B1559" s="33">
        <v>121</v>
      </c>
      <c r="C1559" s="35">
        <v>17402</v>
      </c>
      <c r="D1559" t="s">
        <v>333</v>
      </c>
      <c r="E1559" s="36">
        <v>4468</v>
      </c>
      <c r="F1559" t="s">
        <v>334</v>
      </c>
      <c r="G1559" s="1"/>
      <c r="H1559" s="1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</row>
    <row r="1560" spans="1:22" x14ac:dyDescent="0.25">
      <c r="A1560" t="str">
        <f t="shared" si="79"/>
        <v>17801</v>
      </c>
      <c r="B1560" s="33">
        <v>121</v>
      </c>
      <c r="C1560" s="35">
        <v>17402</v>
      </c>
      <c r="D1560" t="s">
        <v>333</v>
      </c>
      <c r="E1560" s="36">
        <v>1822</v>
      </c>
      <c r="F1560" t="s">
        <v>617</v>
      </c>
      <c r="G1560" s="1"/>
      <c r="H1560" s="1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</row>
    <row r="1561" spans="1:22" x14ac:dyDescent="0.25">
      <c r="A1561" t="str">
        <f t="shared" si="79"/>
        <v>17801</v>
      </c>
      <c r="B1561" s="33">
        <v>121</v>
      </c>
      <c r="C1561" s="35">
        <v>17402</v>
      </c>
      <c r="D1561" t="s">
        <v>333</v>
      </c>
      <c r="E1561" s="36">
        <v>3667</v>
      </c>
      <c r="F1561" t="s">
        <v>1166</v>
      </c>
      <c r="G1561" s="1"/>
      <c r="H1561" s="1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</row>
    <row r="1562" spans="1:22" x14ac:dyDescent="0.25">
      <c r="A1562" t="str">
        <f t="shared" si="79"/>
        <v>17801</v>
      </c>
      <c r="B1562" s="33">
        <v>121</v>
      </c>
      <c r="C1562" s="35">
        <v>17402</v>
      </c>
      <c r="D1562" t="s">
        <v>333</v>
      </c>
      <c r="E1562" s="36">
        <v>1938</v>
      </c>
      <c r="F1562" t="s">
        <v>1739</v>
      </c>
      <c r="G1562" s="1"/>
      <c r="H1562" s="1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</row>
    <row r="1563" spans="1:22" x14ac:dyDescent="0.25">
      <c r="A1563" t="str">
        <f t="shared" si="79"/>
        <v>17801</v>
      </c>
      <c r="B1563" s="33">
        <v>121</v>
      </c>
      <c r="C1563" s="35">
        <v>17402</v>
      </c>
      <c r="D1563" t="s">
        <v>333</v>
      </c>
      <c r="E1563" s="36">
        <v>2419</v>
      </c>
      <c r="F1563" t="s">
        <v>1853</v>
      </c>
      <c r="G1563" s="1"/>
      <c r="H1563" s="1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</row>
    <row r="1564" spans="1:22" x14ac:dyDescent="0.25">
      <c r="A1564" t="str">
        <f t="shared" si="79"/>
        <v>17801</v>
      </c>
      <c r="B1564" s="34">
        <v>121</v>
      </c>
      <c r="C1564" s="35">
        <v>27416</v>
      </c>
      <c r="D1564" s="2" t="s">
        <v>564</v>
      </c>
      <c r="E1564" s="36">
        <v>2190</v>
      </c>
      <c r="F1564" s="2" t="s">
        <v>565</v>
      </c>
      <c r="G1564" s="1"/>
      <c r="H1564" s="1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</row>
    <row r="1565" spans="1:22" x14ac:dyDescent="0.25">
      <c r="A1565" t="str">
        <f t="shared" si="79"/>
        <v>17801</v>
      </c>
      <c r="B1565" s="34">
        <v>121</v>
      </c>
      <c r="C1565" s="35">
        <v>27416</v>
      </c>
      <c r="D1565" s="2" t="s">
        <v>564</v>
      </c>
      <c r="E1565" s="36">
        <v>4309</v>
      </c>
      <c r="F1565" s="2" t="s">
        <v>643</v>
      </c>
      <c r="G1565" s="1"/>
      <c r="H1565" s="1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</row>
    <row r="1566" spans="1:22" x14ac:dyDescent="0.25">
      <c r="A1566" t="str">
        <f t="shared" si="79"/>
        <v>17801</v>
      </c>
      <c r="B1566" s="34">
        <v>121</v>
      </c>
      <c r="C1566" s="35">
        <v>27416</v>
      </c>
      <c r="D1566" s="2" t="s">
        <v>564</v>
      </c>
      <c r="E1566" s="36">
        <v>3458</v>
      </c>
      <c r="F1566" s="2" t="s">
        <v>708</v>
      </c>
      <c r="G1566" s="1"/>
      <c r="H1566" s="1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</row>
    <row r="1567" spans="1:22" x14ac:dyDescent="0.25">
      <c r="A1567" t="str">
        <f t="shared" si="79"/>
        <v>17801</v>
      </c>
      <c r="B1567" s="34">
        <v>121</v>
      </c>
      <c r="C1567" s="35">
        <v>27416</v>
      </c>
      <c r="D1567" s="2" t="s">
        <v>564</v>
      </c>
      <c r="E1567" s="36">
        <v>4471</v>
      </c>
      <c r="F1567" s="2" t="s">
        <v>1246</v>
      </c>
      <c r="G1567" s="1"/>
      <c r="H1567" s="1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</row>
    <row r="1568" spans="1:22" x14ac:dyDescent="0.25">
      <c r="A1568" t="str">
        <f t="shared" si="79"/>
        <v>17801</v>
      </c>
      <c r="B1568" s="34">
        <v>121</v>
      </c>
      <c r="C1568" s="35">
        <v>27416</v>
      </c>
      <c r="D1568" s="2" t="s">
        <v>564</v>
      </c>
      <c r="E1568" s="36">
        <v>4569</v>
      </c>
      <c r="F1568" s="2" t="s">
        <v>1932</v>
      </c>
      <c r="G1568" s="1"/>
      <c r="H1568" s="1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</row>
    <row r="1569" spans="1:22" x14ac:dyDescent="0.25">
      <c r="A1569" t="str">
        <f t="shared" si="79"/>
        <v>17801</v>
      </c>
      <c r="B1569" s="34">
        <v>121</v>
      </c>
      <c r="C1569" s="35">
        <v>27416</v>
      </c>
      <c r="D1569" s="2" t="s">
        <v>564</v>
      </c>
      <c r="E1569" s="36">
        <v>4170</v>
      </c>
      <c r="F1569" s="2" t="s">
        <v>1946</v>
      </c>
      <c r="G1569" s="1"/>
      <c r="H1569" s="1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</row>
    <row r="1570" spans="1:22" x14ac:dyDescent="0.25">
      <c r="A1570" t="str">
        <f t="shared" ref="A1570:A1633" si="81">"11801"</f>
        <v>11801</v>
      </c>
      <c r="B1570" s="33">
        <v>123</v>
      </c>
      <c r="C1570" s="35">
        <v>2420</v>
      </c>
      <c r="D1570" t="s">
        <v>86</v>
      </c>
      <c r="E1570" s="36">
        <v>2507</v>
      </c>
      <c r="F1570" t="s">
        <v>87</v>
      </c>
      <c r="G1570" s="1"/>
      <c r="H1570" s="1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</row>
    <row r="1571" spans="1:22" x14ac:dyDescent="0.25">
      <c r="A1571" t="str">
        <f t="shared" si="81"/>
        <v>11801</v>
      </c>
      <c r="B1571" s="33">
        <v>123</v>
      </c>
      <c r="C1571" s="35">
        <v>2420</v>
      </c>
      <c r="D1571" t="s">
        <v>86</v>
      </c>
      <c r="E1571" s="36">
        <v>2434</v>
      </c>
      <c r="F1571" t="s">
        <v>88</v>
      </c>
      <c r="G1571" s="1"/>
      <c r="H1571" s="1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</row>
    <row r="1572" spans="1:22" x14ac:dyDescent="0.25">
      <c r="A1572" t="str">
        <f t="shared" si="81"/>
        <v>11801</v>
      </c>
      <c r="B1572" s="34">
        <v>123</v>
      </c>
      <c r="C1572" s="31" t="str">
        <f t="shared" ref="C1572:C1578" si="82">"02250"</f>
        <v>02250</v>
      </c>
      <c r="D1572" s="31" t="s">
        <v>326</v>
      </c>
      <c r="E1572" s="34" t="str">
        <f>"2299"</f>
        <v>2299</v>
      </c>
      <c r="F1572" s="31" t="s">
        <v>327</v>
      </c>
      <c r="G1572" s="1"/>
      <c r="H1572" s="1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</row>
    <row r="1573" spans="1:22" x14ac:dyDescent="0.25">
      <c r="A1573" t="str">
        <f t="shared" si="81"/>
        <v>11801</v>
      </c>
      <c r="B1573" s="34">
        <v>123</v>
      </c>
      <c r="C1573" s="31" t="str">
        <f t="shared" si="82"/>
        <v>02250</v>
      </c>
      <c r="D1573" s="31" t="s">
        <v>326</v>
      </c>
      <c r="E1573" s="34" t="str">
        <f>"1617"</f>
        <v>1617</v>
      </c>
      <c r="F1573" s="31" t="s">
        <v>556</v>
      </c>
      <c r="G1573" s="1"/>
      <c r="H1573" s="1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</row>
    <row r="1574" spans="1:22" x14ac:dyDescent="0.25">
      <c r="A1574" t="str">
        <f t="shared" si="81"/>
        <v>11801</v>
      </c>
      <c r="B1574" s="34">
        <v>123</v>
      </c>
      <c r="C1574" s="31" t="str">
        <f t="shared" si="82"/>
        <v>02250</v>
      </c>
      <c r="D1574" s="31" t="s">
        <v>326</v>
      </c>
      <c r="E1574" s="34" t="str">
        <f>"2962"</f>
        <v>2962</v>
      </c>
      <c r="F1574" s="31" t="s">
        <v>741</v>
      </c>
      <c r="G1574" s="1"/>
      <c r="H1574" s="1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</row>
    <row r="1575" spans="1:22" x14ac:dyDescent="0.25">
      <c r="A1575" t="str">
        <f t="shared" si="81"/>
        <v>11801</v>
      </c>
      <c r="B1575" s="34">
        <v>123</v>
      </c>
      <c r="C1575" s="31" t="str">
        <f t="shared" si="82"/>
        <v>02250</v>
      </c>
      <c r="D1575" s="31" t="s">
        <v>326</v>
      </c>
      <c r="E1575" s="34" t="str">
        <f>"4384"</f>
        <v>4384</v>
      </c>
      <c r="F1575" s="31" t="s">
        <v>796</v>
      </c>
      <c r="G1575" s="1"/>
      <c r="H1575" s="1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</row>
    <row r="1576" spans="1:22" x14ac:dyDescent="0.25">
      <c r="A1576" t="str">
        <f t="shared" si="81"/>
        <v>11801</v>
      </c>
      <c r="B1576" s="34">
        <v>123</v>
      </c>
      <c r="C1576" s="31" t="str">
        <f t="shared" si="82"/>
        <v>02250</v>
      </c>
      <c r="D1576" s="31" t="s">
        <v>326</v>
      </c>
      <c r="E1576" s="34" t="str">
        <f>"3266"</f>
        <v>3266</v>
      </c>
      <c r="F1576" s="31" t="s">
        <v>806</v>
      </c>
      <c r="G1576" s="1"/>
      <c r="H1576" s="1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</row>
    <row r="1577" spans="1:22" x14ac:dyDescent="0.25">
      <c r="A1577" t="str">
        <f t="shared" si="81"/>
        <v>11801</v>
      </c>
      <c r="B1577" s="34">
        <v>123</v>
      </c>
      <c r="C1577" s="31" t="str">
        <f t="shared" si="82"/>
        <v>02250</v>
      </c>
      <c r="D1577" s="31" t="s">
        <v>326</v>
      </c>
      <c r="E1577" s="34" t="str">
        <f>"2501"</f>
        <v>2501</v>
      </c>
      <c r="F1577" s="31" t="s">
        <v>1061</v>
      </c>
      <c r="G1577" s="1"/>
      <c r="H1577" s="1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</row>
    <row r="1578" spans="1:22" x14ac:dyDescent="0.25">
      <c r="A1578" t="str">
        <f t="shared" si="81"/>
        <v>11801</v>
      </c>
      <c r="B1578" s="34">
        <v>123</v>
      </c>
      <c r="C1578" s="31" t="str">
        <f t="shared" si="82"/>
        <v>02250</v>
      </c>
      <c r="D1578" s="31" t="s">
        <v>326</v>
      </c>
      <c r="E1578" s="34" t="str">
        <f>"2823"</f>
        <v>2823</v>
      </c>
      <c r="F1578" s="31" t="s">
        <v>1422</v>
      </c>
      <c r="G1578" s="1"/>
      <c r="H1578" s="1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</row>
    <row r="1579" spans="1:22" x14ac:dyDescent="0.25">
      <c r="A1579" t="str">
        <f t="shared" si="81"/>
        <v>11801</v>
      </c>
      <c r="B1579" s="33">
        <v>123</v>
      </c>
      <c r="C1579" s="35">
        <v>36250</v>
      </c>
      <c r="D1579" s="44" t="s">
        <v>385</v>
      </c>
      <c r="E1579" s="36">
        <v>5362</v>
      </c>
      <c r="F1579" s="44" t="s">
        <v>386</v>
      </c>
      <c r="G1579" s="1"/>
      <c r="H1579" s="1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</row>
    <row r="1580" spans="1:22" x14ac:dyDescent="0.25">
      <c r="A1580" t="str">
        <f t="shared" si="81"/>
        <v>11801</v>
      </c>
      <c r="B1580" s="33">
        <v>123</v>
      </c>
      <c r="C1580" s="35">
        <v>36250</v>
      </c>
      <c r="D1580" s="44" t="s">
        <v>385</v>
      </c>
      <c r="E1580" s="36">
        <v>2114</v>
      </c>
      <c r="F1580" s="44" t="s">
        <v>476</v>
      </c>
      <c r="G1580" s="1"/>
      <c r="H1580" s="1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</row>
    <row r="1581" spans="1:22" x14ac:dyDescent="0.25">
      <c r="A1581" t="str">
        <f t="shared" si="81"/>
        <v>11801</v>
      </c>
      <c r="B1581" s="33">
        <v>123</v>
      </c>
      <c r="C1581" s="35">
        <v>36250</v>
      </c>
      <c r="D1581" s="44" t="s">
        <v>385</v>
      </c>
      <c r="E1581" s="36">
        <v>3541</v>
      </c>
      <c r="F1581" s="44" t="s">
        <v>909</v>
      </c>
      <c r="G1581" s="1"/>
      <c r="H1581" s="1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</row>
    <row r="1582" spans="1:22" x14ac:dyDescent="0.25">
      <c r="A1582" t="str">
        <f t="shared" si="81"/>
        <v>11801</v>
      </c>
      <c r="B1582" s="33">
        <v>123</v>
      </c>
      <c r="C1582" s="35">
        <v>36400</v>
      </c>
      <c r="D1582" t="s">
        <v>392</v>
      </c>
      <c r="E1582" s="36">
        <v>3613</v>
      </c>
      <c r="F1582" t="s">
        <v>393</v>
      </c>
      <c r="G1582" s="1"/>
      <c r="H1582" s="1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</row>
    <row r="1583" spans="1:22" x14ac:dyDescent="0.25">
      <c r="A1583" t="str">
        <f t="shared" si="81"/>
        <v>11801</v>
      </c>
      <c r="B1583" s="33">
        <v>123</v>
      </c>
      <c r="C1583" s="35">
        <v>36400</v>
      </c>
      <c r="D1583" t="s">
        <v>392</v>
      </c>
      <c r="E1583" s="36">
        <v>4049</v>
      </c>
      <c r="F1583" t="s">
        <v>398</v>
      </c>
      <c r="G1583" s="1"/>
      <c r="H1583" s="1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</row>
    <row r="1584" spans="1:22" x14ac:dyDescent="0.25">
      <c r="A1584" t="str">
        <f t="shared" si="81"/>
        <v>11801</v>
      </c>
      <c r="B1584" s="33">
        <v>123</v>
      </c>
      <c r="C1584" s="35">
        <v>36400</v>
      </c>
      <c r="D1584" t="s">
        <v>392</v>
      </c>
      <c r="E1584" s="36">
        <v>3012</v>
      </c>
      <c r="F1584" t="s">
        <v>401</v>
      </c>
      <c r="G1584" s="1"/>
      <c r="H1584" s="1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</row>
    <row r="1585" spans="1:22" x14ac:dyDescent="0.25">
      <c r="A1585" t="str">
        <f t="shared" si="81"/>
        <v>11801</v>
      </c>
      <c r="B1585" s="34">
        <v>123</v>
      </c>
      <c r="C1585" s="35">
        <v>7002</v>
      </c>
      <c r="D1585" s="31" t="s">
        <v>480</v>
      </c>
      <c r="E1585" s="36">
        <v>2830</v>
      </c>
      <c r="F1585" s="31" t="s">
        <v>481</v>
      </c>
      <c r="G1585" s="1"/>
      <c r="H1585" s="1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</row>
    <row r="1586" spans="1:22" x14ac:dyDescent="0.25">
      <c r="A1586" t="str">
        <f t="shared" si="81"/>
        <v>11801</v>
      </c>
      <c r="B1586" s="34">
        <v>123</v>
      </c>
      <c r="C1586" s="35">
        <v>7002</v>
      </c>
      <c r="D1586" s="31" t="s">
        <v>480</v>
      </c>
      <c r="E1586" s="36">
        <v>2302</v>
      </c>
      <c r="F1586" s="31" t="s">
        <v>482</v>
      </c>
      <c r="G1586" s="1"/>
      <c r="H1586" s="1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</row>
    <row r="1587" spans="1:22" x14ac:dyDescent="0.25">
      <c r="A1587" t="str">
        <f t="shared" si="81"/>
        <v>11801</v>
      </c>
      <c r="B1587" s="34">
        <v>123</v>
      </c>
      <c r="C1587" s="35">
        <v>7002</v>
      </c>
      <c r="D1587" s="31" t="s">
        <v>480</v>
      </c>
      <c r="E1587" s="36">
        <v>4011</v>
      </c>
      <c r="F1587" s="31" t="s">
        <v>483</v>
      </c>
      <c r="G1587" s="1"/>
      <c r="H1587" s="1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</row>
    <row r="1588" spans="1:22" x14ac:dyDescent="0.25">
      <c r="A1588" t="str">
        <f t="shared" si="81"/>
        <v>11801</v>
      </c>
      <c r="B1588" s="33">
        <v>123</v>
      </c>
      <c r="C1588" s="35">
        <v>36101</v>
      </c>
      <c r="D1588" t="s">
        <v>2302</v>
      </c>
      <c r="E1588" s="36">
        <v>2278</v>
      </c>
      <c r="F1588" t="s">
        <v>2303</v>
      </c>
      <c r="G1588" s="1"/>
      <c r="H1588" s="1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</row>
    <row r="1589" spans="1:22" x14ac:dyDescent="0.25">
      <c r="A1589" t="str">
        <f t="shared" si="81"/>
        <v>11801</v>
      </c>
      <c r="B1589" s="34">
        <v>123</v>
      </c>
      <c r="C1589" s="34" t="str">
        <f>"17401"</f>
        <v>17401</v>
      </c>
      <c r="D1589" s="2" t="s">
        <v>631</v>
      </c>
      <c r="E1589" s="34">
        <v>3078</v>
      </c>
      <c r="F1589" s="2" t="s">
        <v>632</v>
      </c>
      <c r="G1589" s="1"/>
      <c r="H1589" s="1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</row>
    <row r="1590" spans="1:22" x14ac:dyDescent="0.25">
      <c r="A1590" t="str">
        <f t="shared" si="81"/>
        <v>11801</v>
      </c>
      <c r="B1590" s="34">
        <v>123</v>
      </c>
      <c r="C1590" s="34" t="str">
        <f>"17401"</f>
        <v>17401</v>
      </c>
      <c r="D1590" s="2" t="s">
        <v>631</v>
      </c>
      <c r="E1590" s="34">
        <v>4031</v>
      </c>
      <c r="F1590" s="2" t="s">
        <v>633</v>
      </c>
      <c r="G1590" s="1"/>
      <c r="H1590" s="1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</row>
    <row r="1591" spans="1:22" x14ac:dyDescent="0.25">
      <c r="A1591" t="str">
        <f t="shared" si="81"/>
        <v>11801</v>
      </c>
      <c r="B1591" s="34">
        <v>123</v>
      </c>
      <c r="C1591" s="34" t="str">
        <f>"17401"</f>
        <v>17401</v>
      </c>
      <c r="D1591" s="2" t="s">
        <v>631</v>
      </c>
      <c r="E1591" s="34">
        <v>2367</v>
      </c>
      <c r="F1591" s="2" t="s">
        <v>1535</v>
      </c>
      <c r="G1591" s="1"/>
      <c r="H1591" s="1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</row>
    <row r="1592" spans="1:22" x14ac:dyDescent="0.25">
      <c r="A1592" t="str">
        <f t="shared" si="81"/>
        <v>11801</v>
      </c>
      <c r="B1592" s="33">
        <v>123</v>
      </c>
      <c r="D1592" t="s">
        <v>2304</v>
      </c>
      <c r="E1592" s="33"/>
      <c r="F1592" t="s">
        <v>2304</v>
      </c>
      <c r="G1592" s="1"/>
      <c r="H1592" s="1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</row>
    <row r="1593" spans="1:22" x14ac:dyDescent="0.25">
      <c r="A1593" t="str">
        <f t="shared" si="81"/>
        <v>11801</v>
      </c>
      <c r="B1593" s="34">
        <v>123</v>
      </c>
      <c r="C1593" s="35">
        <v>11056</v>
      </c>
      <c r="D1593" s="2" t="s">
        <v>2305</v>
      </c>
      <c r="E1593" s="36">
        <v>3214</v>
      </c>
      <c r="F1593" s="2" t="s">
        <v>2306</v>
      </c>
      <c r="G1593" s="1"/>
      <c r="H1593" s="1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</row>
    <row r="1594" spans="1:22" x14ac:dyDescent="0.25">
      <c r="A1594" t="str">
        <f t="shared" si="81"/>
        <v>11801</v>
      </c>
      <c r="B1594" s="34">
        <v>123</v>
      </c>
      <c r="C1594" s="31" t="s">
        <v>2307</v>
      </c>
      <c r="D1594" s="31" t="s">
        <v>56</v>
      </c>
      <c r="E1594" s="34" t="s">
        <v>2308</v>
      </c>
      <c r="F1594" s="31" t="s">
        <v>57</v>
      </c>
      <c r="G1594" s="1"/>
      <c r="H1594" s="1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</row>
    <row r="1595" spans="1:22" x14ac:dyDescent="0.25">
      <c r="A1595" t="str">
        <f t="shared" si="81"/>
        <v>11801</v>
      </c>
      <c r="B1595" s="34">
        <v>123</v>
      </c>
      <c r="C1595" s="31" t="s">
        <v>2307</v>
      </c>
      <c r="D1595" s="31" t="s">
        <v>56</v>
      </c>
      <c r="E1595" s="37">
        <v>5520</v>
      </c>
      <c r="F1595" s="2" t="s">
        <v>2104</v>
      </c>
      <c r="G1595" s="1"/>
      <c r="H1595" s="1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</row>
    <row r="1596" spans="1:22" x14ac:dyDescent="0.25">
      <c r="A1596" t="str">
        <f t="shared" si="81"/>
        <v>11801</v>
      </c>
      <c r="B1596" s="34">
        <v>123</v>
      </c>
      <c r="C1596" s="31" t="s">
        <v>2307</v>
      </c>
      <c r="D1596" s="31" t="s">
        <v>56</v>
      </c>
      <c r="E1596" s="34" t="s">
        <v>2309</v>
      </c>
      <c r="F1596" s="31" t="s">
        <v>143</v>
      </c>
      <c r="G1596" s="1"/>
      <c r="H1596" s="1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</row>
    <row r="1597" spans="1:22" x14ac:dyDescent="0.25">
      <c r="A1597" t="str">
        <f t="shared" si="81"/>
        <v>11801</v>
      </c>
      <c r="B1597" s="34">
        <v>123</v>
      </c>
      <c r="C1597" s="31" t="s">
        <v>2307</v>
      </c>
      <c r="D1597" s="31" t="s">
        <v>56</v>
      </c>
      <c r="E1597" s="34" t="s">
        <v>2310</v>
      </c>
      <c r="F1597" s="31" t="s">
        <v>237</v>
      </c>
      <c r="G1597" s="1"/>
      <c r="H1597" s="1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</row>
    <row r="1598" spans="1:22" x14ac:dyDescent="0.25">
      <c r="A1598" t="str">
        <f t="shared" si="81"/>
        <v>11801</v>
      </c>
      <c r="B1598" s="34">
        <v>123</v>
      </c>
      <c r="C1598" s="31" t="s">
        <v>2307</v>
      </c>
      <c r="D1598" s="31" t="s">
        <v>56</v>
      </c>
      <c r="E1598" s="34" t="s">
        <v>2311</v>
      </c>
      <c r="F1598" s="31" t="s">
        <v>261</v>
      </c>
      <c r="G1598" s="1"/>
      <c r="H1598" s="1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</row>
    <row r="1599" spans="1:22" x14ac:dyDescent="0.25">
      <c r="A1599" t="str">
        <f t="shared" si="81"/>
        <v>11801</v>
      </c>
      <c r="B1599" s="34">
        <v>123</v>
      </c>
      <c r="C1599" s="31" t="s">
        <v>2307</v>
      </c>
      <c r="D1599" s="31" t="s">
        <v>56</v>
      </c>
      <c r="E1599" s="37">
        <v>5439</v>
      </c>
      <c r="F1599" s="2" t="s">
        <v>361</v>
      </c>
      <c r="G1599" s="1"/>
      <c r="H1599" s="1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</row>
    <row r="1600" spans="1:22" x14ac:dyDescent="0.25">
      <c r="A1600" t="str">
        <f t="shared" si="81"/>
        <v>11801</v>
      </c>
      <c r="B1600" s="34">
        <v>123</v>
      </c>
      <c r="C1600" s="31" t="s">
        <v>2307</v>
      </c>
      <c r="D1600" s="31" t="s">
        <v>56</v>
      </c>
      <c r="E1600" s="37">
        <v>5220</v>
      </c>
      <c r="F1600" s="2" t="s">
        <v>428</v>
      </c>
      <c r="G1600" s="1"/>
      <c r="H1600" s="1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</row>
    <row r="1601" spans="1:22" x14ac:dyDescent="0.25">
      <c r="A1601" t="str">
        <f t="shared" si="81"/>
        <v>11801</v>
      </c>
      <c r="B1601" s="34">
        <v>123</v>
      </c>
      <c r="C1601" s="31" t="s">
        <v>2307</v>
      </c>
      <c r="D1601" s="31" t="s">
        <v>56</v>
      </c>
      <c r="E1601" s="34" t="s">
        <v>2312</v>
      </c>
      <c r="F1601" s="31" t="s">
        <v>495</v>
      </c>
      <c r="G1601" s="1"/>
      <c r="H1601" s="1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</row>
    <row r="1602" spans="1:22" x14ac:dyDescent="0.25">
      <c r="A1602" t="str">
        <f t="shared" si="81"/>
        <v>11801</v>
      </c>
      <c r="B1602" s="34">
        <v>123</v>
      </c>
      <c r="C1602" s="31" t="s">
        <v>2307</v>
      </c>
      <c r="D1602" s="31" t="s">
        <v>56</v>
      </c>
      <c r="E1602" s="34" t="s">
        <v>2313</v>
      </c>
      <c r="F1602" s="31" t="s">
        <v>538</v>
      </c>
      <c r="G1602" s="1"/>
      <c r="H1602" s="1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</row>
    <row r="1603" spans="1:22" x14ac:dyDescent="0.25">
      <c r="A1603" t="str">
        <f t="shared" si="81"/>
        <v>11801</v>
      </c>
      <c r="B1603" s="34">
        <v>123</v>
      </c>
      <c r="C1603" s="31" t="s">
        <v>2307</v>
      </c>
      <c r="D1603" s="31" t="s">
        <v>56</v>
      </c>
      <c r="E1603" s="34" t="s">
        <v>2314</v>
      </c>
      <c r="F1603" s="31" t="s">
        <v>551</v>
      </c>
      <c r="G1603" s="1"/>
      <c r="H1603" s="1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</row>
    <row r="1604" spans="1:22" x14ac:dyDescent="0.25">
      <c r="A1604" t="str">
        <f t="shared" si="81"/>
        <v>11801</v>
      </c>
      <c r="B1604" s="34">
        <v>123</v>
      </c>
      <c r="C1604" s="31" t="s">
        <v>2307</v>
      </c>
      <c r="D1604" s="31" t="s">
        <v>56</v>
      </c>
      <c r="E1604" s="34">
        <v>5521</v>
      </c>
      <c r="F1604" s="31" t="s">
        <v>2105</v>
      </c>
      <c r="G1604" s="1"/>
      <c r="H1604" s="1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</row>
    <row r="1605" spans="1:22" x14ac:dyDescent="0.25">
      <c r="A1605" t="str">
        <f t="shared" si="81"/>
        <v>11801</v>
      </c>
      <c r="B1605" s="34">
        <v>123</v>
      </c>
      <c r="C1605" s="31" t="s">
        <v>2307</v>
      </c>
      <c r="D1605" s="31" t="s">
        <v>56</v>
      </c>
      <c r="E1605" s="37">
        <v>3077</v>
      </c>
      <c r="F1605" s="2" t="s">
        <v>2315</v>
      </c>
      <c r="G1605" s="1"/>
      <c r="H1605" s="1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</row>
    <row r="1606" spans="1:22" x14ac:dyDescent="0.25">
      <c r="A1606" t="str">
        <f t="shared" si="81"/>
        <v>11801</v>
      </c>
      <c r="B1606" s="34">
        <v>123</v>
      </c>
      <c r="C1606" s="31" t="s">
        <v>2307</v>
      </c>
      <c r="D1606" s="31" t="s">
        <v>56</v>
      </c>
      <c r="E1606" s="34" t="s">
        <v>2316</v>
      </c>
      <c r="F1606" s="31" t="s">
        <v>815</v>
      </c>
      <c r="G1606" s="1"/>
      <c r="H1606" s="1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</row>
    <row r="1607" spans="1:22" x14ac:dyDescent="0.25">
      <c r="A1607" t="str">
        <f t="shared" si="81"/>
        <v>11801</v>
      </c>
      <c r="B1607" s="34">
        <v>123</v>
      </c>
      <c r="C1607" s="31" t="s">
        <v>2307</v>
      </c>
      <c r="D1607" s="31" t="s">
        <v>56</v>
      </c>
      <c r="E1607" s="37">
        <v>4429</v>
      </c>
      <c r="F1607" s="2" t="s">
        <v>848</v>
      </c>
      <c r="G1607" s="1"/>
      <c r="H1607" s="1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</row>
    <row r="1608" spans="1:22" x14ac:dyDescent="0.25">
      <c r="A1608" t="str">
        <f t="shared" si="81"/>
        <v>11801</v>
      </c>
      <c r="B1608" s="34">
        <v>123</v>
      </c>
      <c r="C1608" s="31" t="s">
        <v>2307</v>
      </c>
      <c r="D1608" s="31" t="s">
        <v>56</v>
      </c>
      <c r="E1608" s="37">
        <v>3731</v>
      </c>
      <c r="F1608" s="2" t="s">
        <v>919</v>
      </c>
      <c r="G1608" s="1"/>
      <c r="H1608" s="1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</row>
    <row r="1609" spans="1:22" x14ac:dyDescent="0.25">
      <c r="A1609" t="str">
        <f t="shared" si="81"/>
        <v>11801</v>
      </c>
      <c r="B1609" s="34">
        <v>123</v>
      </c>
      <c r="C1609" s="31" t="s">
        <v>2307</v>
      </c>
      <c r="D1609" s="31" t="s">
        <v>56</v>
      </c>
      <c r="E1609" s="37">
        <v>2000</v>
      </c>
      <c r="F1609" s="2" t="s">
        <v>2317</v>
      </c>
      <c r="G1609" s="1"/>
      <c r="H1609" s="1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</row>
    <row r="1610" spans="1:22" x14ac:dyDescent="0.25">
      <c r="A1610" t="str">
        <f t="shared" si="81"/>
        <v>11801</v>
      </c>
      <c r="B1610" s="34">
        <v>123</v>
      </c>
      <c r="C1610" s="31" t="s">
        <v>2307</v>
      </c>
      <c r="D1610" s="31" t="s">
        <v>56</v>
      </c>
      <c r="E1610" s="34" t="s">
        <v>2318</v>
      </c>
      <c r="F1610" s="31" t="s">
        <v>931</v>
      </c>
      <c r="G1610" s="1"/>
      <c r="H1610" s="1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</row>
    <row r="1611" spans="1:22" x14ac:dyDescent="0.25">
      <c r="A1611" t="str">
        <f t="shared" si="81"/>
        <v>11801</v>
      </c>
      <c r="B1611" s="34">
        <v>123</v>
      </c>
      <c r="C1611" s="31" t="s">
        <v>2307</v>
      </c>
      <c r="D1611" s="31" t="s">
        <v>56</v>
      </c>
      <c r="E1611" s="34" t="s">
        <v>2319</v>
      </c>
      <c r="F1611" s="31" t="s">
        <v>1026</v>
      </c>
      <c r="G1611" s="1"/>
      <c r="H1611" s="1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</row>
    <row r="1612" spans="1:22" x14ac:dyDescent="0.25">
      <c r="A1612" t="str">
        <f t="shared" si="81"/>
        <v>11801</v>
      </c>
      <c r="B1612" s="34">
        <v>123</v>
      </c>
      <c r="C1612" s="31" t="s">
        <v>2307</v>
      </c>
      <c r="D1612" s="31" t="s">
        <v>56</v>
      </c>
      <c r="E1612" s="34" t="s">
        <v>2320</v>
      </c>
      <c r="F1612" s="31" t="s">
        <v>1057</v>
      </c>
      <c r="G1612" s="1"/>
      <c r="H1612" s="1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</row>
    <row r="1613" spans="1:22" x14ac:dyDescent="0.25">
      <c r="A1613" t="str">
        <f t="shared" si="81"/>
        <v>11801</v>
      </c>
      <c r="B1613" s="34">
        <v>123</v>
      </c>
      <c r="C1613" s="31" t="s">
        <v>2307</v>
      </c>
      <c r="D1613" s="31" t="s">
        <v>56</v>
      </c>
      <c r="E1613" s="34" t="s">
        <v>2321</v>
      </c>
      <c r="F1613" s="31" t="s">
        <v>1197</v>
      </c>
      <c r="G1613" s="1"/>
      <c r="H1613" s="1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</row>
    <row r="1614" spans="1:22" x14ac:dyDescent="0.25">
      <c r="A1614" t="str">
        <f t="shared" si="81"/>
        <v>11801</v>
      </c>
      <c r="B1614" s="34">
        <v>123</v>
      </c>
      <c r="C1614" s="31" t="s">
        <v>2307</v>
      </c>
      <c r="D1614" s="31" t="s">
        <v>56</v>
      </c>
      <c r="E1614" s="34" t="s">
        <v>2322</v>
      </c>
      <c r="F1614" s="31" t="s">
        <v>1415</v>
      </c>
      <c r="G1614" s="1"/>
      <c r="H1614" s="1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</row>
    <row r="1615" spans="1:22" x14ac:dyDescent="0.25">
      <c r="A1615" t="str">
        <f t="shared" si="81"/>
        <v>11801</v>
      </c>
      <c r="B1615" s="34">
        <v>123</v>
      </c>
      <c r="C1615" s="31" t="s">
        <v>2307</v>
      </c>
      <c r="D1615" s="31" t="s">
        <v>56</v>
      </c>
      <c r="E1615" s="34" t="s">
        <v>2323</v>
      </c>
      <c r="F1615" s="31" t="s">
        <v>1440</v>
      </c>
      <c r="G1615" s="1"/>
      <c r="H1615" s="1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</row>
    <row r="1616" spans="1:22" x14ac:dyDescent="0.25">
      <c r="A1616" t="str">
        <f t="shared" si="81"/>
        <v>11801</v>
      </c>
      <c r="B1616" s="34">
        <v>123</v>
      </c>
      <c r="C1616" s="31" t="s">
        <v>2307</v>
      </c>
      <c r="D1616" s="31" t="s">
        <v>56</v>
      </c>
      <c r="E1616" s="34" t="s">
        <v>2324</v>
      </c>
      <c r="F1616" s="31" t="s">
        <v>1523</v>
      </c>
      <c r="G1616" s="1"/>
      <c r="H1616" s="1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</row>
    <row r="1617" spans="1:22" x14ac:dyDescent="0.25">
      <c r="A1617" t="str">
        <f t="shared" si="81"/>
        <v>11801</v>
      </c>
      <c r="B1617" s="34">
        <v>123</v>
      </c>
      <c r="C1617" s="31" t="s">
        <v>2307</v>
      </c>
      <c r="D1617" s="31" t="s">
        <v>56</v>
      </c>
      <c r="E1617" s="34" t="s">
        <v>2325</v>
      </c>
      <c r="F1617" s="31" t="s">
        <v>1577</v>
      </c>
      <c r="G1617" s="1"/>
      <c r="H1617" s="1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</row>
    <row r="1618" spans="1:22" x14ac:dyDescent="0.25">
      <c r="A1618" t="str">
        <f t="shared" si="81"/>
        <v>11801</v>
      </c>
      <c r="B1618" s="34">
        <v>123</v>
      </c>
      <c r="C1618" s="31" t="s">
        <v>2307</v>
      </c>
      <c r="D1618" s="31" t="s">
        <v>56</v>
      </c>
      <c r="E1618" s="34" t="s">
        <v>2326</v>
      </c>
      <c r="F1618" s="31" t="s">
        <v>1695</v>
      </c>
      <c r="G1618" s="1"/>
      <c r="H1618" s="1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</row>
    <row r="1619" spans="1:22" x14ac:dyDescent="0.25">
      <c r="A1619" t="str">
        <f t="shared" si="81"/>
        <v>11801</v>
      </c>
      <c r="B1619" s="34">
        <v>123</v>
      </c>
      <c r="C1619" s="31" t="s">
        <v>2307</v>
      </c>
      <c r="D1619" s="31" t="s">
        <v>56</v>
      </c>
      <c r="E1619" s="34" t="s">
        <v>2327</v>
      </c>
      <c r="F1619" s="31" t="s">
        <v>1696</v>
      </c>
      <c r="G1619" s="1"/>
      <c r="H1619" s="1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</row>
    <row r="1620" spans="1:22" x14ac:dyDescent="0.25">
      <c r="A1620" t="str">
        <f t="shared" si="81"/>
        <v>11801</v>
      </c>
      <c r="B1620" s="34">
        <v>123</v>
      </c>
      <c r="C1620" s="31" t="s">
        <v>2307</v>
      </c>
      <c r="D1620" s="31" t="s">
        <v>56</v>
      </c>
      <c r="E1620" s="34" t="s">
        <v>2328</v>
      </c>
      <c r="F1620" s="31" t="s">
        <v>1761</v>
      </c>
      <c r="G1620" s="1"/>
      <c r="H1620" s="1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</row>
    <row r="1621" spans="1:22" x14ac:dyDescent="0.25">
      <c r="A1621" t="str">
        <f t="shared" si="81"/>
        <v>11801</v>
      </c>
      <c r="B1621" s="34">
        <v>123</v>
      </c>
      <c r="C1621" s="31" t="s">
        <v>2307</v>
      </c>
      <c r="D1621" s="31" t="s">
        <v>56</v>
      </c>
      <c r="E1621" s="34" t="s">
        <v>2329</v>
      </c>
      <c r="F1621" s="31" t="s">
        <v>1821</v>
      </c>
      <c r="G1621" s="1"/>
      <c r="H1621" s="1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</row>
    <row r="1622" spans="1:22" x14ac:dyDescent="0.25">
      <c r="A1622" t="str">
        <f t="shared" si="81"/>
        <v>11801</v>
      </c>
      <c r="B1622" s="34">
        <v>123</v>
      </c>
      <c r="C1622" s="31" t="s">
        <v>2307</v>
      </c>
      <c r="D1622" s="31" t="s">
        <v>56</v>
      </c>
      <c r="E1622" s="34" t="s">
        <v>2330</v>
      </c>
      <c r="F1622" s="31" t="s">
        <v>1862</v>
      </c>
      <c r="G1622" s="1"/>
      <c r="H1622" s="1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</row>
    <row r="1623" spans="1:22" x14ac:dyDescent="0.25">
      <c r="A1623" t="str">
        <f t="shared" si="81"/>
        <v>11801</v>
      </c>
      <c r="B1623" s="34">
        <v>123</v>
      </c>
      <c r="C1623" s="31" t="s">
        <v>2307</v>
      </c>
      <c r="D1623" s="31" t="s">
        <v>56</v>
      </c>
      <c r="E1623" s="34" t="s">
        <v>2331</v>
      </c>
      <c r="F1623" s="31" t="s">
        <v>1891</v>
      </c>
      <c r="G1623" s="1"/>
      <c r="H1623" s="1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</row>
    <row r="1624" spans="1:22" x14ac:dyDescent="0.25">
      <c r="A1624" t="str">
        <f t="shared" si="81"/>
        <v>11801</v>
      </c>
      <c r="B1624" s="34">
        <v>123</v>
      </c>
      <c r="C1624" s="31" t="s">
        <v>2307</v>
      </c>
      <c r="D1624" s="31" t="s">
        <v>56</v>
      </c>
      <c r="E1624" s="37">
        <v>2825</v>
      </c>
      <c r="F1624" s="2" t="s">
        <v>1918</v>
      </c>
      <c r="G1624" s="1"/>
      <c r="H1624" s="1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</row>
    <row r="1625" spans="1:22" x14ac:dyDescent="0.25">
      <c r="A1625" t="str">
        <f t="shared" si="81"/>
        <v>11801</v>
      </c>
      <c r="B1625" s="34">
        <v>123</v>
      </c>
      <c r="C1625" s="35">
        <v>3052</v>
      </c>
      <c r="D1625" s="2" t="s">
        <v>952</v>
      </c>
      <c r="E1625" s="36">
        <v>2904</v>
      </c>
      <c r="F1625" s="2" t="s">
        <v>953</v>
      </c>
      <c r="G1625" s="1"/>
      <c r="H1625" s="1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</row>
    <row r="1626" spans="1:22" x14ac:dyDescent="0.25">
      <c r="A1626" t="str">
        <f t="shared" si="81"/>
        <v>11801</v>
      </c>
      <c r="B1626" s="34">
        <v>123</v>
      </c>
      <c r="C1626" s="35">
        <v>3052</v>
      </c>
      <c r="D1626" s="2" t="s">
        <v>952</v>
      </c>
      <c r="E1626" s="36">
        <v>3961</v>
      </c>
      <c r="F1626" s="2" t="s">
        <v>954</v>
      </c>
      <c r="G1626" s="1"/>
      <c r="H1626" s="1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</row>
    <row r="1627" spans="1:22" x14ac:dyDescent="0.25">
      <c r="A1627" t="str">
        <f t="shared" si="81"/>
        <v>11801</v>
      </c>
      <c r="B1627" s="34">
        <v>123</v>
      </c>
      <c r="C1627" s="35">
        <v>3052</v>
      </c>
      <c r="D1627" s="2" t="s">
        <v>952</v>
      </c>
      <c r="E1627" s="36">
        <v>2759</v>
      </c>
      <c r="F1627" s="2" t="s">
        <v>955</v>
      </c>
      <c r="G1627" s="1"/>
      <c r="H1627" s="1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</row>
    <row r="1628" spans="1:22" x14ac:dyDescent="0.25">
      <c r="A1628" t="str">
        <f t="shared" si="81"/>
        <v>11801</v>
      </c>
      <c r="B1628" s="34">
        <v>123</v>
      </c>
      <c r="C1628" s="35">
        <v>3052</v>
      </c>
      <c r="D1628" s="2" t="s">
        <v>952</v>
      </c>
      <c r="E1628" s="36">
        <v>4217</v>
      </c>
      <c r="F1628" s="2" t="s">
        <v>956</v>
      </c>
      <c r="G1628" s="1"/>
      <c r="H1628" s="1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</row>
    <row r="1629" spans="1:22" x14ac:dyDescent="0.25">
      <c r="A1629" t="str">
        <f t="shared" si="81"/>
        <v>11801</v>
      </c>
      <c r="B1629" s="33">
        <v>123</v>
      </c>
      <c r="C1629" s="35">
        <v>11051</v>
      </c>
      <c r="D1629" t="s">
        <v>116</v>
      </c>
      <c r="E1629" s="36">
        <v>3325</v>
      </c>
      <c r="F1629" t="s">
        <v>117</v>
      </c>
      <c r="G1629" s="1"/>
      <c r="H1629" s="1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</row>
    <row r="1630" spans="1:22" x14ac:dyDescent="0.25">
      <c r="A1630" t="str">
        <f t="shared" si="81"/>
        <v>11801</v>
      </c>
      <c r="B1630" s="33">
        <v>123</v>
      </c>
      <c r="C1630" s="35">
        <v>11051</v>
      </c>
      <c r="D1630" t="s">
        <v>116</v>
      </c>
      <c r="E1630" s="36">
        <v>2918</v>
      </c>
      <c r="F1630" t="s">
        <v>419</v>
      </c>
      <c r="G1630" s="1"/>
      <c r="H1630" s="1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</row>
    <row r="1631" spans="1:22" x14ac:dyDescent="0.25">
      <c r="A1631" t="str">
        <f t="shared" si="81"/>
        <v>11801</v>
      </c>
      <c r="B1631" s="33">
        <v>123</v>
      </c>
      <c r="C1631" s="35">
        <v>11051</v>
      </c>
      <c r="D1631" t="s">
        <v>116</v>
      </c>
      <c r="E1631" s="36">
        <v>3272</v>
      </c>
      <c r="F1631" t="s">
        <v>420</v>
      </c>
      <c r="G1631" s="1"/>
      <c r="H1631" s="1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</row>
    <row r="1632" spans="1:22" x14ac:dyDescent="0.25">
      <c r="A1632" t="str">
        <f t="shared" si="81"/>
        <v>11801</v>
      </c>
      <c r="B1632" s="33">
        <v>123</v>
      </c>
      <c r="C1632" s="35">
        <v>11051</v>
      </c>
      <c r="D1632" t="s">
        <v>116</v>
      </c>
      <c r="E1632" s="36">
        <v>3086</v>
      </c>
      <c r="F1632" t="s">
        <v>1192</v>
      </c>
      <c r="G1632" s="1"/>
      <c r="H1632" s="1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</row>
    <row r="1633" spans="1:22" x14ac:dyDescent="0.25">
      <c r="A1633" t="str">
        <f t="shared" si="81"/>
        <v>11801</v>
      </c>
      <c r="B1633" s="33">
        <v>123</v>
      </c>
      <c r="C1633" s="35">
        <v>11051</v>
      </c>
      <c r="D1633" t="s">
        <v>116</v>
      </c>
      <c r="E1633" s="36">
        <v>1754</v>
      </c>
      <c r="F1633" t="s">
        <v>1409</v>
      </c>
      <c r="G1633" s="1"/>
      <c r="H1633" s="1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</row>
    <row r="1634" spans="1:22" x14ac:dyDescent="0.25">
      <c r="A1634" t="str">
        <f t="shared" ref="A1634:A1697" si="83">"11801"</f>
        <v>11801</v>
      </c>
      <c r="B1634" s="33">
        <v>123</v>
      </c>
      <c r="C1634" s="35">
        <v>11051</v>
      </c>
      <c r="D1634" t="s">
        <v>116</v>
      </c>
      <c r="E1634" s="36">
        <v>2198</v>
      </c>
      <c r="F1634" t="s">
        <v>1545</v>
      </c>
      <c r="G1634" s="1"/>
      <c r="H1634" s="1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</row>
    <row r="1635" spans="1:22" x14ac:dyDescent="0.25">
      <c r="A1635" t="str">
        <f t="shared" si="83"/>
        <v>11801</v>
      </c>
      <c r="B1635" s="34">
        <v>123</v>
      </c>
      <c r="C1635" s="31" t="str">
        <f t="shared" ref="C1635:C1641" si="84">"01147"</f>
        <v>01147</v>
      </c>
      <c r="D1635" s="31" t="s">
        <v>496</v>
      </c>
      <c r="E1635" s="34" t="str">
        <f>"5367"</f>
        <v>5367</v>
      </c>
      <c r="F1635" s="31" t="s">
        <v>497</v>
      </c>
      <c r="G1635" s="1"/>
      <c r="H1635" s="1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</row>
    <row r="1636" spans="1:22" x14ac:dyDescent="0.25">
      <c r="A1636" t="str">
        <f t="shared" si="83"/>
        <v>11801</v>
      </c>
      <c r="B1636" s="34">
        <v>123</v>
      </c>
      <c r="C1636" s="31" t="str">
        <f t="shared" si="84"/>
        <v>01147</v>
      </c>
      <c r="D1636" s="31" t="s">
        <v>496</v>
      </c>
      <c r="E1636" s="34" t="str">
        <f>"2961"</f>
        <v>2961</v>
      </c>
      <c r="F1636" s="31" t="s">
        <v>803</v>
      </c>
      <c r="G1636" s="1"/>
      <c r="H1636" s="1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</row>
    <row r="1637" spans="1:22" x14ac:dyDescent="0.25">
      <c r="A1637" t="str">
        <f t="shared" si="83"/>
        <v>11801</v>
      </c>
      <c r="B1637" s="34">
        <v>123</v>
      </c>
      <c r="C1637" s="31" t="str">
        <f t="shared" si="84"/>
        <v>01147</v>
      </c>
      <c r="D1637" s="31" t="s">
        <v>496</v>
      </c>
      <c r="E1637" s="34" t="str">
        <f>"2902"</f>
        <v>2902</v>
      </c>
      <c r="F1637" s="31" t="s">
        <v>1090</v>
      </c>
      <c r="G1637" s="1"/>
      <c r="H1637" s="1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</row>
    <row r="1638" spans="1:22" x14ac:dyDescent="0.25">
      <c r="A1638" t="str">
        <f t="shared" si="83"/>
        <v>11801</v>
      </c>
      <c r="B1638" s="34">
        <v>123</v>
      </c>
      <c r="C1638" s="31" t="str">
        <f t="shared" si="84"/>
        <v>01147</v>
      </c>
      <c r="D1638" s="31" t="s">
        <v>496</v>
      </c>
      <c r="E1638" s="34" t="str">
        <f>"3471"</f>
        <v>3471</v>
      </c>
      <c r="F1638" s="31" t="s">
        <v>1157</v>
      </c>
      <c r="G1638" s="1"/>
      <c r="H1638" s="1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</row>
    <row r="1639" spans="1:22" x14ac:dyDescent="0.25">
      <c r="A1639" t="str">
        <f t="shared" si="83"/>
        <v>11801</v>
      </c>
      <c r="B1639" s="34">
        <v>123</v>
      </c>
      <c r="C1639" s="31" t="str">
        <f t="shared" si="84"/>
        <v>01147</v>
      </c>
      <c r="D1639" s="31" t="s">
        <v>496</v>
      </c>
      <c r="E1639" s="34" t="str">
        <f>"3015"</f>
        <v>3015</v>
      </c>
      <c r="F1639" s="31" t="s">
        <v>1397</v>
      </c>
      <c r="G1639" s="1"/>
      <c r="H1639" s="1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</row>
    <row r="1640" spans="1:22" x14ac:dyDescent="0.25">
      <c r="A1640" t="str">
        <f t="shared" si="83"/>
        <v>11801</v>
      </c>
      <c r="B1640" s="34">
        <v>123</v>
      </c>
      <c r="C1640" s="31" t="str">
        <f t="shared" si="84"/>
        <v>01147</v>
      </c>
      <c r="D1640" s="31" t="s">
        <v>496</v>
      </c>
      <c r="E1640" s="34" t="str">
        <f>"3730"</f>
        <v>3730</v>
      </c>
      <c r="F1640" s="31" t="s">
        <v>1601</v>
      </c>
      <c r="G1640" s="1"/>
      <c r="H1640" s="1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</row>
    <row r="1641" spans="1:22" x14ac:dyDescent="0.25">
      <c r="A1641" t="str">
        <f t="shared" si="83"/>
        <v>11801</v>
      </c>
      <c r="B1641" s="34">
        <v>123</v>
      </c>
      <c r="C1641" s="31" t="str">
        <f t="shared" si="84"/>
        <v>01147</v>
      </c>
      <c r="D1641" s="31" t="s">
        <v>496</v>
      </c>
      <c r="E1641" s="34" t="str">
        <f>"5285"</f>
        <v>5285</v>
      </c>
      <c r="F1641" s="31" t="s">
        <v>1869</v>
      </c>
      <c r="G1641" s="1"/>
      <c r="H1641" s="1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</row>
    <row r="1642" spans="1:22" x14ac:dyDescent="0.25">
      <c r="A1642" t="str">
        <f t="shared" si="83"/>
        <v>11801</v>
      </c>
      <c r="B1642" s="33">
        <v>123</v>
      </c>
      <c r="C1642" t="s">
        <v>2332</v>
      </c>
      <c r="D1642" t="s">
        <v>109</v>
      </c>
      <c r="E1642" s="33" t="s">
        <v>2333</v>
      </c>
      <c r="F1642" t="s">
        <v>110</v>
      </c>
      <c r="G1642" s="1"/>
      <c r="H1642" s="1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</row>
    <row r="1643" spans="1:22" x14ac:dyDescent="0.25">
      <c r="A1643" t="str">
        <f t="shared" si="83"/>
        <v>11801</v>
      </c>
      <c r="B1643" s="33">
        <v>123</v>
      </c>
      <c r="C1643" t="s">
        <v>2332</v>
      </c>
      <c r="D1643" t="s">
        <v>109</v>
      </c>
      <c r="E1643" s="33" t="s">
        <v>2334</v>
      </c>
      <c r="F1643" t="s">
        <v>245</v>
      </c>
      <c r="G1643" s="1"/>
      <c r="H1643" s="1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</row>
    <row r="1644" spans="1:22" x14ac:dyDescent="0.25">
      <c r="A1644" t="str">
        <f t="shared" si="83"/>
        <v>11801</v>
      </c>
      <c r="B1644" s="33">
        <v>123</v>
      </c>
      <c r="C1644" t="s">
        <v>2332</v>
      </c>
      <c r="D1644" t="s">
        <v>109</v>
      </c>
      <c r="E1644" s="33" t="s">
        <v>2335</v>
      </c>
      <c r="F1644" t="s">
        <v>348</v>
      </c>
      <c r="G1644" s="1"/>
      <c r="H1644" s="1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</row>
    <row r="1645" spans="1:22" x14ac:dyDescent="0.25">
      <c r="A1645" t="str">
        <f t="shared" si="83"/>
        <v>11801</v>
      </c>
      <c r="B1645" s="33">
        <v>123</v>
      </c>
      <c r="C1645" t="str">
        <f>"11001"</f>
        <v>11001</v>
      </c>
      <c r="D1645" t="s">
        <v>109</v>
      </c>
      <c r="E1645" s="33" t="str">
        <f>"5623"</f>
        <v>5623</v>
      </c>
      <c r="F1645" t="s">
        <v>2336</v>
      </c>
      <c r="G1645" s="1"/>
      <c r="H1645" s="1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</row>
    <row r="1646" spans="1:22" x14ac:dyDescent="0.25">
      <c r="A1646" t="str">
        <f t="shared" si="83"/>
        <v>11801</v>
      </c>
      <c r="B1646" s="33">
        <v>123</v>
      </c>
      <c r="C1646" t="s">
        <v>2332</v>
      </c>
      <c r="D1646" t="s">
        <v>109</v>
      </c>
      <c r="E1646" s="33" t="s">
        <v>2337</v>
      </c>
      <c r="F1646" t="s">
        <v>557</v>
      </c>
      <c r="G1646" s="1"/>
      <c r="H1646" s="1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</row>
    <row r="1647" spans="1:22" x14ac:dyDescent="0.25">
      <c r="A1647" t="str">
        <f t="shared" si="83"/>
        <v>11801</v>
      </c>
      <c r="B1647" s="33">
        <v>123</v>
      </c>
      <c r="C1647" t="s">
        <v>2332</v>
      </c>
      <c r="D1647" t="s">
        <v>109</v>
      </c>
      <c r="E1647" s="33" t="s">
        <v>2338</v>
      </c>
      <c r="F1647" t="s">
        <v>566</v>
      </c>
      <c r="G1647" s="1"/>
      <c r="H1647" s="1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</row>
    <row r="1648" spans="1:22" x14ac:dyDescent="0.25">
      <c r="A1648" t="str">
        <f t="shared" si="83"/>
        <v>11801</v>
      </c>
      <c r="B1648" s="33">
        <v>123</v>
      </c>
      <c r="C1648" t="s">
        <v>2332</v>
      </c>
      <c r="D1648" t="s">
        <v>109</v>
      </c>
      <c r="E1648" s="33" t="s">
        <v>2339</v>
      </c>
      <c r="F1648" t="s">
        <v>578</v>
      </c>
      <c r="G1648" s="1"/>
      <c r="H1648" s="1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</row>
    <row r="1649" spans="1:22" x14ac:dyDescent="0.25">
      <c r="A1649" t="str">
        <f t="shared" si="83"/>
        <v>11801</v>
      </c>
      <c r="B1649" s="33">
        <v>123</v>
      </c>
      <c r="C1649" t="s">
        <v>2332</v>
      </c>
      <c r="D1649" t="s">
        <v>109</v>
      </c>
      <c r="E1649" s="33" t="s">
        <v>2340</v>
      </c>
      <c r="F1649" t="s">
        <v>874</v>
      </c>
      <c r="G1649" s="1"/>
      <c r="H1649" s="1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</row>
    <row r="1650" spans="1:22" x14ac:dyDescent="0.25">
      <c r="A1650" t="str">
        <f t="shared" si="83"/>
        <v>11801</v>
      </c>
      <c r="B1650" s="33">
        <v>123</v>
      </c>
      <c r="C1650" t="s">
        <v>2332</v>
      </c>
      <c r="D1650" t="s">
        <v>109</v>
      </c>
      <c r="E1650" s="33" t="s">
        <v>2341</v>
      </c>
      <c r="F1650" t="s">
        <v>888</v>
      </c>
      <c r="G1650" s="1"/>
      <c r="H1650" s="1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</row>
    <row r="1651" spans="1:22" x14ac:dyDescent="0.25">
      <c r="A1651" t="str">
        <f t="shared" si="83"/>
        <v>11801</v>
      </c>
      <c r="B1651" s="33">
        <v>123</v>
      </c>
      <c r="C1651" t="s">
        <v>2332</v>
      </c>
      <c r="D1651" t="s">
        <v>109</v>
      </c>
      <c r="E1651" s="33" t="s">
        <v>2342</v>
      </c>
      <c r="F1651" t="s">
        <v>1075</v>
      </c>
      <c r="G1651" s="1"/>
      <c r="H1651" s="1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</row>
    <row r="1652" spans="1:22" x14ac:dyDescent="0.25">
      <c r="A1652" t="str">
        <f t="shared" si="83"/>
        <v>11801</v>
      </c>
      <c r="B1652" s="33">
        <v>123</v>
      </c>
      <c r="C1652" t="s">
        <v>2332</v>
      </c>
      <c r="D1652" t="s">
        <v>109</v>
      </c>
      <c r="E1652" s="33" t="s">
        <v>2343</v>
      </c>
      <c r="F1652" t="s">
        <v>1125</v>
      </c>
      <c r="G1652" s="1"/>
      <c r="H1652" s="1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</row>
    <row r="1653" spans="1:22" x14ac:dyDescent="0.25">
      <c r="A1653" t="str">
        <f t="shared" si="83"/>
        <v>11801</v>
      </c>
      <c r="B1653" s="33">
        <v>123</v>
      </c>
      <c r="C1653" t="s">
        <v>2332</v>
      </c>
      <c r="D1653" t="s">
        <v>109</v>
      </c>
      <c r="E1653" s="33" t="s">
        <v>2344</v>
      </c>
      <c r="F1653" t="s">
        <v>1128</v>
      </c>
      <c r="G1653" s="1"/>
      <c r="H1653" s="1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</row>
    <row r="1654" spans="1:22" x14ac:dyDescent="0.25">
      <c r="A1654" t="str">
        <f t="shared" si="83"/>
        <v>11801</v>
      </c>
      <c r="B1654" s="33">
        <v>123</v>
      </c>
      <c r="C1654" t="s">
        <v>2332</v>
      </c>
      <c r="D1654" t="s">
        <v>109</v>
      </c>
      <c r="E1654" s="33" t="s">
        <v>2345</v>
      </c>
      <c r="F1654" t="s">
        <v>1147</v>
      </c>
      <c r="G1654" s="1"/>
      <c r="H1654" s="1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</row>
    <row r="1655" spans="1:22" x14ac:dyDescent="0.25">
      <c r="A1655" t="str">
        <f t="shared" si="83"/>
        <v>11801</v>
      </c>
      <c r="B1655" s="33">
        <v>123</v>
      </c>
      <c r="C1655" t="s">
        <v>2332</v>
      </c>
      <c r="D1655" t="s">
        <v>109</v>
      </c>
      <c r="E1655" s="33" t="s">
        <v>2346</v>
      </c>
      <c r="F1655" t="s">
        <v>1164</v>
      </c>
      <c r="G1655" s="1"/>
      <c r="H1655" s="1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</row>
    <row r="1656" spans="1:22" x14ac:dyDescent="0.25">
      <c r="A1656" t="str">
        <f t="shared" si="83"/>
        <v>11801</v>
      </c>
      <c r="B1656" s="33">
        <v>123</v>
      </c>
      <c r="C1656" t="s">
        <v>2332</v>
      </c>
      <c r="D1656" t="s">
        <v>109</v>
      </c>
      <c r="E1656" s="33" t="s">
        <v>2347</v>
      </c>
      <c r="F1656" t="s">
        <v>1289</v>
      </c>
      <c r="G1656" s="1"/>
      <c r="H1656" s="1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</row>
    <row r="1657" spans="1:22" x14ac:dyDescent="0.25">
      <c r="A1657" t="str">
        <f t="shared" si="83"/>
        <v>11801</v>
      </c>
      <c r="B1657" s="33">
        <v>123</v>
      </c>
      <c r="C1657" t="s">
        <v>2332</v>
      </c>
      <c r="D1657" t="s">
        <v>109</v>
      </c>
      <c r="E1657" s="33" t="s">
        <v>2348</v>
      </c>
      <c r="F1657" t="s">
        <v>1426</v>
      </c>
      <c r="G1657" s="1"/>
      <c r="H1657" s="1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</row>
    <row r="1658" spans="1:22" x14ac:dyDescent="0.25">
      <c r="A1658" t="str">
        <f t="shared" si="83"/>
        <v>11801</v>
      </c>
      <c r="B1658" s="33">
        <v>123</v>
      </c>
      <c r="C1658" t="str">
        <f>"11001"</f>
        <v>11001</v>
      </c>
      <c r="D1658" t="s">
        <v>109</v>
      </c>
      <c r="E1658" s="33" t="str">
        <f>"5624"</f>
        <v>5624</v>
      </c>
      <c r="F1658" t="s">
        <v>2349</v>
      </c>
      <c r="G1658" s="1"/>
      <c r="H1658" s="1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</row>
    <row r="1659" spans="1:22" x14ac:dyDescent="0.25">
      <c r="A1659" t="str">
        <f t="shared" si="83"/>
        <v>11801</v>
      </c>
      <c r="B1659" s="33">
        <v>123</v>
      </c>
      <c r="C1659" t="s">
        <v>2332</v>
      </c>
      <c r="D1659" t="s">
        <v>109</v>
      </c>
      <c r="E1659" s="33" t="s">
        <v>2350</v>
      </c>
      <c r="F1659" t="s">
        <v>1543</v>
      </c>
      <c r="G1659" s="1"/>
      <c r="H1659" s="1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</row>
    <row r="1660" spans="1:22" x14ac:dyDescent="0.25">
      <c r="A1660" t="str">
        <f t="shared" si="83"/>
        <v>11801</v>
      </c>
      <c r="B1660" s="33">
        <v>123</v>
      </c>
      <c r="C1660" t="s">
        <v>2332</v>
      </c>
      <c r="D1660" t="s">
        <v>109</v>
      </c>
      <c r="E1660" s="33" t="s">
        <v>2351</v>
      </c>
      <c r="F1660" t="s">
        <v>1561</v>
      </c>
      <c r="G1660" s="1"/>
      <c r="H1660" s="1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</row>
    <row r="1661" spans="1:22" x14ac:dyDescent="0.25">
      <c r="A1661" t="str">
        <f t="shared" si="83"/>
        <v>11801</v>
      </c>
      <c r="B1661" s="33">
        <v>123</v>
      </c>
      <c r="C1661" t="s">
        <v>2332</v>
      </c>
      <c r="D1661" t="s">
        <v>109</v>
      </c>
      <c r="E1661" s="33" t="s">
        <v>2352</v>
      </c>
      <c r="F1661" t="s">
        <v>1565</v>
      </c>
      <c r="G1661" s="1"/>
      <c r="H1661" s="1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</row>
    <row r="1662" spans="1:22" x14ac:dyDescent="0.25">
      <c r="A1662" t="str">
        <f t="shared" si="83"/>
        <v>11801</v>
      </c>
      <c r="B1662" s="33">
        <v>123</v>
      </c>
      <c r="C1662" t="s">
        <v>2332</v>
      </c>
      <c r="D1662" t="s">
        <v>109</v>
      </c>
      <c r="E1662" s="33" t="s">
        <v>2353</v>
      </c>
      <c r="F1662" t="s">
        <v>1571</v>
      </c>
      <c r="G1662" s="1"/>
      <c r="H1662" s="1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</row>
    <row r="1663" spans="1:22" x14ac:dyDescent="0.25">
      <c r="A1663" t="str">
        <f t="shared" si="83"/>
        <v>11801</v>
      </c>
      <c r="B1663" s="33">
        <v>123</v>
      </c>
      <c r="C1663" t="s">
        <v>2332</v>
      </c>
      <c r="D1663" t="s">
        <v>109</v>
      </c>
      <c r="E1663" s="33" t="s">
        <v>2354</v>
      </c>
      <c r="F1663" t="s">
        <v>1732</v>
      </c>
      <c r="G1663" s="1"/>
      <c r="H1663" s="1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</row>
    <row r="1664" spans="1:22" x14ac:dyDescent="0.25">
      <c r="A1664" t="str">
        <f t="shared" si="83"/>
        <v>11801</v>
      </c>
      <c r="B1664" s="33">
        <v>123</v>
      </c>
      <c r="C1664" t="s">
        <v>2332</v>
      </c>
      <c r="D1664" t="s">
        <v>109</v>
      </c>
      <c r="E1664" s="33">
        <v>5556</v>
      </c>
      <c r="F1664" t="s">
        <v>2355</v>
      </c>
      <c r="G1664" s="1"/>
      <c r="H1664" s="1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</row>
    <row r="1665" spans="1:22" x14ac:dyDescent="0.25">
      <c r="A1665" t="str">
        <f t="shared" si="83"/>
        <v>11801</v>
      </c>
      <c r="B1665" s="33">
        <v>123</v>
      </c>
      <c r="C1665" t="s">
        <v>2332</v>
      </c>
      <c r="D1665" t="s">
        <v>109</v>
      </c>
      <c r="E1665" s="33" t="s">
        <v>2356</v>
      </c>
      <c r="F1665" t="s">
        <v>1861</v>
      </c>
      <c r="G1665" s="1"/>
      <c r="H1665" s="1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</row>
    <row r="1666" spans="1:22" x14ac:dyDescent="0.25">
      <c r="A1666" t="str">
        <f t="shared" si="83"/>
        <v>11801</v>
      </c>
      <c r="B1666" s="33">
        <v>123</v>
      </c>
      <c r="C1666" t="s">
        <v>2332</v>
      </c>
      <c r="D1666" t="s">
        <v>109</v>
      </c>
      <c r="E1666" s="33" t="s">
        <v>2357</v>
      </c>
      <c r="F1666" t="s">
        <v>1940</v>
      </c>
      <c r="G1666" s="1"/>
      <c r="H1666" s="1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</row>
    <row r="1667" spans="1:22" x14ac:dyDescent="0.25">
      <c r="A1667" t="str">
        <f t="shared" si="83"/>
        <v>11801</v>
      </c>
      <c r="B1667" s="33">
        <v>123</v>
      </c>
      <c r="C1667" s="35">
        <v>3050</v>
      </c>
      <c r="D1667" t="s">
        <v>2358</v>
      </c>
      <c r="E1667" s="36">
        <v>2133</v>
      </c>
      <c r="F1667" t="s">
        <v>2359</v>
      </c>
      <c r="G1667" s="1"/>
      <c r="H1667" s="1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</row>
    <row r="1668" spans="1:22" x14ac:dyDescent="0.25">
      <c r="A1668" t="str">
        <f t="shared" si="83"/>
        <v>11801</v>
      </c>
      <c r="B1668" s="34">
        <v>123</v>
      </c>
      <c r="C1668" s="35">
        <v>12110</v>
      </c>
      <c r="D1668" s="2" t="s">
        <v>1458</v>
      </c>
      <c r="E1668" s="36">
        <v>3087</v>
      </c>
      <c r="F1668" s="2" t="s">
        <v>1459</v>
      </c>
      <c r="G1668" s="1"/>
      <c r="H1668" s="1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</row>
    <row r="1669" spans="1:22" x14ac:dyDescent="0.25">
      <c r="A1669" t="str">
        <f t="shared" si="83"/>
        <v>11801</v>
      </c>
      <c r="B1669" s="34">
        <v>123</v>
      </c>
      <c r="C1669" s="35">
        <v>12110</v>
      </c>
      <c r="D1669" s="2" t="s">
        <v>1458</v>
      </c>
      <c r="E1669" s="36">
        <v>2241</v>
      </c>
      <c r="F1669" s="2" t="s">
        <v>1460</v>
      </c>
      <c r="G1669" s="1"/>
      <c r="H1669" s="1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</row>
    <row r="1670" spans="1:22" x14ac:dyDescent="0.25">
      <c r="A1670" t="str">
        <f t="shared" si="83"/>
        <v>11801</v>
      </c>
      <c r="B1670" s="34">
        <v>123</v>
      </c>
      <c r="C1670" s="31" t="str">
        <f>"36402"</f>
        <v>36402</v>
      </c>
      <c r="D1670" s="31" t="s">
        <v>1471</v>
      </c>
      <c r="E1670" s="34" t="str">
        <f>"3574"</f>
        <v>3574</v>
      </c>
      <c r="F1670" s="31" t="s">
        <v>1472</v>
      </c>
      <c r="G1670" s="1"/>
      <c r="H1670" s="1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</row>
    <row r="1671" spans="1:22" x14ac:dyDescent="0.25">
      <c r="A1671" t="str">
        <f t="shared" si="83"/>
        <v>11801</v>
      </c>
      <c r="B1671" s="34">
        <v>123</v>
      </c>
      <c r="C1671" s="31" t="str">
        <f>"36402"</f>
        <v>36402</v>
      </c>
      <c r="D1671" s="31" t="s">
        <v>1471</v>
      </c>
      <c r="E1671" s="34" t="str">
        <f>"3575"</f>
        <v>3575</v>
      </c>
      <c r="F1671" s="31" t="s">
        <v>1473</v>
      </c>
      <c r="G1671" s="1"/>
      <c r="H1671" s="1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</row>
    <row r="1672" spans="1:22" x14ac:dyDescent="0.25">
      <c r="A1672" t="str">
        <f t="shared" si="83"/>
        <v>11801</v>
      </c>
      <c r="B1672" s="34">
        <v>123</v>
      </c>
      <c r="C1672" s="31" t="str">
        <f>"03116"</f>
        <v>03116</v>
      </c>
      <c r="D1672" s="31" t="s">
        <v>850</v>
      </c>
      <c r="E1672" s="34" t="str">
        <f>"2906"</f>
        <v>2906</v>
      </c>
      <c r="F1672" s="31" t="s">
        <v>851</v>
      </c>
      <c r="G1672" s="1"/>
      <c r="H1672" s="1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</row>
    <row r="1673" spans="1:22" x14ac:dyDescent="0.25">
      <c r="A1673" t="str">
        <f t="shared" si="83"/>
        <v>11801</v>
      </c>
      <c r="B1673" s="34">
        <v>123</v>
      </c>
      <c r="C1673" s="31" t="str">
        <f>"03116"</f>
        <v>03116</v>
      </c>
      <c r="D1673" s="31" t="s">
        <v>850</v>
      </c>
      <c r="E1673" s="34" t="str">
        <f>"2195"</f>
        <v>2195</v>
      </c>
      <c r="F1673" s="31" t="s">
        <v>923</v>
      </c>
      <c r="G1673" s="1"/>
      <c r="H1673" s="1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</row>
    <row r="1674" spans="1:22" x14ac:dyDescent="0.25">
      <c r="A1674" t="str">
        <f t="shared" si="83"/>
        <v>11801</v>
      </c>
      <c r="B1674" s="34">
        <v>123</v>
      </c>
      <c r="C1674" s="31" t="str">
        <f>"03116"</f>
        <v>03116</v>
      </c>
      <c r="D1674" s="31" t="s">
        <v>850</v>
      </c>
      <c r="E1674" s="34" t="str">
        <f>"3316"</f>
        <v>3316</v>
      </c>
      <c r="F1674" s="31" t="s">
        <v>1479</v>
      </c>
      <c r="G1674" s="1"/>
      <c r="H1674" s="1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</row>
    <row r="1675" spans="1:22" x14ac:dyDescent="0.25">
      <c r="A1675" t="str">
        <f t="shared" si="83"/>
        <v>11801</v>
      </c>
      <c r="B1675" s="34">
        <v>123</v>
      </c>
      <c r="C1675" s="31" t="str">
        <f>"03116"</f>
        <v>03116</v>
      </c>
      <c r="D1675" s="31" t="s">
        <v>850</v>
      </c>
      <c r="E1675" s="34" t="str">
        <f>"2508"</f>
        <v>2508</v>
      </c>
      <c r="F1675" s="31" t="s">
        <v>1480</v>
      </c>
      <c r="G1675" s="1"/>
      <c r="H1675" s="1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</row>
    <row r="1676" spans="1:22" x14ac:dyDescent="0.25">
      <c r="A1676" t="str">
        <f t="shared" si="83"/>
        <v>11801</v>
      </c>
      <c r="B1676" s="34">
        <v>123</v>
      </c>
      <c r="C1676" s="31" t="str">
        <f>"03116"</f>
        <v>03116</v>
      </c>
      <c r="D1676" s="31" t="s">
        <v>850</v>
      </c>
      <c r="E1676" s="34" t="str">
        <f>"2905"</f>
        <v>2905</v>
      </c>
      <c r="F1676" s="31" t="s">
        <v>1938</v>
      </c>
      <c r="G1676" s="1"/>
      <c r="H1676" s="1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</row>
    <row r="1677" spans="1:22" x14ac:dyDescent="0.25">
      <c r="A1677" t="str">
        <f t="shared" si="83"/>
        <v>11801</v>
      </c>
      <c r="B1677" s="34">
        <v>123</v>
      </c>
      <c r="C1677" s="31" t="str">
        <f t="shared" ref="C1677:C1694" si="85">"03400"</f>
        <v>03400</v>
      </c>
      <c r="D1677" s="31" t="s">
        <v>100</v>
      </c>
      <c r="E1677" s="34" t="str">
        <f>"4060"</f>
        <v>4060</v>
      </c>
      <c r="F1677" s="31" t="s">
        <v>101</v>
      </c>
      <c r="G1677" s="1"/>
      <c r="H1677" s="1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</row>
    <row r="1678" spans="1:22" x14ac:dyDescent="0.25">
      <c r="A1678" t="str">
        <f t="shared" si="83"/>
        <v>11801</v>
      </c>
      <c r="B1678" s="34">
        <v>123</v>
      </c>
      <c r="C1678" s="31" t="str">
        <f t="shared" si="85"/>
        <v>03400</v>
      </c>
      <c r="D1678" s="31" t="s">
        <v>100</v>
      </c>
      <c r="E1678" s="34" t="str">
        <f>"2721"</f>
        <v>2721</v>
      </c>
      <c r="F1678" s="31" t="s">
        <v>250</v>
      </c>
      <c r="G1678" s="1"/>
      <c r="H1678" s="1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</row>
    <row r="1679" spans="1:22" x14ac:dyDescent="0.25">
      <c r="A1679" t="str">
        <f t="shared" si="83"/>
        <v>11801</v>
      </c>
      <c r="B1679" s="34">
        <v>123</v>
      </c>
      <c r="C1679" s="31" t="str">
        <f t="shared" si="85"/>
        <v>03400</v>
      </c>
      <c r="D1679" s="31" t="s">
        <v>100</v>
      </c>
      <c r="E1679" s="34" t="str">
        <f>"2785"</f>
        <v>2785</v>
      </c>
      <c r="F1679" s="31" t="s">
        <v>349</v>
      </c>
      <c r="G1679" s="1"/>
      <c r="H1679" s="1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</row>
    <row r="1680" spans="1:22" x14ac:dyDescent="0.25">
      <c r="A1680" t="str">
        <f t="shared" si="83"/>
        <v>11801</v>
      </c>
      <c r="B1680" s="34">
        <v>123</v>
      </c>
      <c r="C1680" s="31" t="str">
        <f t="shared" si="85"/>
        <v>03400</v>
      </c>
      <c r="D1680" s="31" t="s">
        <v>100</v>
      </c>
      <c r="E1680" s="34" t="str">
        <f>"3926"</f>
        <v>3926</v>
      </c>
      <c r="F1680" s="31" t="s">
        <v>590</v>
      </c>
      <c r="G1680" s="1"/>
      <c r="H1680" s="1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</row>
    <row r="1681" spans="1:22" x14ac:dyDescent="0.25">
      <c r="A1681" t="str">
        <f t="shared" si="83"/>
        <v>11801</v>
      </c>
      <c r="B1681" s="34">
        <v>123</v>
      </c>
      <c r="C1681" s="31" t="str">
        <f t="shared" si="85"/>
        <v>03400</v>
      </c>
      <c r="D1681" s="31" t="s">
        <v>100</v>
      </c>
      <c r="E1681" s="34" t="str">
        <f>"3833"</f>
        <v>3833</v>
      </c>
      <c r="F1681" s="31" t="s">
        <v>767</v>
      </c>
      <c r="G1681" s="1"/>
      <c r="H1681" s="1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</row>
    <row r="1682" spans="1:22" x14ac:dyDescent="0.25">
      <c r="A1682" t="str">
        <f t="shared" si="83"/>
        <v>11801</v>
      </c>
      <c r="B1682" s="34">
        <v>123</v>
      </c>
      <c r="C1682" s="31" t="str">
        <f t="shared" si="85"/>
        <v>03400</v>
      </c>
      <c r="D1682" s="31" t="s">
        <v>100</v>
      </c>
      <c r="E1682" s="34" t="str">
        <f>"2786"</f>
        <v>2786</v>
      </c>
      <c r="F1682" s="31" t="s">
        <v>892</v>
      </c>
      <c r="G1682" s="1"/>
      <c r="H1682" s="1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</row>
    <row r="1683" spans="1:22" x14ac:dyDescent="0.25">
      <c r="A1683" t="str">
        <f t="shared" si="83"/>
        <v>11801</v>
      </c>
      <c r="B1683" s="34">
        <v>123</v>
      </c>
      <c r="C1683" s="31" t="str">
        <f t="shared" si="85"/>
        <v>03400</v>
      </c>
      <c r="D1683" s="31" t="s">
        <v>100</v>
      </c>
      <c r="E1683" s="34" t="str">
        <f>"2642"</f>
        <v>2642</v>
      </c>
      <c r="F1683" s="31" t="s">
        <v>895</v>
      </c>
      <c r="G1683" s="1"/>
      <c r="H1683" s="1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</row>
    <row r="1684" spans="1:22" x14ac:dyDescent="0.25">
      <c r="A1684" t="str">
        <f t="shared" si="83"/>
        <v>11801</v>
      </c>
      <c r="B1684" s="34">
        <v>123</v>
      </c>
      <c r="C1684" s="31" t="str">
        <f t="shared" si="85"/>
        <v>03400</v>
      </c>
      <c r="D1684" s="31" t="s">
        <v>100</v>
      </c>
      <c r="E1684" s="34" t="str">
        <f>"5493"</f>
        <v>5493</v>
      </c>
      <c r="F1684" s="31" t="s">
        <v>1028</v>
      </c>
      <c r="G1684" s="1"/>
      <c r="H1684" s="1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</row>
    <row r="1685" spans="1:22" x14ac:dyDescent="0.25">
      <c r="A1685" t="str">
        <f t="shared" si="83"/>
        <v>11801</v>
      </c>
      <c r="B1685" s="34">
        <v>123</v>
      </c>
      <c r="C1685" s="31" t="str">
        <f t="shared" si="85"/>
        <v>03400</v>
      </c>
      <c r="D1685" s="31" t="s">
        <v>100</v>
      </c>
      <c r="E1685" s="34" t="str">
        <f>"2657"</f>
        <v>2657</v>
      </c>
      <c r="F1685" s="31" t="s">
        <v>1032</v>
      </c>
      <c r="G1685" s="1"/>
      <c r="H1685" s="1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</row>
    <row r="1686" spans="1:22" x14ac:dyDescent="0.25">
      <c r="A1686" t="str">
        <f t="shared" si="83"/>
        <v>11801</v>
      </c>
      <c r="B1686" s="34">
        <v>123</v>
      </c>
      <c r="C1686" s="31" t="str">
        <f t="shared" si="85"/>
        <v>03400</v>
      </c>
      <c r="D1686" s="31" t="s">
        <v>100</v>
      </c>
      <c r="E1686" s="34" t="str">
        <f>"2656"</f>
        <v>2656</v>
      </c>
      <c r="F1686" s="31" t="s">
        <v>1122</v>
      </c>
      <c r="G1686" s="1"/>
      <c r="H1686" s="1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</row>
    <row r="1687" spans="1:22" x14ac:dyDescent="0.25">
      <c r="A1687" t="str">
        <f t="shared" si="83"/>
        <v>11801</v>
      </c>
      <c r="B1687" s="34">
        <v>123</v>
      </c>
      <c r="C1687" s="31" t="str">
        <f t="shared" si="85"/>
        <v>03400</v>
      </c>
      <c r="D1687" s="31" t="s">
        <v>100</v>
      </c>
      <c r="E1687" s="34" t="str">
        <f>"5419"</f>
        <v>5419</v>
      </c>
      <c r="F1687" s="31" t="s">
        <v>1385</v>
      </c>
      <c r="G1687" s="1"/>
      <c r="H1687" s="1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</row>
    <row r="1688" spans="1:22" x14ac:dyDescent="0.25">
      <c r="A1688" t="str">
        <f t="shared" si="83"/>
        <v>11801</v>
      </c>
      <c r="B1688" s="34">
        <v>123</v>
      </c>
      <c r="C1688" s="31" t="str">
        <f t="shared" si="85"/>
        <v>03400</v>
      </c>
      <c r="D1688" s="31" t="s">
        <v>100</v>
      </c>
      <c r="E1688" s="34" t="str">
        <f>"3511"</f>
        <v>3511</v>
      </c>
      <c r="F1688" s="31" t="s">
        <v>1522</v>
      </c>
      <c r="G1688" s="1"/>
      <c r="H1688" s="1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</row>
    <row r="1689" spans="1:22" x14ac:dyDescent="0.25">
      <c r="A1689" t="str">
        <f t="shared" si="83"/>
        <v>11801</v>
      </c>
      <c r="B1689" s="34">
        <v>123</v>
      </c>
      <c r="C1689" s="31" t="str">
        <f t="shared" si="85"/>
        <v>03400</v>
      </c>
      <c r="D1689" s="31" t="s">
        <v>100</v>
      </c>
      <c r="E1689" s="34" t="str">
        <f>"4295"</f>
        <v>4295</v>
      </c>
      <c r="F1689" s="31" t="s">
        <v>1536</v>
      </c>
      <c r="G1689" s="1"/>
      <c r="H1689" s="1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</row>
    <row r="1690" spans="1:22" x14ac:dyDescent="0.25">
      <c r="A1690" t="str">
        <f t="shared" si="83"/>
        <v>11801</v>
      </c>
      <c r="B1690" s="34">
        <v>123</v>
      </c>
      <c r="C1690" s="31" t="str">
        <f t="shared" si="85"/>
        <v>03400</v>
      </c>
      <c r="D1690" s="31" t="s">
        <v>100</v>
      </c>
      <c r="E1690" s="34" t="str">
        <f>"3732"</f>
        <v>3732</v>
      </c>
      <c r="F1690" s="31" t="s">
        <v>1572</v>
      </c>
      <c r="G1690" s="1"/>
      <c r="H1690" s="1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</row>
    <row r="1691" spans="1:22" x14ac:dyDescent="0.25">
      <c r="A1691" t="str">
        <f t="shared" si="83"/>
        <v>11801</v>
      </c>
      <c r="B1691" s="34">
        <v>123</v>
      </c>
      <c r="C1691" s="31" t="str">
        <f t="shared" si="85"/>
        <v>03400</v>
      </c>
      <c r="D1691" s="31" t="s">
        <v>100</v>
      </c>
      <c r="E1691" s="34" t="str">
        <f>"4059"</f>
        <v>4059</v>
      </c>
      <c r="F1691" s="31" t="s">
        <v>1773</v>
      </c>
      <c r="G1691" s="1"/>
      <c r="H1691" s="1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</row>
    <row r="1692" spans="1:22" x14ac:dyDescent="0.25">
      <c r="A1692" t="str">
        <f t="shared" si="83"/>
        <v>11801</v>
      </c>
      <c r="B1692" s="34">
        <v>123</v>
      </c>
      <c r="C1692" s="31" t="str">
        <f t="shared" si="85"/>
        <v>03400</v>
      </c>
      <c r="D1692" s="31" t="s">
        <v>100</v>
      </c>
      <c r="E1692" s="34" t="str">
        <f>"5165"</f>
        <v>5165</v>
      </c>
      <c r="F1692" s="31" t="s">
        <v>1791</v>
      </c>
      <c r="G1692" s="1"/>
      <c r="H1692" s="1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</row>
    <row r="1693" spans="1:22" x14ac:dyDescent="0.25">
      <c r="A1693" t="str">
        <f t="shared" si="83"/>
        <v>11801</v>
      </c>
      <c r="B1693" s="34">
        <v>123</v>
      </c>
      <c r="C1693" s="31" t="str">
        <f t="shared" si="85"/>
        <v>03400</v>
      </c>
      <c r="D1693" s="31" t="s">
        <v>100</v>
      </c>
      <c r="E1693" s="34" t="str">
        <f>"5092"</f>
        <v>5092</v>
      </c>
      <c r="F1693" s="31" t="s">
        <v>1927</v>
      </c>
      <c r="G1693" s="1"/>
      <c r="H1693" s="1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</row>
    <row r="1694" spans="1:22" x14ac:dyDescent="0.25">
      <c r="A1694" t="str">
        <f t="shared" si="83"/>
        <v>11801</v>
      </c>
      <c r="B1694" s="34">
        <v>123</v>
      </c>
      <c r="C1694" s="31" t="str">
        <f t="shared" si="85"/>
        <v>03400</v>
      </c>
      <c r="D1694" s="31" t="s">
        <v>100</v>
      </c>
      <c r="E1694" s="34" t="str">
        <f>"4543"</f>
        <v>4543</v>
      </c>
      <c r="F1694" s="31" t="s">
        <v>1951</v>
      </c>
      <c r="G1694" s="1"/>
      <c r="H1694" s="1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</row>
    <row r="1695" spans="1:22" x14ac:dyDescent="0.25">
      <c r="A1695" t="str">
        <f t="shared" si="83"/>
        <v>11801</v>
      </c>
      <c r="B1695" s="33">
        <v>123</v>
      </c>
      <c r="C1695" s="35">
        <v>11054</v>
      </c>
      <c r="D1695" t="s">
        <v>2360</v>
      </c>
      <c r="E1695" s="36">
        <v>2007</v>
      </c>
      <c r="F1695" t="s">
        <v>2361</v>
      </c>
      <c r="G1695" s="1"/>
      <c r="H1695" s="1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</row>
    <row r="1696" spans="1:22" x14ac:dyDescent="0.25">
      <c r="A1696" t="str">
        <f t="shared" si="83"/>
        <v>11801</v>
      </c>
      <c r="B1696" s="33">
        <v>123</v>
      </c>
      <c r="C1696" s="35">
        <v>7035</v>
      </c>
      <c r="D1696" t="s">
        <v>2362</v>
      </c>
      <c r="E1696" s="36">
        <v>2135</v>
      </c>
      <c r="F1696" t="s">
        <v>2363</v>
      </c>
      <c r="G1696" s="1"/>
      <c r="H1696" s="1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</row>
    <row r="1697" spans="1:22" x14ac:dyDescent="0.25">
      <c r="A1697" t="str">
        <f t="shared" si="83"/>
        <v>11801</v>
      </c>
      <c r="B1697" s="33">
        <v>123</v>
      </c>
      <c r="C1697" s="35">
        <v>36300</v>
      </c>
      <c r="D1697" t="s">
        <v>2364</v>
      </c>
      <c r="E1697" s="36">
        <v>2160</v>
      </c>
      <c r="F1697" t="s">
        <v>2365</v>
      </c>
      <c r="G1697" s="1"/>
      <c r="H1697" s="1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</row>
    <row r="1698" spans="1:22" x14ac:dyDescent="0.25">
      <c r="A1698" t="str">
        <f t="shared" ref="A1698:A1711" si="86">"11801"</f>
        <v>11801</v>
      </c>
      <c r="B1698" s="34">
        <v>123</v>
      </c>
      <c r="C1698" s="31" t="str">
        <f>"36401"</f>
        <v>36401</v>
      </c>
      <c r="D1698" s="31" t="s">
        <v>1475</v>
      </c>
      <c r="E1698" s="34" t="str">
        <f>"2174"</f>
        <v>2174</v>
      </c>
      <c r="F1698" s="31" t="s">
        <v>1476</v>
      </c>
      <c r="G1698" s="1"/>
      <c r="H1698" s="1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</row>
    <row r="1699" spans="1:22" x14ac:dyDescent="0.25">
      <c r="A1699" t="str">
        <f t="shared" si="86"/>
        <v>11801</v>
      </c>
      <c r="B1699" s="34">
        <v>123</v>
      </c>
      <c r="C1699" s="31" t="str">
        <f>"36401"</f>
        <v>36401</v>
      </c>
      <c r="D1699" s="31" t="s">
        <v>1475</v>
      </c>
      <c r="E1699" s="34" t="str">
        <f>"2712"</f>
        <v>2712</v>
      </c>
      <c r="F1699" s="31" t="s">
        <v>1874</v>
      </c>
      <c r="G1699" s="1"/>
      <c r="H1699" s="1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</row>
    <row r="1700" spans="1:22" x14ac:dyDescent="0.25">
      <c r="A1700" t="str">
        <f t="shared" si="86"/>
        <v>11801</v>
      </c>
      <c r="B1700" s="34">
        <v>123</v>
      </c>
      <c r="C1700" s="31" t="str">
        <f>"36401"</f>
        <v>36401</v>
      </c>
      <c r="D1700" s="31" t="s">
        <v>1475</v>
      </c>
      <c r="E1700" s="34" t="str">
        <f>"2386"</f>
        <v>2386</v>
      </c>
      <c r="F1700" s="31" t="s">
        <v>1875</v>
      </c>
      <c r="G1700" s="1"/>
      <c r="H1700" s="1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</row>
    <row r="1701" spans="1:22" x14ac:dyDescent="0.25">
      <c r="A1701" t="str">
        <f t="shared" si="86"/>
        <v>11801</v>
      </c>
      <c r="B1701" s="34">
        <v>123</v>
      </c>
      <c r="C1701" s="31" t="str">
        <f t="shared" ref="C1701:C1711" si="87">"36140"</f>
        <v>36140</v>
      </c>
      <c r="D1701" s="31" t="s">
        <v>51</v>
      </c>
      <c r="E1701" s="34" t="str">
        <f>"2074"</f>
        <v>2074</v>
      </c>
      <c r="F1701" s="31" t="s">
        <v>144</v>
      </c>
      <c r="G1701" s="1"/>
      <c r="H1701" s="1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</row>
    <row r="1702" spans="1:22" x14ac:dyDescent="0.25">
      <c r="A1702" t="str">
        <f t="shared" si="86"/>
        <v>11801</v>
      </c>
      <c r="B1702" s="34">
        <v>123</v>
      </c>
      <c r="C1702" s="31" t="str">
        <f t="shared" si="87"/>
        <v>36140</v>
      </c>
      <c r="D1702" s="31" t="s">
        <v>51</v>
      </c>
      <c r="E1702" s="34" t="str">
        <f>"4193"</f>
        <v>4193</v>
      </c>
      <c r="F1702" s="31" t="s">
        <v>172</v>
      </c>
      <c r="G1702" s="1"/>
      <c r="H1702" s="1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</row>
    <row r="1703" spans="1:22" x14ac:dyDescent="0.25">
      <c r="A1703" t="str">
        <f t="shared" si="86"/>
        <v>11801</v>
      </c>
      <c r="B1703" s="34">
        <v>123</v>
      </c>
      <c r="C1703" s="31" t="str">
        <f t="shared" si="87"/>
        <v>36140</v>
      </c>
      <c r="D1703" s="31" t="s">
        <v>51</v>
      </c>
      <c r="E1703" s="34" t="str">
        <f>"2528"</f>
        <v>2528</v>
      </c>
      <c r="F1703" s="31" t="s">
        <v>552</v>
      </c>
      <c r="G1703" s="1"/>
      <c r="H1703" s="1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</row>
    <row r="1704" spans="1:22" x14ac:dyDescent="0.25">
      <c r="A1704" t="str">
        <f t="shared" si="86"/>
        <v>11801</v>
      </c>
      <c r="B1704" s="34">
        <v>123</v>
      </c>
      <c r="C1704" s="31" t="str">
        <f t="shared" si="87"/>
        <v>36140</v>
      </c>
      <c r="D1704" s="31" t="s">
        <v>51</v>
      </c>
      <c r="E1704" s="34" t="str">
        <f>"3510"</f>
        <v>3510</v>
      </c>
      <c r="F1704" s="31" t="s">
        <v>688</v>
      </c>
      <c r="G1704" s="1"/>
      <c r="H1704" s="1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</row>
    <row r="1705" spans="1:22" x14ac:dyDescent="0.25">
      <c r="A1705" t="str">
        <f t="shared" si="86"/>
        <v>11801</v>
      </c>
      <c r="B1705" s="34">
        <v>123</v>
      </c>
      <c r="C1705" s="31" t="str">
        <f t="shared" si="87"/>
        <v>36140</v>
      </c>
      <c r="D1705" s="31" t="s">
        <v>51</v>
      </c>
      <c r="E1705" s="34" t="str">
        <f>"2078"</f>
        <v>2078</v>
      </c>
      <c r="F1705" s="31" t="s">
        <v>750</v>
      </c>
      <c r="G1705" s="1"/>
      <c r="H1705" s="1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</row>
    <row r="1706" spans="1:22" x14ac:dyDescent="0.25">
      <c r="A1706" t="str">
        <f t="shared" si="86"/>
        <v>11801</v>
      </c>
      <c r="B1706" s="34">
        <v>123</v>
      </c>
      <c r="C1706" s="31" t="str">
        <f t="shared" si="87"/>
        <v>36140</v>
      </c>
      <c r="D1706" s="31" t="s">
        <v>51</v>
      </c>
      <c r="E1706" s="34" t="str">
        <f>"4071"</f>
        <v>4071</v>
      </c>
      <c r="F1706" s="31" t="s">
        <v>1059</v>
      </c>
      <c r="G1706" s="1"/>
      <c r="H1706" s="1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</row>
    <row r="1707" spans="1:22" x14ac:dyDescent="0.25">
      <c r="A1707" t="str">
        <f t="shared" si="86"/>
        <v>11801</v>
      </c>
      <c r="B1707" s="34">
        <v>123</v>
      </c>
      <c r="C1707" s="31" t="str">
        <f t="shared" si="87"/>
        <v>36140</v>
      </c>
      <c r="D1707" s="31" t="s">
        <v>51</v>
      </c>
      <c r="E1707" s="34" t="str">
        <f>"2780"</f>
        <v>2780</v>
      </c>
      <c r="F1707" s="31" t="s">
        <v>1451</v>
      </c>
      <c r="G1707" s="1"/>
      <c r="H1707" s="1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</row>
    <row r="1708" spans="1:22" x14ac:dyDescent="0.25">
      <c r="A1708" t="str">
        <f t="shared" si="86"/>
        <v>11801</v>
      </c>
      <c r="B1708" s="34">
        <v>123</v>
      </c>
      <c r="C1708" s="31" t="str">
        <f t="shared" si="87"/>
        <v>36140</v>
      </c>
      <c r="D1708" s="31" t="s">
        <v>51</v>
      </c>
      <c r="E1708" s="34" t="str">
        <f>"2159"</f>
        <v>2159</v>
      </c>
      <c r="F1708" s="31" t="s">
        <v>1478</v>
      </c>
      <c r="G1708" s="1"/>
      <c r="H1708" s="1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</row>
    <row r="1709" spans="1:22" x14ac:dyDescent="0.25">
      <c r="A1709" t="str">
        <f t="shared" si="86"/>
        <v>11801</v>
      </c>
      <c r="B1709" s="34">
        <v>123</v>
      </c>
      <c r="C1709" s="31" t="str">
        <f t="shared" si="87"/>
        <v>36140</v>
      </c>
      <c r="D1709" s="31" t="s">
        <v>51</v>
      </c>
      <c r="E1709" s="34" t="str">
        <f>"5337"</f>
        <v>5337</v>
      </c>
      <c r="F1709" s="31" t="s">
        <v>1603</v>
      </c>
      <c r="G1709" s="1"/>
      <c r="H1709" s="1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</row>
    <row r="1710" spans="1:22" x14ac:dyDescent="0.25">
      <c r="A1710" t="str">
        <f t="shared" si="86"/>
        <v>11801</v>
      </c>
      <c r="B1710" s="34">
        <v>123</v>
      </c>
      <c r="C1710" s="31" t="str">
        <f t="shared" si="87"/>
        <v>36140</v>
      </c>
      <c r="D1710" s="31" t="s">
        <v>51</v>
      </c>
      <c r="E1710" s="34" t="str">
        <f>"3728"</f>
        <v>3728</v>
      </c>
      <c r="F1710" s="31" t="s">
        <v>1630</v>
      </c>
      <c r="G1710" s="1"/>
      <c r="H1710" s="1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</row>
    <row r="1711" spans="1:22" x14ac:dyDescent="0.25">
      <c r="A1711" t="str">
        <f t="shared" si="86"/>
        <v>11801</v>
      </c>
      <c r="B1711" s="34">
        <v>123</v>
      </c>
      <c r="C1711" s="31" t="str">
        <f t="shared" si="87"/>
        <v>36140</v>
      </c>
      <c r="D1711" s="31" t="s">
        <v>51</v>
      </c>
      <c r="E1711" s="34" t="str">
        <f>"3468"</f>
        <v>3468</v>
      </c>
      <c r="F1711" s="31" t="s">
        <v>1877</v>
      </c>
      <c r="G1711" s="1"/>
      <c r="H1711" s="1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</row>
    <row r="1712" spans="1:22" x14ac:dyDescent="0.25">
      <c r="A1712" t="str">
        <f t="shared" ref="A1712:A1775" si="88">"04801"</f>
        <v>04801</v>
      </c>
      <c r="B1712" s="33">
        <v>171</v>
      </c>
      <c r="C1712" s="35">
        <v>24111</v>
      </c>
      <c r="D1712" t="s">
        <v>186</v>
      </c>
      <c r="E1712" s="36">
        <v>5272</v>
      </c>
      <c r="F1712" t="s">
        <v>187</v>
      </c>
      <c r="G1712" s="1"/>
      <c r="H1712" s="1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</row>
    <row r="1713" spans="1:22" x14ac:dyDescent="0.25">
      <c r="A1713" t="str">
        <f t="shared" si="88"/>
        <v>04801</v>
      </c>
      <c r="B1713" s="33">
        <v>171</v>
      </c>
      <c r="C1713" s="35">
        <v>24111</v>
      </c>
      <c r="D1713" t="s">
        <v>186</v>
      </c>
      <c r="E1713" s="36">
        <v>3293</v>
      </c>
      <c r="F1713" t="s">
        <v>188</v>
      </c>
      <c r="G1713" s="1"/>
      <c r="H1713" s="1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</row>
    <row r="1714" spans="1:22" x14ac:dyDescent="0.25">
      <c r="A1714" t="str">
        <f t="shared" si="88"/>
        <v>04801</v>
      </c>
      <c r="B1714" s="33">
        <v>171</v>
      </c>
      <c r="C1714" s="35">
        <v>24111</v>
      </c>
      <c r="D1714" t="s">
        <v>186</v>
      </c>
      <c r="E1714" s="36">
        <v>2800</v>
      </c>
      <c r="F1714" t="s">
        <v>189</v>
      </c>
      <c r="G1714" s="1"/>
      <c r="H1714" s="1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</row>
    <row r="1715" spans="1:22" x14ac:dyDescent="0.25">
      <c r="A1715" t="str">
        <f t="shared" si="88"/>
        <v>04801</v>
      </c>
      <c r="B1715" s="33">
        <v>171</v>
      </c>
      <c r="C1715" s="35">
        <v>24111</v>
      </c>
      <c r="D1715" t="s">
        <v>186</v>
      </c>
      <c r="E1715" s="36">
        <v>4223</v>
      </c>
      <c r="F1715" t="s">
        <v>190</v>
      </c>
      <c r="G1715" s="1"/>
      <c r="H1715" s="1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</row>
    <row r="1716" spans="1:22" x14ac:dyDescent="0.25">
      <c r="A1716" t="str">
        <f t="shared" si="88"/>
        <v>04801</v>
      </c>
      <c r="B1716" s="34">
        <v>171</v>
      </c>
      <c r="C1716" s="31" t="str">
        <f>"09075"</f>
        <v>09075</v>
      </c>
      <c r="D1716" s="31" t="s">
        <v>193</v>
      </c>
      <c r="E1716" s="34" t="str">
        <f>"1900"</f>
        <v>1900</v>
      </c>
      <c r="F1716" s="31" t="s">
        <v>194</v>
      </c>
      <c r="G1716" s="1"/>
      <c r="H1716" s="1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</row>
    <row r="1717" spans="1:22" x14ac:dyDescent="0.25">
      <c r="A1717" t="str">
        <f t="shared" si="88"/>
        <v>04801</v>
      </c>
      <c r="B1717" s="34">
        <v>171</v>
      </c>
      <c r="C1717" s="31" t="str">
        <f>"09075"</f>
        <v>09075</v>
      </c>
      <c r="D1717" s="31" t="s">
        <v>193</v>
      </c>
      <c r="E1717" s="34" t="str">
        <f>"2562"</f>
        <v>2562</v>
      </c>
      <c r="F1717" s="31" t="s">
        <v>195</v>
      </c>
      <c r="G1717" s="1"/>
      <c r="H1717" s="1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</row>
    <row r="1718" spans="1:22" x14ac:dyDescent="0.25">
      <c r="A1718" t="str">
        <f t="shared" si="88"/>
        <v>04801</v>
      </c>
      <c r="B1718" s="34">
        <v>171</v>
      </c>
      <c r="C1718" s="31" t="str">
        <f>"09075"</f>
        <v>09075</v>
      </c>
      <c r="D1718" s="31" t="s">
        <v>193</v>
      </c>
      <c r="E1718" s="34" t="str">
        <f>"2788"</f>
        <v>2788</v>
      </c>
      <c r="F1718" s="31" t="s">
        <v>196</v>
      </c>
      <c r="G1718" s="1"/>
      <c r="H1718" s="1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</row>
    <row r="1719" spans="1:22" x14ac:dyDescent="0.25">
      <c r="A1719" t="str">
        <f t="shared" si="88"/>
        <v>04801</v>
      </c>
      <c r="B1719" s="34">
        <v>171</v>
      </c>
      <c r="C1719" s="31" t="str">
        <f>"09075"</f>
        <v>09075</v>
      </c>
      <c r="D1719" s="31" t="s">
        <v>193</v>
      </c>
      <c r="E1719" s="34" t="str">
        <f>"4213"</f>
        <v>4213</v>
      </c>
      <c r="F1719" s="31" t="s">
        <v>197</v>
      </c>
      <c r="G1719" s="1"/>
      <c r="H1719" s="1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</row>
    <row r="1720" spans="1:22" x14ac:dyDescent="0.25">
      <c r="A1720" t="str">
        <f t="shared" si="88"/>
        <v>04801</v>
      </c>
      <c r="B1720" s="34">
        <v>171</v>
      </c>
      <c r="C1720" s="31" t="s">
        <v>2366</v>
      </c>
      <c r="D1720" s="31" t="s">
        <v>130</v>
      </c>
      <c r="E1720" s="36">
        <v>2827</v>
      </c>
      <c r="F1720" t="s">
        <v>2367</v>
      </c>
      <c r="G1720" s="1"/>
      <c r="H1720" s="1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</row>
    <row r="1721" spans="1:22" x14ac:dyDescent="0.25">
      <c r="A1721" t="str">
        <f t="shared" si="88"/>
        <v>04801</v>
      </c>
      <c r="B1721" s="34">
        <v>171</v>
      </c>
      <c r="C1721" s="31" t="s">
        <v>2366</v>
      </c>
      <c r="D1721" s="31" t="s">
        <v>130</v>
      </c>
      <c r="E1721" s="34" t="s">
        <v>2368</v>
      </c>
      <c r="F1721" s="31" t="s">
        <v>131</v>
      </c>
      <c r="G1721" s="1"/>
      <c r="H1721" s="1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</row>
    <row r="1722" spans="1:22" x14ac:dyDescent="0.25">
      <c r="A1722" t="str">
        <f t="shared" si="88"/>
        <v>04801</v>
      </c>
      <c r="B1722" s="34">
        <v>171</v>
      </c>
      <c r="C1722" s="31" t="s">
        <v>2366</v>
      </c>
      <c r="D1722" s="31" t="s">
        <v>130</v>
      </c>
      <c r="E1722" s="34" t="s">
        <v>2369</v>
      </c>
      <c r="F1722" s="31" t="s">
        <v>263</v>
      </c>
      <c r="G1722" s="1"/>
      <c r="H1722" s="1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</row>
    <row r="1723" spans="1:22" x14ac:dyDescent="0.25">
      <c r="A1723" t="str">
        <f t="shared" si="88"/>
        <v>04801</v>
      </c>
      <c r="B1723" s="34">
        <v>171</v>
      </c>
      <c r="C1723" s="31" t="s">
        <v>2366</v>
      </c>
      <c r="D1723" s="31" t="s">
        <v>130</v>
      </c>
      <c r="E1723" s="34" t="s">
        <v>2370</v>
      </c>
      <c r="F1723" s="31" t="s">
        <v>264</v>
      </c>
      <c r="G1723" s="1"/>
      <c r="H1723" s="1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</row>
    <row r="1724" spans="1:22" x14ac:dyDescent="0.25">
      <c r="A1724" t="str">
        <f t="shared" si="88"/>
        <v>04801</v>
      </c>
      <c r="B1724" s="34">
        <v>171</v>
      </c>
      <c r="C1724" s="31" t="s">
        <v>2366</v>
      </c>
      <c r="D1724" s="31" t="s">
        <v>130</v>
      </c>
      <c r="E1724" s="34" t="s">
        <v>2371</v>
      </c>
      <c r="F1724" s="31" t="s">
        <v>857</v>
      </c>
      <c r="G1724" s="1"/>
      <c r="H1724" s="1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</row>
    <row r="1725" spans="1:22" x14ac:dyDescent="0.25">
      <c r="A1725" t="str">
        <f t="shared" si="88"/>
        <v>04801</v>
      </c>
      <c r="B1725" s="34">
        <v>171</v>
      </c>
      <c r="C1725" s="31" t="s">
        <v>2366</v>
      </c>
      <c r="D1725" s="31" t="s">
        <v>130</v>
      </c>
      <c r="E1725" s="34" t="s">
        <v>2372</v>
      </c>
      <c r="F1725" s="31" t="s">
        <v>1435</v>
      </c>
      <c r="G1725" s="1"/>
      <c r="H1725" s="1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</row>
    <row r="1726" spans="1:22" x14ac:dyDescent="0.25">
      <c r="A1726" t="str">
        <f t="shared" si="88"/>
        <v>04801</v>
      </c>
      <c r="B1726" s="33">
        <v>171</v>
      </c>
      <c r="C1726" s="35">
        <v>4222</v>
      </c>
      <c r="D1726" t="s">
        <v>275</v>
      </c>
      <c r="E1726" s="36">
        <v>3268</v>
      </c>
      <c r="F1726" t="s">
        <v>276</v>
      </c>
      <c r="G1726" s="1"/>
      <c r="H1726" s="1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</row>
    <row r="1727" spans="1:22" x14ac:dyDescent="0.25">
      <c r="A1727" t="str">
        <f t="shared" si="88"/>
        <v>04801</v>
      </c>
      <c r="B1727" s="33">
        <v>171</v>
      </c>
      <c r="C1727" s="35">
        <v>4222</v>
      </c>
      <c r="D1727" t="s">
        <v>275</v>
      </c>
      <c r="E1727" s="36">
        <v>2315</v>
      </c>
      <c r="F1727" t="s">
        <v>277</v>
      </c>
      <c r="G1727" s="1"/>
      <c r="H1727" s="1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</row>
    <row r="1728" spans="1:22" x14ac:dyDescent="0.25">
      <c r="A1728" t="str">
        <f t="shared" si="88"/>
        <v>04801</v>
      </c>
      <c r="B1728" s="33">
        <v>171</v>
      </c>
      <c r="C1728" s="35">
        <v>4222</v>
      </c>
      <c r="D1728" t="s">
        <v>275</v>
      </c>
      <c r="E1728" s="36">
        <v>2787</v>
      </c>
      <c r="F1728" t="s">
        <v>1842</v>
      </c>
      <c r="G1728" s="1"/>
      <c r="H1728" s="1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</row>
    <row r="1729" spans="1:22" x14ac:dyDescent="0.25">
      <c r="A1729" t="str">
        <f t="shared" si="88"/>
        <v>04801</v>
      </c>
      <c r="B1729" s="33">
        <v>171</v>
      </c>
      <c r="C1729" s="35">
        <v>13151</v>
      </c>
      <c r="D1729" t="s">
        <v>47</v>
      </c>
      <c r="E1729" s="36">
        <v>2968</v>
      </c>
      <c r="F1729" t="s">
        <v>48</v>
      </c>
      <c r="G1729" s="1"/>
      <c r="H1729" s="1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</row>
    <row r="1730" spans="1:22" x14ac:dyDescent="0.25">
      <c r="A1730" t="str">
        <f t="shared" si="88"/>
        <v>04801</v>
      </c>
      <c r="B1730" s="33">
        <v>171</v>
      </c>
      <c r="C1730" s="35">
        <v>13151</v>
      </c>
      <c r="D1730" t="s">
        <v>47</v>
      </c>
      <c r="E1730" s="36">
        <v>2693</v>
      </c>
      <c r="F1730" t="s">
        <v>435</v>
      </c>
      <c r="G1730" s="1"/>
      <c r="H1730" s="1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</row>
    <row r="1731" spans="1:22" x14ac:dyDescent="0.25">
      <c r="A1731" t="str">
        <f t="shared" si="88"/>
        <v>04801</v>
      </c>
      <c r="B1731" s="33">
        <v>171</v>
      </c>
      <c r="C1731" t="str">
        <f>"13151"</f>
        <v>13151</v>
      </c>
      <c r="D1731" t="s">
        <v>47</v>
      </c>
      <c r="E1731" s="33" t="str">
        <f>"2304"</f>
        <v>2304</v>
      </c>
      <c r="F1731" t="s">
        <v>2373</v>
      </c>
      <c r="G1731" s="1"/>
      <c r="H1731" s="1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</row>
    <row r="1732" spans="1:22" x14ac:dyDescent="0.25">
      <c r="A1732" t="str">
        <f t="shared" si="88"/>
        <v>04801</v>
      </c>
      <c r="B1732" s="33">
        <v>171</v>
      </c>
      <c r="C1732" t="str">
        <f t="shared" ref="C1732:C1741" si="89">"09206"</f>
        <v>09206</v>
      </c>
      <c r="D1732" t="s">
        <v>238</v>
      </c>
      <c r="E1732" s="33" t="str">
        <f>"2986"</f>
        <v>2986</v>
      </c>
      <c r="F1732" t="s">
        <v>239</v>
      </c>
      <c r="G1732" s="1"/>
      <c r="H1732" s="1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</row>
    <row r="1733" spans="1:22" x14ac:dyDescent="0.25">
      <c r="A1733" t="str">
        <f t="shared" si="88"/>
        <v>04801</v>
      </c>
      <c r="B1733" s="33">
        <v>171</v>
      </c>
      <c r="C1733" t="str">
        <f t="shared" si="89"/>
        <v>09206</v>
      </c>
      <c r="D1733" t="s">
        <v>238</v>
      </c>
      <c r="E1733" s="33" t="str">
        <f>"3659"</f>
        <v>3659</v>
      </c>
      <c r="F1733" t="s">
        <v>259</v>
      </c>
      <c r="G1733" s="1"/>
      <c r="H1733" s="1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</row>
    <row r="1734" spans="1:22" x14ac:dyDescent="0.25">
      <c r="A1734" t="str">
        <f t="shared" si="88"/>
        <v>04801</v>
      </c>
      <c r="B1734" s="33">
        <v>171</v>
      </c>
      <c r="C1734" t="str">
        <f t="shared" si="89"/>
        <v>09206</v>
      </c>
      <c r="D1734" t="s">
        <v>238</v>
      </c>
      <c r="E1734" s="33" t="str">
        <f>"4590"</f>
        <v>4590</v>
      </c>
      <c r="F1734" t="s">
        <v>379</v>
      </c>
      <c r="G1734" s="1"/>
      <c r="H1734" s="1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</row>
    <row r="1735" spans="1:22" x14ac:dyDescent="0.25">
      <c r="A1735" t="str">
        <f t="shared" si="88"/>
        <v>04801</v>
      </c>
      <c r="B1735" s="33">
        <v>171</v>
      </c>
      <c r="C1735" t="str">
        <f t="shared" si="89"/>
        <v>09206</v>
      </c>
      <c r="D1735" t="s">
        <v>238</v>
      </c>
      <c r="E1735" s="33" t="str">
        <f>"3372"</f>
        <v>3372</v>
      </c>
      <c r="F1735" t="s">
        <v>540</v>
      </c>
      <c r="G1735" s="1"/>
      <c r="H1735" s="1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</row>
    <row r="1736" spans="1:22" x14ac:dyDescent="0.25">
      <c r="A1736" t="str">
        <f t="shared" si="88"/>
        <v>04801</v>
      </c>
      <c r="B1736" s="33">
        <v>171</v>
      </c>
      <c r="C1736" t="str">
        <f t="shared" si="89"/>
        <v>09206</v>
      </c>
      <c r="D1736" t="s">
        <v>238</v>
      </c>
      <c r="E1736" s="33" t="str">
        <f>"2727"</f>
        <v>2727</v>
      </c>
      <c r="F1736" t="s">
        <v>541</v>
      </c>
      <c r="G1736" s="1"/>
      <c r="H1736" s="1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</row>
    <row r="1737" spans="1:22" x14ac:dyDescent="0.25">
      <c r="A1737" t="str">
        <f t="shared" si="88"/>
        <v>04801</v>
      </c>
      <c r="B1737" s="33">
        <v>171</v>
      </c>
      <c r="C1737" t="str">
        <f t="shared" si="89"/>
        <v>09206</v>
      </c>
      <c r="D1737" t="s">
        <v>238</v>
      </c>
      <c r="E1737" s="33" t="str">
        <f>"2966"</f>
        <v>2966</v>
      </c>
      <c r="F1737" t="s">
        <v>740</v>
      </c>
      <c r="G1737" s="1"/>
      <c r="H1737" s="1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</row>
    <row r="1738" spans="1:22" x14ac:dyDescent="0.25">
      <c r="A1738" t="str">
        <f t="shared" si="88"/>
        <v>04801</v>
      </c>
      <c r="B1738" s="33">
        <v>171</v>
      </c>
      <c r="C1738" t="str">
        <f t="shared" si="89"/>
        <v>09206</v>
      </c>
      <c r="D1738" t="s">
        <v>238</v>
      </c>
      <c r="E1738" s="33" t="str">
        <f>"3212"</f>
        <v>3212</v>
      </c>
      <c r="F1738" t="s">
        <v>933</v>
      </c>
      <c r="G1738" s="1"/>
      <c r="H1738" s="1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</row>
    <row r="1739" spans="1:22" x14ac:dyDescent="0.25">
      <c r="A1739" t="str">
        <f t="shared" si="88"/>
        <v>04801</v>
      </c>
      <c r="B1739" s="33">
        <v>171</v>
      </c>
      <c r="C1739" t="str">
        <f t="shared" si="89"/>
        <v>09206</v>
      </c>
      <c r="D1739" t="s">
        <v>238</v>
      </c>
      <c r="E1739" s="33" t="str">
        <f>"3083"</f>
        <v>3083</v>
      </c>
      <c r="F1739" t="s">
        <v>1025</v>
      </c>
      <c r="G1739" s="1"/>
      <c r="H1739" s="1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</row>
    <row r="1740" spans="1:22" x14ac:dyDescent="0.25">
      <c r="A1740" t="str">
        <f t="shared" si="88"/>
        <v>04801</v>
      </c>
      <c r="B1740" s="33">
        <v>171</v>
      </c>
      <c r="C1740" t="str">
        <f t="shared" si="89"/>
        <v>09206</v>
      </c>
      <c r="D1740" t="s">
        <v>238</v>
      </c>
      <c r="E1740" s="33" t="str">
        <f>"2563"</f>
        <v>2563</v>
      </c>
      <c r="F1740" t="s">
        <v>1551</v>
      </c>
      <c r="G1740" s="1"/>
      <c r="H1740" s="1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</row>
    <row r="1741" spans="1:22" x14ac:dyDescent="0.25">
      <c r="A1741" t="str">
        <f t="shared" si="88"/>
        <v>04801</v>
      </c>
      <c r="B1741" s="33">
        <v>171</v>
      </c>
      <c r="C1741" t="str">
        <f t="shared" si="89"/>
        <v>09206</v>
      </c>
      <c r="D1741" t="s">
        <v>238</v>
      </c>
      <c r="E1741" s="33" t="str">
        <f>"4095"</f>
        <v>4095</v>
      </c>
      <c r="F1741" t="s">
        <v>1729</v>
      </c>
      <c r="G1741" s="1"/>
      <c r="H1741" s="1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</row>
    <row r="1742" spans="1:22" x14ac:dyDescent="0.25">
      <c r="A1742" t="str">
        <f t="shared" si="88"/>
        <v>04801</v>
      </c>
      <c r="B1742" s="34">
        <v>171</v>
      </c>
      <c r="C1742" s="35">
        <v>4127</v>
      </c>
      <c r="D1742" s="2" t="s">
        <v>591</v>
      </c>
      <c r="E1742" s="36">
        <v>2688</v>
      </c>
      <c r="F1742" s="2" t="s">
        <v>2374</v>
      </c>
      <c r="G1742" s="1"/>
      <c r="H1742" s="1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</row>
    <row r="1743" spans="1:22" x14ac:dyDescent="0.25">
      <c r="A1743" t="str">
        <f t="shared" si="88"/>
        <v>04801</v>
      </c>
      <c r="B1743" s="33">
        <v>171</v>
      </c>
      <c r="C1743" t="str">
        <f t="shared" ref="C1743:C1748" si="90">"13165"</f>
        <v>13165</v>
      </c>
      <c r="D1743" t="s">
        <v>402</v>
      </c>
      <c r="E1743" s="33" t="str">
        <f>"4229"</f>
        <v>4229</v>
      </c>
      <c r="F1743" t="s">
        <v>2375</v>
      </c>
      <c r="G1743" s="1"/>
      <c r="H1743" s="1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</row>
    <row r="1744" spans="1:22" x14ac:dyDescent="0.25">
      <c r="A1744" t="str">
        <f t="shared" si="88"/>
        <v>04801</v>
      </c>
      <c r="B1744" s="34">
        <v>171</v>
      </c>
      <c r="C1744" s="31" t="str">
        <f t="shared" si="90"/>
        <v>13165</v>
      </c>
      <c r="D1744" s="31" t="s">
        <v>402</v>
      </c>
      <c r="E1744" s="34" t="str">
        <f>"2793"</f>
        <v>2793</v>
      </c>
      <c r="F1744" s="31" t="s">
        <v>403</v>
      </c>
      <c r="G1744" s="1"/>
      <c r="H1744" s="1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</row>
    <row r="1745" spans="1:22" x14ac:dyDescent="0.25">
      <c r="A1745" t="str">
        <f t="shared" si="88"/>
        <v>04801</v>
      </c>
      <c r="B1745" s="34">
        <v>171</v>
      </c>
      <c r="C1745" s="31" t="str">
        <f t="shared" si="90"/>
        <v>13165</v>
      </c>
      <c r="D1745" s="31" t="s">
        <v>402</v>
      </c>
      <c r="E1745" s="34" t="str">
        <f>"2920"</f>
        <v>2920</v>
      </c>
      <c r="F1745" s="31" t="s">
        <v>595</v>
      </c>
      <c r="G1745" s="1"/>
      <c r="H1745" s="1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</row>
    <row r="1746" spans="1:22" x14ac:dyDescent="0.25">
      <c r="A1746" t="str">
        <f t="shared" si="88"/>
        <v>04801</v>
      </c>
      <c r="B1746" s="34">
        <v>171</v>
      </c>
      <c r="C1746" s="31" t="str">
        <f t="shared" si="90"/>
        <v>13165</v>
      </c>
      <c r="D1746" s="31" t="s">
        <v>402</v>
      </c>
      <c r="E1746" s="34" t="str">
        <f>"3373"</f>
        <v>3373</v>
      </c>
      <c r="F1746" s="31" t="s">
        <v>596</v>
      </c>
      <c r="G1746" s="1"/>
      <c r="H1746" s="1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</row>
    <row r="1747" spans="1:22" x14ac:dyDescent="0.25">
      <c r="A1747" t="str">
        <f t="shared" si="88"/>
        <v>04801</v>
      </c>
      <c r="B1747" s="34">
        <v>171</v>
      </c>
      <c r="C1747" s="31" t="str">
        <f t="shared" si="90"/>
        <v>13165</v>
      </c>
      <c r="D1747" s="31" t="s">
        <v>402</v>
      </c>
      <c r="E1747" s="34" t="str">
        <f>"3092"</f>
        <v>3092</v>
      </c>
      <c r="F1747" s="31" t="s">
        <v>739</v>
      </c>
      <c r="G1747" s="1"/>
      <c r="H1747" s="1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</row>
    <row r="1748" spans="1:22" x14ac:dyDescent="0.25">
      <c r="A1748" t="str">
        <f t="shared" si="88"/>
        <v>04801</v>
      </c>
      <c r="B1748" s="34">
        <v>171</v>
      </c>
      <c r="C1748" s="31" t="str">
        <f t="shared" si="90"/>
        <v>13165</v>
      </c>
      <c r="D1748" s="31" t="s">
        <v>402</v>
      </c>
      <c r="E1748" s="34" t="str">
        <f>"2695"</f>
        <v>2695</v>
      </c>
      <c r="F1748" s="31" t="s">
        <v>1423</v>
      </c>
      <c r="G1748" s="1"/>
      <c r="H1748" s="1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</row>
    <row r="1749" spans="1:22" x14ac:dyDescent="0.25">
      <c r="A1749" t="str">
        <f t="shared" si="88"/>
        <v>04801</v>
      </c>
      <c r="B1749" s="33">
        <v>171</v>
      </c>
      <c r="C1749" s="35">
        <v>13301</v>
      </c>
      <c r="D1749" t="s">
        <v>990</v>
      </c>
      <c r="E1749" s="36">
        <v>5336</v>
      </c>
      <c r="F1749" t="s">
        <v>2376</v>
      </c>
      <c r="G1749" s="1"/>
      <c r="H1749" s="1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</row>
    <row r="1750" spans="1:22" x14ac:dyDescent="0.25">
      <c r="A1750" t="str">
        <f t="shared" si="88"/>
        <v>04801</v>
      </c>
      <c r="B1750" s="33">
        <v>171</v>
      </c>
      <c r="C1750" s="35">
        <v>13301</v>
      </c>
      <c r="D1750" t="s">
        <v>990</v>
      </c>
      <c r="E1750" s="36">
        <v>2802</v>
      </c>
      <c r="F1750" t="s">
        <v>2377</v>
      </c>
      <c r="G1750" s="1"/>
      <c r="H1750" s="1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</row>
    <row r="1751" spans="1:22" x14ac:dyDescent="0.25">
      <c r="A1751" t="str">
        <f t="shared" si="88"/>
        <v>04801</v>
      </c>
      <c r="B1751" s="33">
        <v>171</v>
      </c>
      <c r="C1751" s="35">
        <v>13301</v>
      </c>
      <c r="D1751" t="s">
        <v>990</v>
      </c>
      <c r="E1751" s="36">
        <v>2801</v>
      </c>
      <c r="F1751" t="s">
        <v>991</v>
      </c>
      <c r="G1751" s="1"/>
      <c r="H1751" s="1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</row>
    <row r="1752" spans="1:22" x14ac:dyDescent="0.25">
      <c r="A1752" t="str">
        <f t="shared" si="88"/>
        <v>04801</v>
      </c>
      <c r="B1752" s="33">
        <v>171</v>
      </c>
      <c r="C1752" t="str">
        <f>"04129"</f>
        <v>04129</v>
      </c>
      <c r="D1752" t="s">
        <v>337</v>
      </c>
      <c r="E1752" s="33" t="str">
        <f>"4260"</f>
        <v>4260</v>
      </c>
      <c r="F1752" t="s">
        <v>338</v>
      </c>
      <c r="G1752" s="1"/>
      <c r="H1752" s="1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</row>
    <row r="1753" spans="1:22" x14ac:dyDescent="0.25">
      <c r="A1753" t="str">
        <f t="shared" si="88"/>
        <v>04801</v>
      </c>
      <c r="B1753" s="33">
        <v>171</v>
      </c>
      <c r="C1753" t="str">
        <f>"04129"</f>
        <v>04129</v>
      </c>
      <c r="D1753" t="s">
        <v>337</v>
      </c>
      <c r="E1753" s="33" t="str">
        <f>"2317"</f>
        <v>2317</v>
      </c>
      <c r="F1753" t="s">
        <v>339</v>
      </c>
      <c r="G1753" s="1"/>
      <c r="H1753" s="1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</row>
    <row r="1754" spans="1:22" x14ac:dyDescent="0.25">
      <c r="A1754" t="str">
        <f t="shared" si="88"/>
        <v>04801</v>
      </c>
      <c r="B1754" s="33">
        <v>171</v>
      </c>
      <c r="C1754" t="str">
        <f>"04129"</f>
        <v>04129</v>
      </c>
      <c r="D1754" t="s">
        <v>337</v>
      </c>
      <c r="E1754" s="33" t="str">
        <f>"1940"</f>
        <v>1940</v>
      </c>
      <c r="F1754" t="s">
        <v>340</v>
      </c>
      <c r="G1754" s="1"/>
      <c r="H1754" s="1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</row>
    <row r="1755" spans="1:22" x14ac:dyDescent="0.25">
      <c r="A1755" t="str">
        <f t="shared" si="88"/>
        <v>04801</v>
      </c>
      <c r="B1755" s="33">
        <v>171</v>
      </c>
      <c r="C1755" t="str">
        <f>"04129"</f>
        <v>04129</v>
      </c>
      <c r="D1755" t="s">
        <v>337</v>
      </c>
      <c r="E1755" s="33" t="str">
        <f>"3861"</f>
        <v>3861</v>
      </c>
      <c r="F1755" t="s">
        <v>830</v>
      </c>
      <c r="G1755" s="1"/>
      <c r="H1755" s="1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</row>
    <row r="1756" spans="1:22" x14ac:dyDescent="0.25">
      <c r="A1756" t="str">
        <f t="shared" si="88"/>
        <v>04801</v>
      </c>
      <c r="B1756" s="33">
        <v>171</v>
      </c>
      <c r="C1756" t="str">
        <f>"04129"</f>
        <v>04129</v>
      </c>
      <c r="D1756" t="s">
        <v>337</v>
      </c>
      <c r="E1756" s="33" t="str">
        <f>"2689"</f>
        <v>2689</v>
      </c>
      <c r="F1756" t="s">
        <v>1224</v>
      </c>
      <c r="G1756" s="1"/>
      <c r="H1756" s="1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</row>
    <row r="1757" spans="1:22" x14ac:dyDescent="0.25">
      <c r="A1757" t="str">
        <f t="shared" si="88"/>
        <v>04801</v>
      </c>
      <c r="B1757" s="34">
        <v>171</v>
      </c>
      <c r="C1757" s="35">
        <v>9207</v>
      </c>
      <c r="D1757" s="2" t="s">
        <v>2378</v>
      </c>
      <c r="E1757" s="36">
        <v>2233</v>
      </c>
      <c r="F1757" s="2" t="s">
        <v>2379</v>
      </c>
      <c r="G1757" s="1"/>
      <c r="H1757" s="1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</row>
    <row r="1758" spans="1:22" x14ac:dyDescent="0.25">
      <c r="A1758" t="str">
        <f t="shared" si="88"/>
        <v>04801</v>
      </c>
      <c r="B1758" s="33">
        <v>171</v>
      </c>
      <c r="C1758" s="35">
        <v>4019</v>
      </c>
      <c r="D1758" t="s">
        <v>1112</v>
      </c>
      <c r="E1758" s="36">
        <v>2196</v>
      </c>
      <c r="F1758" t="s">
        <v>1113</v>
      </c>
      <c r="G1758" s="1"/>
      <c r="H1758" s="1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</row>
    <row r="1759" spans="1:22" x14ac:dyDescent="0.25">
      <c r="A1759" t="str">
        <f t="shared" si="88"/>
        <v>04801</v>
      </c>
      <c r="B1759" s="33">
        <v>171</v>
      </c>
      <c r="C1759" s="35">
        <v>4019</v>
      </c>
      <c r="D1759" t="s">
        <v>1112</v>
      </c>
      <c r="E1759" s="36">
        <v>2623</v>
      </c>
      <c r="F1759" t="s">
        <v>1114</v>
      </c>
      <c r="G1759" s="1"/>
      <c r="H1759" s="1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</row>
    <row r="1760" spans="1:22" x14ac:dyDescent="0.25">
      <c r="A1760" t="str">
        <f t="shared" si="88"/>
        <v>04801</v>
      </c>
      <c r="B1760" s="33">
        <v>171</v>
      </c>
      <c r="C1760" s="35">
        <v>4019</v>
      </c>
      <c r="D1760" t="s">
        <v>1112</v>
      </c>
      <c r="E1760" s="36">
        <v>5286</v>
      </c>
      <c r="F1760" t="s">
        <v>1115</v>
      </c>
      <c r="G1760" s="1"/>
      <c r="H1760" s="1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</row>
    <row r="1761" spans="1:22" x14ac:dyDescent="0.25">
      <c r="A1761" t="str">
        <f t="shared" si="88"/>
        <v>04801</v>
      </c>
      <c r="B1761" s="34">
        <v>171</v>
      </c>
      <c r="C1761" s="35">
        <v>24350</v>
      </c>
      <c r="D1761" t="s">
        <v>52</v>
      </c>
      <c r="E1761" s="36">
        <v>1845</v>
      </c>
      <c r="F1761" t="s">
        <v>53</v>
      </c>
      <c r="G1761" s="1"/>
      <c r="H1761" s="1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</row>
    <row r="1762" spans="1:22" x14ac:dyDescent="0.25">
      <c r="A1762" t="str">
        <f t="shared" si="88"/>
        <v>04801</v>
      </c>
      <c r="B1762" s="34">
        <v>171</v>
      </c>
      <c r="C1762" s="35">
        <v>24350</v>
      </c>
      <c r="D1762" t="s">
        <v>52</v>
      </c>
      <c r="E1762" s="36">
        <v>2146</v>
      </c>
      <c r="F1762" t="s">
        <v>1042</v>
      </c>
      <c r="G1762" s="1"/>
      <c r="H1762" s="1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</row>
    <row r="1763" spans="1:22" x14ac:dyDescent="0.25">
      <c r="A1763" t="str">
        <f t="shared" si="88"/>
        <v>04801</v>
      </c>
      <c r="B1763" s="34">
        <v>171</v>
      </c>
      <c r="C1763" s="35">
        <v>24350</v>
      </c>
      <c r="D1763" t="s">
        <v>52</v>
      </c>
      <c r="E1763" s="36">
        <v>4501</v>
      </c>
      <c r="F1763" t="s">
        <v>1193</v>
      </c>
      <c r="G1763" s="1"/>
      <c r="H1763" s="1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</row>
    <row r="1764" spans="1:22" x14ac:dyDescent="0.25">
      <c r="A1764" t="str">
        <f t="shared" si="88"/>
        <v>04801</v>
      </c>
      <c r="B1764" s="34">
        <v>171</v>
      </c>
      <c r="C1764" s="31" t="str">
        <f t="shared" ref="C1764:C1778" si="91">"13161"</f>
        <v>13161</v>
      </c>
      <c r="D1764" s="31" t="s">
        <v>353</v>
      </c>
      <c r="E1764" s="34" t="str">
        <f>"3022"</f>
        <v>3022</v>
      </c>
      <c r="F1764" s="31" t="s">
        <v>354</v>
      </c>
      <c r="G1764" s="1"/>
      <c r="H1764" s="1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</row>
    <row r="1765" spans="1:22" x14ac:dyDescent="0.25">
      <c r="A1765" t="str">
        <f t="shared" si="88"/>
        <v>04801</v>
      </c>
      <c r="B1765" s="34">
        <v>171</v>
      </c>
      <c r="C1765" s="31" t="str">
        <f t="shared" si="91"/>
        <v>13161</v>
      </c>
      <c r="D1765" s="31" t="s">
        <v>353</v>
      </c>
      <c r="E1765" s="34" t="str">
        <f>"5273"</f>
        <v>5273</v>
      </c>
      <c r="F1765" s="31" t="s">
        <v>389</v>
      </c>
      <c r="G1765" s="1"/>
      <c r="H1765" s="1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</row>
    <row r="1766" spans="1:22" x14ac:dyDescent="0.25">
      <c r="A1766" t="str">
        <f t="shared" si="88"/>
        <v>04801</v>
      </c>
      <c r="B1766" s="34">
        <v>171</v>
      </c>
      <c r="C1766" s="31" t="str">
        <f t="shared" si="91"/>
        <v>13161</v>
      </c>
      <c r="D1766" s="31" t="s">
        <v>353</v>
      </c>
      <c r="E1766" s="34" t="str">
        <f>"5354"</f>
        <v>5354</v>
      </c>
      <c r="F1766" s="31" t="s">
        <v>584</v>
      </c>
      <c r="G1766" s="1"/>
      <c r="H1766" s="1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</row>
    <row r="1767" spans="1:22" x14ac:dyDescent="0.25">
      <c r="A1767" t="str">
        <f t="shared" si="88"/>
        <v>04801</v>
      </c>
      <c r="B1767" s="34">
        <v>171</v>
      </c>
      <c r="C1767" s="31" t="str">
        <f t="shared" si="91"/>
        <v>13161</v>
      </c>
      <c r="D1767" s="31" t="s">
        <v>353</v>
      </c>
      <c r="E1767" s="34" t="str">
        <f>"2673"</f>
        <v>2673</v>
      </c>
      <c r="F1767" s="31" t="s">
        <v>675</v>
      </c>
      <c r="G1767" s="1"/>
      <c r="H1767" s="1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</row>
    <row r="1768" spans="1:22" x14ac:dyDescent="0.25">
      <c r="A1768" t="str">
        <f t="shared" si="88"/>
        <v>04801</v>
      </c>
      <c r="B1768" s="34">
        <v>171</v>
      </c>
      <c r="C1768" s="31" t="str">
        <f t="shared" si="91"/>
        <v>13161</v>
      </c>
      <c r="D1768" s="31" t="s">
        <v>353</v>
      </c>
      <c r="E1768" s="34" t="str">
        <f>"3091"</f>
        <v>3091</v>
      </c>
      <c r="F1768" s="31" t="s">
        <v>682</v>
      </c>
      <c r="G1768" s="1"/>
      <c r="H1768" s="1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</row>
    <row r="1769" spans="1:22" x14ac:dyDescent="0.25">
      <c r="A1769" t="str">
        <f t="shared" si="88"/>
        <v>04801</v>
      </c>
      <c r="B1769" s="34">
        <v>171</v>
      </c>
      <c r="C1769" s="31" t="str">
        <f t="shared" si="91"/>
        <v>13161</v>
      </c>
      <c r="D1769" s="31" t="s">
        <v>353</v>
      </c>
      <c r="E1769" s="34" t="str">
        <f>"2833"</f>
        <v>2833</v>
      </c>
      <c r="F1769" s="31" t="s">
        <v>964</v>
      </c>
      <c r="G1769" s="1"/>
      <c r="H1769" s="1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</row>
    <row r="1770" spans="1:22" x14ac:dyDescent="0.25">
      <c r="A1770" t="str">
        <f t="shared" si="88"/>
        <v>04801</v>
      </c>
      <c r="B1770" s="34">
        <v>171</v>
      </c>
      <c r="C1770" s="31" t="str">
        <f t="shared" si="91"/>
        <v>13161</v>
      </c>
      <c r="D1770" s="31" t="s">
        <v>353</v>
      </c>
      <c r="E1770" s="34" t="str">
        <f>"2969"</f>
        <v>2969</v>
      </c>
      <c r="F1770" s="31" t="s">
        <v>1013</v>
      </c>
      <c r="G1770" s="1"/>
      <c r="H1770" s="1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</row>
    <row r="1771" spans="1:22" x14ac:dyDescent="0.25">
      <c r="A1771" t="str">
        <f t="shared" si="88"/>
        <v>04801</v>
      </c>
      <c r="B1771" s="34">
        <v>171</v>
      </c>
      <c r="C1771" s="31" t="str">
        <f t="shared" si="91"/>
        <v>13161</v>
      </c>
      <c r="D1771" s="31" t="s">
        <v>353</v>
      </c>
      <c r="E1771" s="34" t="str">
        <f>"3021"</f>
        <v>3021</v>
      </c>
      <c r="F1771" s="31" t="s">
        <v>1019</v>
      </c>
      <c r="G1771" s="1"/>
      <c r="H1771" s="1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</row>
    <row r="1772" spans="1:22" x14ac:dyDescent="0.25">
      <c r="A1772" t="str">
        <f t="shared" si="88"/>
        <v>04801</v>
      </c>
      <c r="B1772" s="34">
        <v>171</v>
      </c>
      <c r="C1772" s="31" t="str">
        <f t="shared" si="91"/>
        <v>13161</v>
      </c>
      <c r="D1772" s="31" t="s">
        <v>353</v>
      </c>
      <c r="E1772" s="34" t="str">
        <f>"3153"</f>
        <v>3153</v>
      </c>
      <c r="F1772" s="31" t="s">
        <v>1076</v>
      </c>
      <c r="G1772" s="1"/>
      <c r="H1772" s="1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</row>
    <row r="1773" spans="1:22" x14ac:dyDescent="0.25">
      <c r="A1773" t="str">
        <f t="shared" si="88"/>
        <v>04801</v>
      </c>
      <c r="B1773" s="34">
        <v>171</v>
      </c>
      <c r="C1773" s="31" t="str">
        <f t="shared" si="91"/>
        <v>13161</v>
      </c>
      <c r="D1773" s="31" t="s">
        <v>353</v>
      </c>
      <c r="E1773" s="34" t="str">
        <f>"2970"</f>
        <v>2970</v>
      </c>
      <c r="F1773" s="31" t="s">
        <v>1200</v>
      </c>
      <c r="G1773" s="1"/>
      <c r="H1773" s="1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</row>
    <row r="1774" spans="1:22" x14ac:dyDescent="0.25">
      <c r="A1774" t="str">
        <f t="shared" si="88"/>
        <v>04801</v>
      </c>
      <c r="B1774" s="34">
        <v>171</v>
      </c>
      <c r="C1774" s="31" t="str">
        <f t="shared" si="91"/>
        <v>13161</v>
      </c>
      <c r="D1774" s="31" t="s">
        <v>353</v>
      </c>
      <c r="E1774" s="34" t="str">
        <f>"3215"</f>
        <v>3215</v>
      </c>
      <c r="F1774" s="31" t="s">
        <v>1231</v>
      </c>
      <c r="G1774" s="1"/>
      <c r="H1774" s="1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</row>
    <row r="1775" spans="1:22" x14ac:dyDescent="0.25">
      <c r="A1775" t="str">
        <f t="shared" si="88"/>
        <v>04801</v>
      </c>
      <c r="B1775" s="34">
        <v>171</v>
      </c>
      <c r="C1775" s="31" t="str">
        <f t="shared" si="91"/>
        <v>13161</v>
      </c>
      <c r="D1775" s="31" t="s">
        <v>353</v>
      </c>
      <c r="E1775" s="34" t="str">
        <f>"3779"</f>
        <v>3779</v>
      </c>
      <c r="F1775" s="31" t="s">
        <v>1307</v>
      </c>
      <c r="G1775" s="1"/>
      <c r="H1775" s="1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</row>
    <row r="1776" spans="1:22" x14ac:dyDescent="0.25">
      <c r="A1776" t="str">
        <f t="shared" ref="A1776:A1830" si="92">"04801"</f>
        <v>04801</v>
      </c>
      <c r="B1776" s="34">
        <v>171</v>
      </c>
      <c r="C1776" s="31" t="str">
        <f t="shared" si="91"/>
        <v>13161</v>
      </c>
      <c r="D1776" s="31" t="s">
        <v>353</v>
      </c>
      <c r="E1776" s="34" t="str">
        <f>"5251"</f>
        <v>5251</v>
      </c>
      <c r="F1776" s="31" t="s">
        <v>1417</v>
      </c>
      <c r="G1776" s="1"/>
      <c r="H1776" s="1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</row>
    <row r="1777" spans="1:22" x14ac:dyDescent="0.25">
      <c r="A1777" t="str">
        <f t="shared" si="92"/>
        <v>04801</v>
      </c>
      <c r="B1777" s="34">
        <v>171</v>
      </c>
      <c r="C1777" s="31" t="str">
        <f t="shared" si="91"/>
        <v>13161</v>
      </c>
      <c r="D1777" s="31" t="s">
        <v>353</v>
      </c>
      <c r="E1777" s="34" t="str">
        <f>"2832"</f>
        <v>2832</v>
      </c>
      <c r="F1777" s="31" t="s">
        <v>1431</v>
      </c>
      <c r="G1777" s="1"/>
      <c r="H1777" s="1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</row>
    <row r="1778" spans="1:22" x14ac:dyDescent="0.25">
      <c r="A1778" t="str">
        <f t="shared" si="92"/>
        <v>04801</v>
      </c>
      <c r="B1778" s="34">
        <v>171</v>
      </c>
      <c r="C1778" s="31" t="str">
        <f t="shared" si="91"/>
        <v>13161</v>
      </c>
      <c r="D1778" s="31" t="s">
        <v>353</v>
      </c>
      <c r="E1778" s="34" t="str">
        <f>"5173"</f>
        <v>5173</v>
      </c>
      <c r="F1778" s="31" t="s">
        <v>1578</v>
      </c>
      <c r="G1778" s="1"/>
      <c r="H1778" s="1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</row>
    <row r="1779" spans="1:22" x14ac:dyDescent="0.25">
      <c r="A1779" t="str">
        <f t="shared" si="92"/>
        <v>04801</v>
      </c>
      <c r="B1779" s="33">
        <v>171</v>
      </c>
      <c r="C1779" s="35">
        <v>24014</v>
      </c>
      <c r="D1779" t="s">
        <v>2380</v>
      </c>
      <c r="E1779" s="36">
        <v>2494</v>
      </c>
      <c r="F1779" t="s">
        <v>2381</v>
      </c>
      <c r="G1779" s="1"/>
      <c r="H1779" s="1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</row>
    <row r="1780" spans="1:22" x14ac:dyDescent="0.25">
      <c r="A1780" t="str">
        <f t="shared" si="92"/>
        <v>04801</v>
      </c>
      <c r="B1780" s="34">
        <v>171</v>
      </c>
      <c r="C1780" s="31" t="str">
        <f>"24105"</f>
        <v>24105</v>
      </c>
      <c r="D1780" s="31" t="s">
        <v>726</v>
      </c>
      <c r="E1780" s="34" t="str">
        <f>"2539"</f>
        <v>2539</v>
      </c>
      <c r="F1780" s="31" t="s">
        <v>727</v>
      </c>
      <c r="G1780" s="1"/>
      <c r="H1780" s="1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</row>
    <row r="1781" spans="1:22" x14ac:dyDescent="0.25">
      <c r="A1781" t="str">
        <f t="shared" si="92"/>
        <v>04801</v>
      </c>
      <c r="B1781" s="34">
        <v>171</v>
      </c>
      <c r="C1781" s="31" t="str">
        <f>"24105"</f>
        <v>24105</v>
      </c>
      <c r="D1781" s="31" t="s">
        <v>726</v>
      </c>
      <c r="E1781" s="34" t="str">
        <f>"3193"</f>
        <v>3193</v>
      </c>
      <c r="F1781" s="31" t="s">
        <v>1355</v>
      </c>
      <c r="G1781" s="1"/>
      <c r="H1781" s="1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</row>
    <row r="1782" spans="1:22" x14ac:dyDescent="0.25">
      <c r="A1782" t="str">
        <f t="shared" si="92"/>
        <v>04801</v>
      </c>
      <c r="B1782" s="34">
        <v>171</v>
      </c>
      <c r="C1782" s="31" t="str">
        <f>"24105"</f>
        <v>24105</v>
      </c>
      <c r="D1782" s="31" t="s">
        <v>726</v>
      </c>
      <c r="E1782" s="34" t="str">
        <f>"2246"</f>
        <v>2246</v>
      </c>
      <c r="F1782" s="31" t="s">
        <v>1356</v>
      </c>
      <c r="G1782" s="1"/>
      <c r="H1782" s="1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</row>
    <row r="1783" spans="1:22" x14ac:dyDescent="0.25">
      <c r="A1783" t="str">
        <f t="shared" si="92"/>
        <v>04801</v>
      </c>
      <c r="B1783" s="34">
        <v>171</v>
      </c>
      <c r="C1783" s="31" t="str">
        <f>"24105"</f>
        <v>24105</v>
      </c>
      <c r="D1783" s="31" t="s">
        <v>726</v>
      </c>
      <c r="E1783" s="34" t="str">
        <f>"2245"</f>
        <v>2245</v>
      </c>
      <c r="F1783" s="31" t="s">
        <v>1357</v>
      </c>
      <c r="G1783" s="1"/>
      <c r="H1783" s="1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</row>
    <row r="1784" spans="1:22" x14ac:dyDescent="0.25">
      <c r="A1784" t="str">
        <f t="shared" si="92"/>
        <v>04801</v>
      </c>
      <c r="B1784" s="34">
        <v>171</v>
      </c>
      <c r="C1784" s="31" t="str">
        <f>"24105"</f>
        <v>24105</v>
      </c>
      <c r="D1784" s="31" t="s">
        <v>726</v>
      </c>
      <c r="E1784" s="34" t="str">
        <f>"5151"</f>
        <v>5151</v>
      </c>
      <c r="F1784" s="31" t="s">
        <v>1358</v>
      </c>
      <c r="G1784" s="1"/>
      <c r="H1784" s="1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</row>
    <row r="1785" spans="1:22" x14ac:dyDescent="0.25">
      <c r="A1785" t="str">
        <f t="shared" si="92"/>
        <v>04801</v>
      </c>
      <c r="B1785" s="34">
        <v>171</v>
      </c>
      <c r="C1785" s="31" t="str">
        <f t="shared" ref="C1785:C1790" si="93">"24019"</f>
        <v>24019</v>
      </c>
      <c r="D1785" s="31" t="s">
        <v>521</v>
      </c>
      <c r="E1785" s="34" t="str">
        <f>"3051"</f>
        <v>3051</v>
      </c>
      <c r="F1785" s="31" t="s">
        <v>522</v>
      </c>
      <c r="G1785" s="1"/>
      <c r="H1785" s="1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</row>
    <row r="1786" spans="1:22" x14ac:dyDescent="0.25">
      <c r="A1786" t="str">
        <f t="shared" si="92"/>
        <v>04801</v>
      </c>
      <c r="B1786" s="34">
        <v>171</v>
      </c>
      <c r="C1786" s="31" t="str">
        <f t="shared" si="93"/>
        <v>24019</v>
      </c>
      <c r="D1786" s="31" t="s">
        <v>521</v>
      </c>
      <c r="E1786" s="34" t="str">
        <f>"4279"</f>
        <v>4279</v>
      </c>
      <c r="F1786" s="31" t="s">
        <v>814</v>
      </c>
      <c r="G1786" s="1"/>
      <c r="H1786" s="1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</row>
    <row r="1787" spans="1:22" x14ac:dyDescent="0.25">
      <c r="A1787" t="str">
        <f t="shared" si="92"/>
        <v>04801</v>
      </c>
      <c r="B1787" s="34">
        <v>171</v>
      </c>
      <c r="C1787" s="31" t="str">
        <f t="shared" si="93"/>
        <v>24019</v>
      </c>
      <c r="D1787" s="31" t="s">
        <v>521</v>
      </c>
      <c r="E1787" s="34" t="str">
        <f>"2999"</f>
        <v>2999</v>
      </c>
      <c r="F1787" s="31" t="s">
        <v>1266</v>
      </c>
      <c r="G1787" s="1"/>
      <c r="H1787" s="1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</row>
    <row r="1788" spans="1:22" x14ac:dyDescent="0.25">
      <c r="A1788" t="str">
        <f t="shared" si="92"/>
        <v>04801</v>
      </c>
      <c r="B1788" s="34">
        <v>171</v>
      </c>
      <c r="C1788" s="31" t="str">
        <f t="shared" si="93"/>
        <v>24019</v>
      </c>
      <c r="D1788" s="31" t="s">
        <v>521</v>
      </c>
      <c r="E1788" s="34" t="str">
        <f>"2031"</f>
        <v>2031</v>
      </c>
      <c r="F1788" s="31" t="s">
        <v>1371</v>
      </c>
      <c r="G1788" s="1"/>
      <c r="H1788" s="1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</row>
    <row r="1789" spans="1:22" x14ac:dyDescent="0.25">
      <c r="A1789" t="str">
        <f t="shared" si="92"/>
        <v>04801</v>
      </c>
      <c r="B1789" s="34">
        <v>171</v>
      </c>
      <c r="C1789" s="31" t="str">
        <f t="shared" si="93"/>
        <v>24019</v>
      </c>
      <c r="D1789" s="31" t="s">
        <v>521</v>
      </c>
      <c r="E1789" s="34" t="str">
        <f>"4237"</f>
        <v>4237</v>
      </c>
      <c r="F1789" s="31" t="s">
        <v>1372</v>
      </c>
      <c r="G1789" s="1"/>
      <c r="H1789" s="1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</row>
    <row r="1790" spans="1:22" x14ac:dyDescent="0.25">
      <c r="A1790" t="str">
        <f t="shared" si="92"/>
        <v>04801</v>
      </c>
      <c r="B1790" s="33">
        <v>171</v>
      </c>
      <c r="C1790" t="str">
        <f t="shared" si="93"/>
        <v>24019</v>
      </c>
      <c r="D1790" t="s">
        <v>521</v>
      </c>
      <c r="E1790" s="33" t="str">
        <f>"4278"</f>
        <v>4278</v>
      </c>
      <c r="F1790" t="s">
        <v>2382</v>
      </c>
      <c r="G1790" s="1"/>
      <c r="H1790" s="1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</row>
    <row r="1791" spans="1:22" x14ac:dyDescent="0.25">
      <c r="A1791" t="str">
        <f t="shared" si="92"/>
        <v>04801</v>
      </c>
      <c r="B1791" s="33">
        <v>171</v>
      </c>
      <c r="C1791" s="35">
        <v>9013</v>
      </c>
      <c r="D1791" t="s">
        <v>2383</v>
      </c>
      <c r="E1791" s="36">
        <v>2666</v>
      </c>
      <c r="F1791" t="s">
        <v>2384</v>
      </c>
      <c r="G1791" s="1"/>
      <c r="H1791" s="1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</row>
    <row r="1792" spans="1:22" x14ac:dyDescent="0.25">
      <c r="A1792" t="str">
        <f t="shared" si="92"/>
        <v>04801</v>
      </c>
      <c r="B1792" s="33">
        <v>171</v>
      </c>
      <c r="C1792" s="35">
        <v>24410</v>
      </c>
      <c r="D1792" t="s">
        <v>1390</v>
      </c>
      <c r="E1792" s="36">
        <v>2422</v>
      </c>
      <c r="F1792" t="s">
        <v>1391</v>
      </c>
      <c r="G1792" s="1"/>
      <c r="H1792" s="1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</row>
    <row r="1793" spans="1:22" x14ac:dyDescent="0.25">
      <c r="A1793" t="str">
        <f t="shared" si="92"/>
        <v>04801</v>
      </c>
      <c r="B1793" s="33">
        <v>171</v>
      </c>
      <c r="C1793" s="35">
        <v>24410</v>
      </c>
      <c r="D1793" t="s">
        <v>1390</v>
      </c>
      <c r="E1793" s="36">
        <v>2706</v>
      </c>
      <c r="F1793" t="s">
        <v>1392</v>
      </c>
      <c r="G1793" s="1"/>
      <c r="H1793" s="1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</row>
    <row r="1794" spans="1:22" x14ac:dyDescent="0.25">
      <c r="A1794" t="str">
        <f t="shared" si="92"/>
        <v>04801</v>
      </c>
      <c r="B1794" s="33">
        <v>171</v>
      </c>
      <c r="C1794" s="35">
        <v>9102</v>
      </c>
      <c r="D1794" t="s">
        <v>2385</v>
      </c>
      <c r="E1794" s="36">
        <v>2502</v>
      </c>
      <c r="F1794" t="s">
        <v>2386</v>
      </c>
      <c r="G1794" s="1"/>
      <c r="H1794" s="1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</row>
    <row r="1795" spans="1:22" x14ac:dyDescent="0.25">
      <c r="A1795" t="str">
        <f t="shared" si="92"/>
        <v>04801</v>
      </c>
      <c r="B1795" s="33">
        <v>171</v>
      </c>
      <c r="C1795" s="35">
        <v>24122</v>
      </c>
      <c r="D1795" t="s">
        <v>1427</v>
      </c>
      <c r="E1795" s="36">
        <v>2396</v>
      </c>
      <c r="F1795" t="s">
        <v>2387</v>
      </c>
      <c r="G1795" s="1"/>
      <c r="H1795" s="1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</row>
    <row r="1796" spans="1:22" x14ac:dyDescent="0.25">
      <c r="A1796" t="str">
        <f t="shared" si="92"/>
        <v>04801</v>
      </c>
      <c r="B1796" s="34">
        <v>171</v>
      </c>
      <c r="C1796" s="31" t="str">
        <f t="shared" ref="C1796:C1803" si="94">"13144"</f>
        <v>13144</v>
      </c>
      <c r="D1796" s="31" t="s">
        <v>698</v>
      </c>
      <c r="E1796" s="34">
        <v>5585</v>
      </c>
      <c r="F1796" s="31" t="s">
        <v>2388</v>
      </c>
      <c r="G1796" s="1"/>
      <c r="H1796" s="1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</row>
    <row r="1797" spans="1:22" x14ac:dyDescent="0.25">
      <c r="A1797" t="str">
        <f t="shared" si="92"/>
        <v>04801</v>
      </c>
      <c r="B1797" s="34">
        <v>171</v>
      </c>
      <c r="C1797" s="31" t="str">
        <f t="shared" si="94"/>
        <v>13144</v>
      </c>
      <c r="D1797" s="31" t="s">
        <v>698</v>
      </c>
      <c r="E1797" s="34" t="str">
        <f>"3426"</f>
        <v>3426</v>
      </c>
      <c r="F1797" s="31" t="s">
        <v>699</v>
      </c>
      <c r="G1797" s="1"/>
      <c r="H1797" s="1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</row>
    <row r="1798" spans="1:22" x14ac:dyDescent="0.25">
      <c r="A1798" t="str">
        <f t="shared" si="92"/>
        <v>04801</v>
      </c>
      <c r="B1798" s="34">
        <v>171</v>
      </c>
      <c r="C1798" s="31" t="str">
        <f t="shared" si="94"/>
        <v>13144</v>
      </c>
      <c r="D1798" s="31" t="s">
        <v>698</v>
      </c>
      <c r="E1798" s="34" t="str">
        <f>"4536"</f>
        <v>4536</v>
      </c>
      <c r="F1798" s="31" t="s">
        <v>1220</v>
      </c>
      <c r="G1798" s="1"/>
      <c r="H1798" s="1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</row>
    <row r="1799" spans="1:22" x14ac:dyDescent="0.25">
      <c r="A1799" t="str">
        <f t="shared" si="92"/>
        <v>04801</v>
      </c>
      <c r="B1799" s="34">
        <v>171</v>
      </c>
      <c r="C1799" s="31" t="str">
        <f t="shared" si="94"/>
        <v>13144</v>
      </c>
      <c r="D1799" s="31" t="s">
        <v>698</v>
      </c>
      <c r="E1799" s="34" t="str">
        <f>"3020"</f>
        <v>3020</v>
      </c>
      <c r="F1799" s="31" t="s">
        <v>1247</v>
      </c>
      <c r="G1799" s="1"/>
      <c r="H1799" s="1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</row>
    <row r="1800" spans="1:22" x14ac:dyDescent="0.25">
      <c r="A1800" t="str">
        <f t="shared" si="92"/>
        <v>04801</v>
      </c>
      <c r="B1800" s="34">
        <v>171</v>
      </c>
      <c r="C1800" s="31" t="str">
        <f t="shared" si="94"/>
        <v>13144</v>
      </c>
      <c r="D1800" s="31" t="s">
        <v>698</v>
      </c>
      <c r="E1800" s="34" t="str">
        <f>"2919"</f>
        <v>2919</v>
      </c>
      <c r="F1800" s="31" t="s">
        <v>1447</v>
      </c>
      <c r="G1800" s="1"/>
      <c r="H1800" s="1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</row>
    <row r="1801" spans="1:22" x14ac:dyDescent="0.25">
      <c r="A1801" t="str">
        <f t="shared" si="92"/>
        <v>04801</v>
      </c>
      <c r="B1801" s="34">
        <v>171</v>
      </c>
      <c r="C1801" s="31" t="str">
        <f t="shared" si="94"/>
        <v>13144</v>
      </c>
      <c r="D1801" s="31" t="s">
        <v>698</v>
      </c>
      <c r="E1801" s="34" t="str">
        <f>"3088"</f>
        <v>3088</v>
      </c>
      <c r="F1801" s="31" t="s">
        <v>1491</v>
      </c>
      <c r="G1801" s="1"/>
      <c r="H1801" s="1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</row>
    <row r="1802" spans="1:22" x14ac:dyDescent="0.25">
      <c r="A1802" t="str">
        <f t="shared" si="92"/>
        <v>04801</v>
      </c>
      <c r="B1802" s="34">
        <v>171</v>
      </c>
      <c r="C1802" s="31" t="str">
        <f t="shared" si="94"/>
        <v>13144</v>
      </c>
      <c r="D1802" s="31" t="s">
        <v>698</v>
      </c>
      <c r="E1802" s="34" t="str">
        <f>"1506"</f>
        <v>1506</v>
      </c>
      <c r="F1802" s="31" t="s">
        <v>2389</v>
      </c>
      <c r="G1802" s="1"/>
      <c r="H1802" s="1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</row>
    <row r="1803" spans="1:22" x14ac:dyDescent="0.25">
      <c r="A1803" t="str">
        <f t="shared" si="92"/>
        <v>04801</v>
      </c>
      <c r="B1803" s="34">
        <v>171</v>
      </c>
      <c r="C1803" s="31" t="str">
        <f t="shared" si="94"/>
        <v>13144</v>
      </c>
      <c r="D1803" s="31" t="s">
        <v>698</v>
      </c>
      <c r="E1803" s="34" t="str">
        <f>"2510"</f>
        <v>2510</v>
      </c>
      <c r="F1803" s="31" t="s">
        <v>2390</v>
      </c>
      <c r="G1803" s="1"/>
      <c r="H1803" s="1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</row>
    <row r="1804" spans="1:22" x14ac:dyDescent="0.25">
      <c r="A1804" t="str">
        <f t="shared" si="92"/>
        <v>04801</v>
      </c>
      <c r="B1804" s="33">
        <v>171</v>
      </c>
      <c r="C1804" s="35">
        <v>13156</v>
      </c>
      <c r="D1804" t="s">
        <v>1674</v>
      </c>
      <c r="E1804" s="36">
        <v>2694</v>
      </c>
      <c r="F1804" t="s">
        <v>1678</v>
      </c>
      <c r="G1804" s="1"/>
      <c r="H1804" s="1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</row>
    <row r="1805" spans="1:22" x14ac:dyDescent="0.25">
      <c r="A1805" t="str">
        <f t="shared" si="92"/>
        <v>04801</v>
      </c>
      <c r="B1805" s="33">
        <v>171</v>
      </c>
      <c r="C1805" s="35">
        <v>13156</v>
      </c>
      <c r="D1805" t="s">
        <v>1674</v>
      </c>
      <c r="E1805" s="36">
        <v>3089</v>
      </c>
      <c r="F1805" t="s">
        <v>1679</v>
      </c>
      <c r="G1805" s="1"/>
      <c r="H1805" s="1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</row>
    <row r="1806" spans="1:22" x14ac:dyDescent="0.25">
      <c r="A1806" t="str">
        <f t="shared" si="92"/>
        <v>04801</v>
      </c>
      <c r="B1806" s="33">
        <v>171</v>
      </c>
      <c r="C1806" s="35">
        <v>4069</v>
      </c>
      <c r="D1806" t="s">
        <v>2391</v>
      </c>
      <c r="E1806" s="36">
        <v>2265</v>
      </c>
      <c r="F1806" t="s">
        <v>2392</v>
      </c>
      <c r="G1806" s="1"/>
      <c r="H1806" s="1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</row>
    <row r="1807" spans="1:22" x14ac:dyDescent="0.25">
      <c r="A1807" t="str">
        <f t="shared" si="92"/>
        <v>04801</v>
      </c>
      <c r="B1807" s="34">
        <v>171</v>
      </c>
      <c r="C1807" s="35">
        <v>24404</v>
      </c>
      <c r="D1807" s="2" t="s">
        <v>1808</v>
      </c>
      <c r="E1807" s="36">
        <v>3176</v>
      </c>
      <c r="F1807" s="2" t="s">
        <v>1809</v>
      </c>
      <c r="G1807" s="1"/>
      <c r="H1807" s="1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</row>
    <row r="1808" spans="1:22" x14ac:dyDescent="0.25">
      <c r="A1808" t="str">
        <f t="shared" si="92"/>
        <v>04801</v>
      </c>
      <c r="B1808" s="33">
        <v>171</v>
      </c>
      <c r="C1808" s="35">
        <v>24404</v>
      </c>
      <c r="D1808" t="s">
        <v>1808</v>
      </c>
      <c r="E1808" s="36">
        <v>2679</v>
      </c>
      <c r="F1808" t="s">
        <v>1810</v>
      </c>
      <c r="G1808" s="1"/>
      <c r="H1808" s="1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</row>
    <row r="1809" spans="1:22" x14ac:dyDescent="0.25">
      <c r="A1809" t="str">
        <f t="shared" si="92"/>
        <v>04801</v>
      </c>
      <c r="B1809" s="33">
        <v>171</v>
      </c>
      <c r="C1809" s="35">
        <v>24404</v>
      </c>
      <c r="D1809" t="s">
        <v>1808</v>
      </c>
      <c r="E1809" s="36">
        <v>4196</v>
      </c>
      <c r="F1809" t="s">
        <v>1811</v>
      </c>
      <c r="G1809" s="1"/>
      <c r="H1809" s="1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</row>
    <row r="1810" spans="1:22" x14ac:dyDescent="0.25">
      <c r="A1810" t="str">
        <f t="shared" si="92"/>
        <v>04801</v>
      </c>
      <c r="B1810" s="33">
        <v>171</v>
      </c>
      <c r="C1810" s="35">
        <v>13146</v>
      </c>
      <c r="D1810" t="s">
        <v>1885</v>
      </c>
      <c r="E1810" s="36">
        <v>2792</v>
      </c>
      <c r="F1810" t="s">
        <v>1886</v>
      </c>
      <c r="G1810" s="1"/>
      <c r="H1810" s="1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</row>
    <row r="1811" spans="1:22" x14ac:dyDescent="0.25">
      <c r="A1811" t="str">
        <f t="shared" si="92"/>
        <v>04801</v>
      </c>
      <c r="B1811" s="33">
        <v>171</v>
      </c>
      <c r="C1811" s="35">
        <v>13146</v>
      </c>
      <c r="D1811" t="s">
        <v>1885</v>
      </c>
      <c r="E1811" s="36">
        <v>3273</v>
      </c>
      <c r="F1811" t="s">
        <v>1887</v>
      </c>
      <c r="G1811" s="1"/>
      <c r="H1811" s="1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</row>
    <row r="1812" spans="1:22" x14ac:dyDescent="0.25">
      <c r="A1812" t="str">
        <f t="shared" si="92"/>
        <v>04801</v>
      </c>
      <c r="B1812" s="33">
        <v>171</v>
      </c>
      <c r="C1812" s="35">
        <v>13146</v>
      </c>
      <c r="D1812" t="s">
        <v>1885</v>
      </c>
      <c r="E1812" s="36">
        <v>3909</v>
      </c>
      <c r="F1812" t="s">
        <v>1888</v>
      </c>
      <c r="G1812" s="1"/>
      <c r="H1812" s="11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</row>
    <row r="1813" spans="1:22" x14ac:dyDescent="0.25">
      <c r="A1813" t="str">
        <f t="shared" si="92"/>
        <v>04801</v>
      </c>
      <c r="B1813" s="33">
        <v>171</v>
      </c>
      <c r="C1813" s="35">
        <v>9209</v>
      </c>
      <c r="D1813" t="s">
        <v>1896</v>
      </c>
      <c r="E1813" s="36">
        <v>2161</v>
      </c>
      <c r="F1813" t="s">
        <v>2393</v>
      </c>
      <c r="G1813" s="1"/>
      <c r="H1813" s="1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</row>
    <row r="1814" spans="1:22" x14ac:dyDescent="0.25">
      <c r="A1814" t="str">
        <f t="shared" si="92"/>
        <v>04801</v>
      </c>
      <c r="B1814" s="33">
        <v>171</v>
      </c>
      <c r="C1814" t="str">
        <f t="shared" ref="C1814:C1828" si="95">"04246"</f>
        <v>04246</v>
      </c>
      <c r="D1814" t="s">
        <v>11</v>
      </c>
      <c r="E1814" s="33" t="str">
        <f>"3209"</f>
        <v>3209</v>
      </c>
      <c r="F1814" t="s">
        <v>12</v>
      </c>
      <c r="G1814" s="1"/>
      <c r="H1814" s="1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</row>
    <row r="1815" spans="1:22" x14ac:dyDescent="0.25">
      <c r="A1815" t="str">
        <f t="shared" si="92"/>
        <v>04801</v>
      </c>
      <c r="B1815" s="33">
        <v>171</v>
      </c>
      <c r="C1815" t="str">
        <f t="shared" si="95"/>
        <v>04246</v>
      </c>
      <c r="D1815" t="s">
        <v>11</v>
      </c>
      <c r="E1815" s="33" t="str">
        <f>"1802"</f>
        <v>1802</v>
      </c>
      <c r="F1815" t="s">
        <v>336</v>
      </c>
      <c r="G1815" s="1"/>
      <c r="H1815" s="1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</row>
    <row r="1816" spans="1:22" x14ac:dyDescent="0.25">
      <c r="A1816" t="str">
        <f t="shared" si="92"/>
        <v>04801</v>
      </c>
      <c r="B1816" s="33">
        <v>171</v>
      </c>
      <c r="C1816" t="str">
        <f t="shared" si="95"/>
        <v>04246</v>
      </c>
      <c r="D1816" t="s">
        <v>11</v>
      </c>
      <c r="E1816" s="33" t="str">
        <f>"2301"</f>
        <v>2301</v>
      </c>
      <c r="F1816" t="s">
        <v>394</v>
      </c>
      <c r="G1816" s="1"/>
      <c r="H1816" s="1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</row>
    <row r="1817" spans="1:22" x14ac:dyDescent="0.25">
      <c r="A1817" t="str">
        <f t="shared" si="92"/>
        <v>04801</v>
      </c>
      <c r="B1817" s="33">
        <v>171</v>
      </c>
      <c r="C1817" t="str">
        <f t="shared" si="95"/>
        <v>04246</v>
      </c>
      <c r="D1817" t="s">
        <v>11</v>
      </c>
      <c r="E1817" s="33" t="str">
        <f>"4432"</f>
        <v>4432</v>
      </c>
      <c r="F1817" t="s">
        <v>644</v>
      </c>
      <c r="G1817" s="1"/>
      <c r="H1817" s="1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</row>
    <row r="1818" spans="1:22" x14ac:dyDescent="0.25">
      <c r="A1818" t="str">
        <f t="shared" si="92"/>
        <v>04801</v>
      </c>
      <c r="B1818" s="33">
        <v>171</v>
      </c>
      <c r="C1818" t="str">
        <f t="shared" si="95"/>
        <v>04246</v>
      </c>
      <c r="D1818" t="s">
        <v>11</v>
      </c>
      <c r="E1818" s="33" t="str">
        <f>"4423"</f>
        <v>4423</v>
      </c>
      <c r="F1818" t="s">
        <v>907</v>
      </c>
      <c r="G1818" s="1"/>
      <c r="H1818" s="11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</row>
    <row r="1819" spans="1:22" x14ac:dyDescent="0.25">
      <c r="A1819" t="str">
        <f t="shared" si="92"/>
        <v>04801</v>
      </c>
      <c r="B1819" s="33">
        <v>171</v>
      </c>
      <c r="C1819" t="str">
        <f t="shared" si="95"/>
        <v>04246</v>
      </c>
      <c r="D1819" t="s">
        <v>11</v>
      </c>
      <c r="E1819" s="33" t="str">
        <f>"2279"</f>
        <v>2279</v>
      </c>
      <c r="F1819" t="s">
        <v>1035</v>
      </c>
      <c r="G1819" s="1"/>
      <c r="H1819" s="1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</row>
    <row r="1820" spans="1:22" x14ac:dyDescent="0.25">
      <c r="A1820" t="str">
        <f t="shared" si="92"/>
        <v>04801</v>
      </c>
      <c r="B1820" s="33">
        <v>171</v>
      </c>
      <c r="C1820" t="str">
        <f t="shared" si="95"/>
        <v>04246</v>
      </c>
      <c r="D1820" t="s">
        <v>11</v>
      </c>
      <c r="E1820" s="33" t="str">
        <f>"2347"</f>
        <v>2347</v>
      </c>
      <c r="F1820" t="s">
        <v>1213</v>
      </c>
      <c r="G1820" s="1"/>
      <c r="H1820" s="1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</row>
    <row r="1821" spans="1:22" x14ac:dyDescent="0.25">
      <c r="A1821" t="str">
        <f t="shared" si="92"/>
        <v>04801</v>
      </c>
      <c r="B1821" s="33">
        <v>171</v>
      </c>
      <c r="C1821" t="str">
        <f t="shared" si="95"/>
        <v>04246</v>
      </c>
      <c r="D1821" t="s">
        <v>11</v>
      </c>
      <c r="E1821" s="33" t="str">
        <f>"3370"</f>
        <v>3370</v>
      </c>
      <c r="F1821" t="s">
        <v>1387</v>
      </c>
      <c r="G1821" s="1"/>
      <c r="H1821" s="1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</row>
    <row r="1822" spans="1:22" x14ac:dyDescent="0.25">
      <c r="A1822" t="str">
        <f t="shared" si="92"/>
        <v>04801</v>
      </c>
      <c r="B1822" s="33">
        <v>171</v>
      </c>
      <c r="C1822" t="str">
        <f t="shared" si="95"/>
        <v>04246</v>
      </c>
      <c r="D1822" t="s">
        <v>11</v>
      </c>
      <c r="E1822" s="33" t="str">
        <f>"3210"</f>
        <v>3210</v>
      </c>
      <c r="F1822" t="s">
        <v>1451</v>
      </c>
      <c r="G1822" s="1"/>
      <c r="H1822" s="11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</row>
    <row r="1823" spans="1:22" x14ac:dyDescent="0.25">
      <c r="A1823" t="str">
        <f t="shared" si="92"/>
        <v>04801</v>
      </c>
      <c r="B1823" s="33">
        <v>171</v>
      </c>
      <c r="C1823" t="str">
        <f t="shared" si="95"/>
        <v>04246</v>
      </c>
      <c r="D1823" t="s">
        <v>11</v>
      </c>
      <c r="E1823" s="33" t="str">
        <f>"3208"</f>
        <v>3208</v>
      </c>
      <c r="F1823" t="s">
        <v>1755</v>
      </c>
      <c r="G1823" s="1"/>
      <c r="H1823" s="11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</row>
    <row r="1824" spans="1:22" x14ac:dyDescent="0.25">
      <c r="A1824" t="str">
        <f t="shared" si="92"/>
        <v>04801</v>
      </c>
      <c r="B1824" s="33">
        <v>171</v>
      </c>
      <c r="C1824" t="str">
        <f t="shared" si="95"/>
        <v>04246</v>
      </c>
      <c r="D1824" t="s">
        <v>11</v>
      </c>
      <c r="E1824" s="33" t="str">
        <f>"1742"</f>
        <v>1742</v>
      </c>
      <c r="F1824" t="s">
        <v>1844</v>
      </c>
      <c r="G1824" s="1"/>
      <c r="H1824" s="11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</row>
    <row r="1825" spans="1:22" x14ac:dyDescent="0.25">
      <c r="A1825" t="str">
        <f t="shared" si="92"/>
        <v>04801</v>
      </c>
      <c r="B1825" s="33">
        <v>171</v>
      </c>
      <c r="C1825" t="str">
        <f t="shared" si="95"/>
        <v>04246</v>
      </c>
      <c r="D1825" t="s">
        <v>11</v>
      </c>
      <c r="E1825" s="33" t="str">
        <f>"2907"</f>
        <v>2907</v>
      </c>
      <c r="F1825" t="s">
        <v>1891</v>
      </c>
      <c r="G1825" s="1"/>
      <c r="H1825" s="1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</row>
    <row r="1826" spans="1:22" x14ac:dyDescent="0.25">
      <c r="A1826" t="str">
        <f t="shared" si="92"/>
        <v>04801</v>
      </c>
      <c r="B1826" s="33">
        <v>171</v>
      </c>
      <c r="C1826" t="str">
        <f t="shared" si="95"/>
        <v>04246</v>
      </c>
      <c r="D1826" t="s">
        <v>11</v>
      </c>
      <c r="E1826" s="33" t="str">
        <f>"2134"</f>
        <v>2134</v>
      </c>
      <c r="F1826" t="s">
        <v>1904</v>
      </c>
      <c r="G1826" s="1"/>
      <c r="H1826" s="1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</row>
    <row r="1827" spans="1:22" x14ac:dyDescent="0.25">
      <c r="A1827" t="str">
        <f t="shared" si="92"/>
        <v>04801</v>
      </c>
      <c r="B1827" s="33">
        <v>171</v>
      </c>
      <c r="C1827" t="str">
        <f t="shared" si="95"/>
        <v>04246</v>
      </c>
      <c r="D1827" t="s">
        <v>11</v>
      </c>
      <c r="E1827" s="33" t="str">
        <f>"4105"</f>
        <v>4105</v>
      </c>
      <c r="F1827" t="s">
        <v>1905</v>
      </c>
      <c r="G1827" s="1"/>
      <c r="H1827" s="1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</row>
    <row r="1828" spans="1:22" x14ac:dyDescent="0.25">
      <c r="A1828" t="str">
        <f t="shared" si="92"/>
        <v>04801</v>
      </c>
      <c r="B1828" s="33">
        <v>171</v>
      </c>
      <c r="C1828" t="str">
        <f t="shared" si="95"/>
        <v>04246</v>
      </c>
      <c r="D1828" t="s">
        <v>11</v>
      </c>
      <c r="E1828" s="33" t="str">
        <f>"1613"</f>
        <v>1613</v>
      </c>
      <c r="F1828" t="s">
        <v>1921</v>
      </c>
      <c r="G1828" s="1"/>
      <c r="H1828" s="1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</row>
    <row r="1829" spans="1:22" x14ac:dyDescent="0.25">
      <c r="A1829" t="str">
        <f t="shared" si="92"/>
        <v>04801</v>
      </c>
      <c r="B1829" s="33">
        <v>171</v>
      </c>
      <c r="C1829" s="35">
        <v>13167</v>
      </c>
      <c r="D1829" t="s">
        <v>1953</v>
      </c>
      <c r="E1829" s="36">
        <v>2472</v>
      </c>
      <c r="F1829" t="s">
        <v>1954</v>
      </c>
      <c r="G1829" s="1"/>
      <c r="H1829" s="1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</row>
    <row r="1830" spans="1:22" x14ac:dyDescent="0.25">
      <c r="A1830" t="str">
        <f t="shared" si="92"/>
        <v>04801</v>
      </c>
      <c r="B1830" s="33">
        <v>171</v>
      </c>
      <c r="C1830" s="35">
        <v>13167</v>
      </c>
      <c r="D1830" t="s">
        <v>1953</v>
      </c>
      <c r="E1830" s="36">
        <v>2473</v>
      </c>
      <c r="F1830" t="s">
        <v>1955</v>
      </c>
      <c r="G1830" s="1"/>
      <c r="H1830" s="1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</row>
    <row r="1831" spans="1:22" x14ac:dyDescent="0.25">
      <c r="A1831" t="str">
        <f t="shared" ref="A1831:A1894" si="96">"29801"</f>
        <v>29801</v>
      </c>
      <c r="B1831" s="33">
        <v>189</v>
      </c>
      <c r="C1831">
        <v>29103</v>
      </c>
      <c r="D1831" t="s">
        <v>58</v>
      </c>
      <c r="E1831" s="33">
        <v>2467</v>
      </c>
      <c r="F1831" t="s">
        <v>59</v>
      </c>
      <c r="G1831" s="1"/>
      <c r="H1831" s="1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</row>
    <row r="1832" spans="1:22" x14ac:dyDescent="0.25">
      <c r="A1832" t="str">
        <f t="shared" si="96"/>
        <v>29801</v>
      </c>
      <c r="B1832" s="33">
        <v>189</v>
      </c>
      <c r="C1832">
        <v>29103</v>
      </c>
      <c r="D1832" t="s">
        <v>58</v>
      </c>
      <c r="E1832" s="33">
        <v>2707</v>
      </c>
      <c r="F1832" t="s">
        <v>60</v>
      </c>
      <c r="G1832" s="1"/>
      <c r="H1832" s="1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</row>
    <row r="1833" spans="1:22" x14ac:dyDescent="0.25">
      <c r="A1833" t="str">
        <f t="shared" si="96"/>
        <v>29801</v>
      </c>
      <c r="B1833" s="33">
        <v>189</v>
      </c>
      <c r="C1833">
        <v>29103</v>
      </c>
      <c r="D1833" t="s">
        <v>58</v>
      </c>
      <c r="E1833" s="33">
        <v>5176</v>
      </c>
      <c r="F1833" t="s">
        <v>240</v>
      </c>
      <c r="G1833" s="1"/>
      <c r="H1833" s="1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</row>
    <row r="1834" spans="1:22" x14ac:dyDescent="0.25">
      <c r="A1834" t="str">
        <f t="shared" si="96"/>
        <v>29801</v>
      </c>
      <c r="B1834" s="33">
        <v>189</v>
      </c>
      <c r="C1834">
        <v>29103</v>
      </c>
      <c r="D1834" t="s">
        <v>58</v>
      </c>
      <c r="E1834" s="33">
        <v>3182</v>
      </c>
      <c r="F1834" t="s">
        <v>628</v>
      </c>
      <c r="G1834" s="1"/>
      <c r="H1834" s="1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</row>
    <row r="1835" spans="1:22" x14ac:dyDescent="0.25">
      <c r="A1835" t="str">
        <f t="shared" si="96"/>
        <v>29801</v>
      </c>
      <c r="B1835" s="33">
        <v>189</v>
      </c>
      <c r="C1835">
        <v>29103</v>
      </c>
      <c r="D1835" t="s">
        <v>58</v>
      </c>
      <c r="E1835" s="33">
        <v>3252</v>
      </c>
      <c r="F1835" t="s">
        <v>879</v>
      </c>
      <c r="G1835" s="1"/>
      <c r="H1835" s="1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</row>
    <row r="1836" spans="1:22" x14ac:dyDescent="0.25">
      <c r="A1836" t="str">
        <f t="shared" si="96"/>
        <v>29801</v>
      </c>
      <c r="B1836" s="33">
        <v>189</v>
      </c>
      <c r="C1836">
        <v>29103</v>
      </c>
      <c r="D1836" t="s">
        <v>58</v>
      </c>
      <c r="E1836" s="33">
        <v>3057</v>
      </c>
      <c r="F1836" t="s">
        <v>1241</v>
      </c>
      <c r="G1836" s="1"/>
      <c r="H1836" s="1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</row>
    <row r="1837" spans="1:22" x14ac:dyDescent="0.25">
      <c r="A1837" t="str">
        <f t="shared" si="96"/>
        <v>29801</v>
      </c>
      <c r="B1837" s="33">
        <v>189</v>
      </c>
      <c r="C1837" s="35">
        <v>31016</v>
      </c>
      <c r="D1837" t="s">
        <v>75</v>
      </c>
      <c r="E1837" s="36">
        <v>2523</v>
      </c>
      <c r="F1837" t="s">
        <v>76</v>
      </c>
      <c r="G1837" s="1"/>
      <c r="H1837" s="1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</row>
    <row r="1838" spans="1:22" x14ac:dyDescent="0.25">
      <c r="A1838" t="str">
        <f t="shared" si="96"/>
        <v>29801</v>
      </c>
      <c r="B1838" s="33">
        <v>189</v>
      </c>
      <c r="C1838" s="35">
        <v>31016</v>
      </c>
      <c r="D1838" t="s">
        <v>75</v>
      </c>
      <c r="E1838" s="36">
        <v>4327</v>
      </c>
      <c r="F1838" t="s">
        <v>523</v>
      </c>
      <c r="G1838" s="1"/>
      <c r="H1838" s="1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</row>
    <row r="1839" spans="1:22" x14ac:dyDescent="0.25">
      <c r="A1839" t="str">
        <f t="shared" si="96"/>
        <v>29801</v>
      </c>
      <c r="B1839" s="33">
        <v>189</v>
      </c>
      <c r="C1839" s="35">
        <v>31016</v>
      </c>
      <c r="D1839" t="s">
        <v>75</v>
      </c>
      <c r="E1839" s="36">
        <v>5010</v>
      </c>
      <c r="F1839" t="s">
        <v>761</v>
      </c>
      <c r="G1839" s="1"/>
      <c r="H1839" s="1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</row>
    <row r="1840" spans="1:22" x14ac:dyDescent="0.25">
      <c r="A1840" t="str">
        <f t="shared" si="96"/>
        <v>29801</v>
      </c>
      <c r="B1840" s="33">
        <v>189</v>
      </c>
      <c r="C1840" s="35">
        <v>31016</v>
      </c>
      <c r="D1840" t="s">
        <v>75</v>
      </c>
      <c r="E1840" s="36">
        <v>4436</v>
      </c>
      <c r="F1840" t="s">
        <v>937</v>
      </c>
      <c r="G1840" s="1"/>
      <c r="H1840" s="1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</row>
    <row r="1841" spans="1:22" x14ac:dyDescent="0.25">
      <c r="A1841" t="str">
        <f t="shared" si="96"/>
        <v>29801</v>
      </c>
      <c r="B1841" s="33">
        <v>189</v>
      </c>
      <c r="C1841" s="35">
        <v>31016</v>
      </c>
      <c r="D1841" t="s">
        <v>75</v>
      </c>
      <c r="E1841" s="36">
        <v>4573</v>
      </c>
      <c r="F1841" t="s">
        <v>1447</v>
      </c>
      <c r="G1841" s="1"/>
      <c r="H1841" s="1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</row>
    <row r="1842" spans="1:22" x14ac:dyDescent="0.25">
      <c r="A1842" t="str">
        <f t="shared" si="96"/>
        <v>29801</v>
      </c>
      <c r="B1842" s="33">
        <v>189</v>
      </c>
      <c r="C1842" s="35">
        <v>31016</v>
      </c>
      <c r="D1842" t="s">
        <v>75</v>
      </c>
      <c r="E1842" s="36">
        <v>3124</v>
      </c>
      <c r="F1842" t="s">
        <v>1466</v>
      </c>
      <c r="G1842" s="1"/>
      <c r="H1842" s="1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</row>
    <row r="1843" spans="1:22" x14ac:dyDescent="0.25">
      <c r="A1843" t="str">
        <f t="shared" si="96"/>
        <v>29801</v>
      </c>
      <c r="B1843" s="33">
        <v>189</v>
      </c>
      <c r="C1843" s="35">
        <v>31016</v>
      </c>
      <c r="D1843" t="s">
        <v>75</v>
      </c>
      <c r="E1843" s="36">
        <v>4154</v>
      </c>
      <c r="F1843" t="s">
        <v>1474</v>
      </c>
      <c r="G1843" s="1"/>
      <c r="H1843" s="1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</row>
    <row r="1844" spans="1:22" x14ac:dyDescent="0.25">
      <c r="A1844" t="str">
        <f t="shared" si="96"/>
        <v>29801</v>
      </c>
      <c r="B1844" s="33">
        <v>189</v>
      </c>
      <c r="C1844" s="35">
        <v>31016</v>
      </c>
      <c r="D1844" t="s">
        <v>75</v>
      </c>
      <c r="E1844" s="36">
        <v>1714</v>
      </c>
      <c r="F1844" t="s">
        <v>2394</v>
      </c>
      <c r="G1844" s="1"/>
      <c r="H1844" s="1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</row>
    <row r="1845" spans="1:22" x14ac:dyDescent="0.25">
      <c r="A1845" t="str">
        <f t="shared" si="96"/>
        <v>29801</v>
      </c>
      <c r="B1845" s="33">
        <v>189</v>
      </c>
      <c r="C1845" s="35">
        <v>31016</v>
      </c>
      <c r="D1845" t="s">
        <v>75</v>
      </c>
      <c r="E1845" s="36">
        <v>4287</v>
      </c>
      <c r="F1845" t="s">
        <v>1920</v>
      </c>
      <c r="G1845" s="1"/>
      <c r="H1845" s="1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</row>
    <row r="1846" spans="1:22" x14ac:dyDescent="0.25">
      <c r="A1846" t="str">
        <f t="shared" si="96"/>
        <v>29801</v>
      </c>
      <c r="B1846" s="34">
        <v>189</v>
      </c>
      <c r="C1846" s="31" t="str">
        <f t="shared" ref="C1846:C1869" si="97">"37501"</f>
        <v>37501</v>
      </c>
      <c r="D1846" t="s">
        <v>37</v>
      </c>
      <c r="E1846" s="33" t="str">
        <f>"3200"</f>
        <v>3200</v>
      </c>
      <c r="F1846" t="s">
        <v>38</v>
      </c>
      <c r="G1846" s="1"/>
      <c r="H1846" s="1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</row>
    <row r="1847" spans="1:22" x14ac:dyDescent="0.25">
      <c r="A1847" t="str">
        <f t="shared" si="96"/>
        <v>29801</v>
      </c>
      <c r="B1847" s="34">
        <v>189</v>
      </c>
      <c r="C1847" s="31" t="str">
        <f t="shared" si="97"/>
        <v>37501</v>
      </c>
      <c r="D1847" t="s">
        <v>37</v>
      </c>
      <c r="E1847" s="33" t="str">
        <f>"5366"</f>
        <v>5366</v>
      </c>
      <c r="F1847" t="s">
        <v>136</v>
      </c>
      <c r="G1847" s="1"/>
      <c r="H1847" s="1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</row>
    <row r="1848" spans="1:22" x14ac:dyDescent="0.25">
      <c r="A1848" t="str">
        <f t="shared" si="96"/>
        <v>29801</v>
      </c>
      <c r="B1848" s="34">
        <v>189</v>
      </c>
      <c r="C1848" s="31" t="str">
        <f t="shared" si="97"/>
        <v>37501</v>
      </c>
      <c r="D1848" t="s">
        <v>37</v>
      </c>
      <c r="E1848" s="33" t="str">
        <f>"2553"</f>
        <v>2553</v>
      </c>
      <c r="F1848" t="s">
        <v>137</v>
      </c>
      <c r="G1848" s="1"/>
      <c r="H1848" s="1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</row>
    <row r="1849" spans="1:22" x14ac:dyDescent="0.25">
      <c r="A1849" t="str">
        <f t="shared" si="96"/>
        <v>29801</v>
      </c>
      <c r="B1849" s="34">
        <v>189</v>
      </c>
      <c r="C1849" s="31" t="str">
        <f t="shared" si="97"/>
        <v>37501</v>
      </c>
      <c r="D1849" t="s">
        <v>37</v>
      </c>
      <c r="E1849" s="33" t="str">
        <f>"2431"</f>
        <v>2431</v>
      </c>
      <c r="F1849" t="s">
        <v>158</v>
      </c>
      <c r="G1849" s="1"/>
      <c r="H1849" s="1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</row>
    <row r="1850" spans="1:22" x14ac:dyDescent="0.25">
      <c r="A1850" t="str">
        <f t="shared" si="96"/>
        <v>29801</v>
      </c>
      <c r="B1850" s="34">
        <v>189</v>
      </c>
      <c r="C1850" s="31" t="str">
        <f t="shared" si="97"/>
        <v>37501</v>
      </c>
      <c r="D1850" t="s">
        <v>37</v>
      </c>
      <c r="E1850" s="33" t="str">
        <f>"2817"</f>
        <v>2817</v>
      </c>
      <c r="F1850" t="s">
        <v>249</v>
      </c>
      <c r="G1850" s="1"/>
      <c r="H1850" s="1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</row>
    <row r="1851" spans="1:22" x14ac:dyDescent="0.25">
      <c r="A1851" t="str">
        <f t="shared" si="96"/>
        <v>29801</v>
      </c>
      <c r="B1851" s="34">
        <v>189</v>
      </c>
      <c r="C1851" s="31" t="str">
        <f t="shared" si="97"/>
        <v>37501</v>
      </c>
      <c r="D1851" t="s">
        <v>37</v>
      </c>
      <c r="E1851" s="33" t="str">
        <f>"2365"</f>
        <v>2365</v>
      </c>
      <c r="F1851" t="s">
        <v>394</v>
      </c>
      <c r="G1851" s="1"/>
      <c r="H1851" s="1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</row>
    <row r="1852" spans="1:22" x14ac:dyDescent="0.25">
      <c r="A1852" t="str">
        <f t="shared" si="96"/>
        <v>29801</v>
      </c>
      <c r="B1852" s="34">
        <v>189</v>
      </c>
      <c r="C1852" s="31" t="str">
        <f t="shared" si="97"/>
        <v>37501</v>
      </c>
      <c r="D1852" t="s">
        <v>37</v>
      </c>
      <c r="E1852" s="33" t="str">
        <f>"5239"</f>
        <v>5239</v>
      </c>
      <c r="F1852" t="s">
        <v>426</v>
      </c>
      <c r="G1852" s="1"/>
      <c r="H1852" s="1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</row>
    <row r="1853" spans="1:22" x14ac:dyDescent="0.25">
      <c r="A1853" t="str">
        <f t="shared" si="96"/>
        <v>29801</v>
      </c>
      <c r="B1853" s="34">
        <v>189</v>
      </c>
      <c r="C1853" s="31" t="str">
        <f t="shared" si="97"/>
        <v>37501</v>
      </c>
      <c r="D1853" t="s">
        <v>37</v>
      </c>
      <c r="E1853" s="33" t="str">
        <f>"2066"</f>
        <v>2066</v>
      </c>
      <c r="F1853" t="s">
        <v>611</v>
      </c>
      <c r="G1853" s="1"/>
      <c r="H1853" s="1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</row>
    <row r="1854" spans="1:22" x14ac:dyDescent="0.25">
      <c r="A1854" t="str">
        <f t="shared" si="96"/>
        <v>29801</v>
      </c>
      <c r="B1854" s="34">
        <v>189</v>
      </c>
      <c r="C1854" s="31" t="str">
        <f t="shared" si="97"/>
        <v>37501</v>
      </c>
      <c r="D1854" t="s">
        <v>37</v>
      </c>
      <c r="E1854" s="33" t="str">
        <f>"2262"</f>
        <v>2262</v>
      </c>
      <c r="F1854" t="s">
        <v>696</v>
      </c>
      <c r="G1854" s="1"/>
      <c r="H1854" s="1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</row>
    <row r="1855" spans="1:22" x14ac:dyDescent="0.25">
      <c r="A1855" t="str">
        <f t="shared" si="96"/>
        <v>29801</v>
      </c>
      <c r="B1855" s="34">
        <v>189</v>
      </c>
      <c r="C1855" s="31" t="str">
        <f t="shared" si="97"/>
        <v>37501</v>
      </c>
      <c r="D1855" t="s">
        <v>37</v>
      </c>
      <c r="E1855" s="33" t="str">
        <f>"3134"</f>
        <v>3134</v>
      </c>
      <c r="F1855" t="s">
        <v>768</v>
      </c>
      <c r="G1855" s="1"/>
      <c r="H1855" s="1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</row>
    <row r="1856" spans="1:22" s="2" customFormat="1" x14ac:dyDescent="0.25">
      <c r="A1856" t="str">
        <f t="shared" si="96"/>
        <v>29801</v>
      </c>
      <c r="B1856" s="34">
        <v>189</v>
      </c>
      <c r="C1856" s="31" t="str">
        <f t="shared" si="97"/>
        <v>37501</v>
      </c>
      <c r="D1856" t="s">
        <v>37</v>
      </c>
      <c r="E1856" s="33" t="str">
        <f>"4442"</f>
        <v>4442</v>
      </c>
      <c r="F1856" t="s">
        <v>968</v>
      </c>
      <c r="G1856" s="11"/>
      <c r="H1856" s="11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</row>
    <row r="1857" spans="1:22" s="2" customFormat="1" x14ac:dyDescent="0.25">
      <c r="A1857" t="str">
        <f t="shared" si="96"/>
        <v>29801</v>
      </c>
      <c r="B1857" s="34">
        <v>189</v>
      </c>
      <c r="C1857" s="31" t="str">
        <f t="shared" si="97"/>
        <v>37501</v>
      </c>
      <c r="D1857" t="s">
        <v>37</v>
      </c>
      <c r="E1857" s="33" t="str">
        <f>"2225"</f>
        <v>2225</v>
      </c>
      <c r="F1857" t="s">
        <v>1087</v>
      </c>
      <c r="G1857" s="11"/>
      <c r="H1857" s="11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</row>
    <row r="1858" spans="1:22" s="2" customFormat="1" x14ac:dyDescent="0.25">
      <c r="A1858" t="str">
        <f t="shared" si="96"/>
        <v>29801</v>
      </c>
      <c r="B1858" s="34">
        <v>189</v>
      </c>
      <c r="C1858" s="31" t="str">
        <f t="shared" si="97"/>
        <v>37501</v>
      </c>
      <c r="D1858" t="s">
        <v>37</v>
      </c>
      <c r="E1858" s="33" t="str">
        <f>"4571"</f>
        <v>4571</v>
      </c>
      <c r="F1858" t="s">
        <v>1319</v>
      </c>
      <c r="G1858" s="11"/>
      <c r="H1858" s="11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</row>
    <row r="1859" spans="1:22" x14ac:dyDescent="0.25">
      <c r="A1859" t="str">
        <f t="shared" si="96"/>
        <v>29801</v>
      </c>
      <c r="B1859" s="34">
        <v>189</v>
      </c>
      <c r="C1859" s="31" t="str">
        <f t="shared" si="97"/>
        <v>37501</v>
      </c>
      <c r="D1859" t="s">
        <v>37</v>
      </c>
      <c r="E1859" s="33" t="str">
        <f>"1647"</f>
        <v>1647</v>
      </c>
      <c r="F1859" t="s">
        <v>1379</v>
      </c>
      <c r="G1859" s="1"/>
      <c r="H1859" s="1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</row>
    <row r="1860" spans="1:22" x14ac:dyDescent="0.25">
      <c r="A1860" t="str">
        <f t="shared" si="96"/>
        <v>29801</v>
      </c>
      <c r="B1860" s="34">
        <v>189</v>
      </c>
      <c r="C1860" s="31" t="str">
        <f t="shared" si="97"/>
        <v>37501</v>
      </c>
      <c r="D1860" t="s">
        <v>37</v>
      </c>
      <c r="E1860" s="33" t="str">
        <f>"3202"</f>
        <v>3202</v>
      </c>
      <c r="F1860" t="s">
        <v>1421</v>
      </c>
      <c r="G1860" s="1"/>
      <c r="H1860" s="1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</row>
    <row r="1861" spans="1:22" x14ac:dyDescent="0.25">
      <c r="A1861" t="str">
        <f t="shared" si="96"/>
        <v>29801</v>
      </c>
      <c r="B1861" s="34">
        <v>189</v>
      </c>
      <c r="C1861" s="31" t="str">
        <f t="shared" si="97"/>
        <v>37501</v>
      </c>
      <c r="D1861" t="s">
        <v>37</v>
      </c>
      <c r="E1861" s="33" t="str">
        <f>"2067"</f>
        <v>2067</v>
      </c>
      <c r="F1861" t="s">
        <v>1556</v>
      </c>
      <c r="G1861" s="1"/>
      <c r="H1861" s="1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</row>
    <row r="1862" spans="1:22" x14ac:dyDescent="0.25">
      <c r="A1862" t="str">
        <f t="shared" si="96"/>
        <v>29801</v>
      </c>
      <c r="B1862" s="34">
        <v>189</v>
      </c>
      <c r="C1862" s="31" t="str">
        <f t="shared" si="97"/>
        <v>37501</v>
      </c>
      <c r="D1862" t="s">
        <v>37</v>
      </c>
      <c r="E1862" s="33" t="str">
        <f>"3576"</f>
        <v>3576</v>
      </c>
      <c r="F1862" t="s">
        <v>1611</v>
      </c>
      <c r="G1862" s="1"/>
      <c r="H1862" s="1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</row>
    <row r="1863" spans="1:22" x14ac:dyDescent="0.25">
      <c r="A1863" t="str">
        <f t="shared" si="96"/>
        <v>29801</v>
      </c>
      <c r="B1863" s="34">
        <v>189</v>
      </c>
      <c r="C1863" s="31" t="str">
        <f t="shared" si="97"/>
        <v>37501</v>
      </c>
      <c r="D1863" t="s">
        <v>37</v>
      </c>
      <c r="E1863" s="33" t="str">
        <f>"3201"</f>
        <v>3201</v>
      </c>
      <c r="F1863" t="s">
        <v>1648</v>
      </c>
      <c r="G1863" s="1"/>
      <c r="H1863" s="1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</row>
    <row r="1864" spans="1:22" x14ac:dyDescent="0.25">
      <c r="A1864" t="str">
        <f t="shared" si="96"/>
        <v>29801</v>
      </c>
      <c r="B1864" s="34">
        <v>189</v>
      </c>
      <c r="C1864" s="31" t="str">
        <f t="shared" si="97"/>
        <v>37501</v>
      </c>
      <c r="D1864" t="s">
        <v>37</v>
      </c>
      <c r="E1864" s="33" t="str">
        <f>"2175"</f>
        <v>2175</v>
      </c>
      <c r="F1864" t="s">
        <v>1653</v>
      </c>
      <c r="G1864" s="1"/>
      <c r="H1864" s="1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</row>
    <row r="1865" spans="1:22" x14ac:dyDescent="0.25">
      <c r="A1865" t="str">
        <f t="shared" si="96"/>
        <v>29801</v>
      </c>
      <c r="B1865" s="34">
        <v>189</v>
      </c>
      <c r="C1865" s="31" t="str">
        <f t="shared" si="97"/>
        <v>37501</v>
      </c>
      <c r="D1865" t="s">
        <v>37</v>
      </c>
      <c r="E1865" s="33" t="str">
        <f>"4515"</f>
        <v>4515</v>
      </c>
      <c r="F1865" t="s">
        <v>1717</v>
      </c>
      <c r="G1865" s="1"/>
      <c r="H1865" s="1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</row>
    <row r="1866" spans="1:22" x14ac:dyDescent="0.25">
      <c r="A1866" t="str">
        <f t="shared" si="96"/>
        <v>29801</v>
      </c>
      <c r="B1866" s="34">
        <v>189</v>
      </c>
      <c r="C1866" s="31" t="str">
        <f t="shared" si="97"/>
        <v>37501</v>
      </c>
      <c r="D1866" t="s">
        <v>37</v>
      </c>
      <c r="E1866" s="33" t="str">
        <f>"2387"</f>
        <v>2387</v>
      </c>
      <c r="F1866" t="s">
        <v>1752</v>
      </c>
      <c r="G1866" s="1"/>
      <c r="H1866" s="1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</row>
    <row r="1867" spans="1:22" x14ac:dyDescent="0.25">
      <c r="A1867" t="str">
        <f t="shared" si="96"/>
        <v>29801</v>
      </c>
      <c r="B1867" s="34">
        <v>189</v>
      </c>
      <c r="C1867" s="31" t="str">
        <f t="shared" si="97"/>
        <v>37501</v>
      </c>
      <c r="D1867" t="s">
        <v>37</v>
      </c>
      <c r="E1867" s="33" t="str">
        <f>"1799"</f>
        <v>1799</v>
      </c>
      <c r="F1867" t="s">
        <v>2010</v>
      </c>
      <c r="G1867" s="1"/>
      <c r="H1867" s="1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</row>
    <row r="1868" spans="1:22" x14ac:dyDescent="0.25">
      <c r="A1868" t="str">
        <f t="shared" si="96"/>
        <v>29801</v>
      </c>
      <c r="B1868" s="34">
        <v>189</v>
      </c>
      <c r="C1868" s="31" t="str">
        <f t="shared" si="97"/>
        <v>37501</v>
      </c>
      <c r="D1868" t="s">
        <v>37</v>
      </c>
      <c r="E1868" s="33" t="str">
        <f>"5125"</f>
        <v>5125</v>
      </c>
      <c r="F1868" t="s">
        <v>1868</v>
      </c>
      <c r="G1868" s="1"/>
      <c r="H1868" s="1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</row>
    <row r="1869" spans="1:22" x14ac:dyDescent="0.25">
      <c r="A1869" t="str">
        <f t="shared" si="96"/>
        <v>29801</v>
      </c>
      <c r="B1869" s="34">
        <v>189</v>
      </c>
      <c r="C1869" s="31" t="str">
        <f t="shared" si="97"/>
        <v>37501</v>
      </c>
      <c r="D1869" t="s">
        <v>37</v>
      </c>
      <c r="E1869" s="33" t="str">
        <f>"2075"</f>
        <v>2075</v>
      </c>
      <c r="F1869" t="s">
        <v>1926</v>
      </c>
      <c r="G1869" s="1"/>
      <c r="H1869" s="1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</row>
    <row r="1870" spans="1:22" x14ac:dyDescent="0.25">
      <c r="A1870" t="str">
        <f t="shared" si="96"/>
        <v>29801</v>
      </c>
      <c r="B1870" s="33">
        <v>189</v>
      </c>
      <c r="C1870" t="str">
        <f t="shared" ref="C1870:C1875" si="98">"37503"</f>
        <v>37503</v>
      </c>
      <c r="D1870" t="s">
        <v>163</v>
      </c>
      <c r="E1870" s="33" t="str">
        <f>"2713"</f>
        <v>2713</v>
      </c>
      <c r="F1870" t="s">
        <v>164</v>
      </c>
      <c r="G1870" s="1"/>
      <c r="H1870" s="1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</row>
    <row r="1871" spans="1:22" x14ac:dyDescent="0.25">
      <c r="A1871" t="str">
        <f t="shared" si="96"/>
        <v>29801</v>
      </c>
      <c r="B1871" s="33">
        <v>189</v>
      </c>
      <c r="C1871" t="str">
        <f t="shared" si="98"/>
        <v>37503</v>
      </c>
      <c r="D1871" t="s">
        <v>163</v>
      </c>
      <c r="E1871" s="33" t="str">
        <f>"3136"</f>
        <v>3136</v>
      </c>
      <c r="F1871" t="s">
        <v>165</v>
      </c>
      <c r="G1871" s="1"/>
      <c r="H1871" s="1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</row>
    <row r="1872" spans="1:22" x14ac:dyDescent="0.25">
      <c r="A1872" t="str">
        <f t="shared" si="96"/>
        <v>29801</v>
      </c>
      <c r="B1872" s="33">
        <v>189</v>
      </c>
      <c r="C1872" t="str">
        <f t="shared" si="98"/>
        <v>37503</v>
      </c>
      <c r="D1872" t="s">
        <v>163</v>
      </c>
      <c r="E1872" s="33" t="str">
        <f>"5021"</f>
        <v>5021</v>
      </c>
      <c r="F1872" t="s">
        <v>166</v>
      </c>
      <c r="G1872" s="1"/>
      <c r="H1872" s="1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</row>
    <row r="1873" spans="1:22" x14ac:dyDescent="0.25">
      <c r="A1873" t="str">
        <f t="shared" si="96"/>
        <v>29801</v>
      </c>
      <c r="B1873" s="33">
        <v>189</v>
      </c>
      <c r="C1873" t="str">
        <f t="shared" si="98"/>
        <v>37503</v>
      </c>
      <c r="D1873" t="s">
        <v>163</v>
      </c>
      <c r="E1873" s="33" t="str">
        <f>"3796"</f>
        <v>3796</v>
      </c>
      <c r="F1873" t="s">
        <v>167</v>
      </c>
      <c r="G1873" s="1"/>
      <c r="H1873" s="1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</row>
    <row r="1874" spans="1:22" x14ac:dyDescent="0.25">
      <c r="A1874" t="str">
        <f t="shared" si="96"/>
        <v>29801</v>
      </c>
      <c r="B1874" s="33">
        <v>189</v>
      </c>
      <c r="C1874" t="str">
        <f t="shared" si="98"/>
        <v>37503</v>
      </c>
      <c r="D1874" t="s">
        <v>163</v>
      </c>
      <c r="E1874" s="33" t="str">
        <f>"4476"</f>
        <v>4476</v>
      </c>
      <c r="F1874" t="s">
        <v>168</v>
      </c>
      <c r="G1874" s="1"/>
      <c r="H1874" s="1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</row>
    <row r="1875" spans="1:22" x14ac:dyDescent="0.25">
      <c r="A1875" t="str">
        <f t="shared" si="96"/>
        <v>29801</v>
      </c>
      <c r="B1875" s="33">
        <v>189</v>
      </c>
      <c r="C1875" t="str">
        <f t="shared" si="98"/>
        <v>37503</v>
      </c>
      <c r="D1875" t="s">
        <v>163</v>
      </c>
      <c r="E1875" s="33" t="str">
        <f>"4459"</f>
        <v>4459</v>
      </c>
      <c r="F1875" t="s">
        <v>1457</v>
      </c>
      <c r="G1875" s="1"/>
      <c r="H1875" s="1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</row>
    <row r="1876" spans="1:22" x14ac:dyDescent="0.25">
      <c r="A1876" t="str">
        <f t="shared" si="96"/>
        <v>29801</v>
      </c>
      <c r="B1876" s="33">
        <v>189</v>
      </c>
      <c r="C1876" s="35">
        <v>29100</v>
      </c>
      <c r="D1876" t="s">
        <v>45</v>
      </c>
      <c r="E1876" s="36">
        <v>3603</v>
      </c>
      <c r="F1876" t="s">
        <v>46</v>
      </c>
      <c r="G1876" s="1"/>
      <c r="H1876" s="1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</row>
    <row r="1877" spans="1:22" x14ac:dyDescent="0.25">
      <c r="A1877" t="str">
        <f t="shared" si="96"/>
        <v>29801</v>
      </c>
      <c r="B1877" s="33">
        <v>189</v>
      </c>
      <c r="C1877" s="35">
        <v>29100</v>
      </c>
      <c r="D1877" t="s">
        <v>45</v>
      </c>
      <c r="E1877" s="36">
        <v>4412</v>
      </c>
      <c r="F1877" t="s">
        <v>119</v>
      </c>
      <c r="G1877" s="1"/>
      <c r="H1877" s="1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</row>
    <row r="1878" spans="1:22" x14ac:dyDescent="0.25">
      <c r="A1878" t="str">
        <f t="shared" si="96"/>
        <v>29801</v>
      </c>
      <c r="B1878" s="33">
        <v>189</v>
      </c>
      <c r="C1878" s="35">
        <v>29100</v>
      </c>
      <c r="D1878" t="s">
        <v>45</v>
      </c>
      <c r="E1878" s="36">
        <v>2362</v>
      </c>
      <c r="F1878" t="s">
        <v>220</v>
      </c>
      <c r="G1878" s="1"/>
      <c r="H1878" s="1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</row>
    <row r="1879" spans="1:22" x14ac:dyDescent="0.25">
      <c r="A1879" t="str">
        <f t="shared" si="96"/>
        <v>29801</v>
      </c>
      <c r="B1879" s="33">
        <v>189</v>
      </c>
      <c r="C1879" s="35">
        <v>29100</v>
      </c>
      <c r="D1879" t="s">
        <v>45</v>
      </c>
      <c r="E1879" s="36">
        <v>2379</v>
      </c>
      <c r="F1879" t="s">
        <v>550</v>
      </c>
      <c r="G1879" s="1"/>
      <c r="H1879" s="1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</row>
    <row r="1880" spans="1:22" x14ac:dyDescent="0.25">
      <c r="A1880" t="str">
        <f t="shared" si="96"/>
        <v>29801</v>
      </c>
      <c r="B1880" s="33">
        <v>189</v>
      </c>
      <c r="C1880" s="35">
        <v>29100</v>
      </c>
      <c r="D1880" t="s">
        <v>45</v>
      </c>
      <c r="E1880" s="36">
        <v>3251</v>
      </c>
      <c r="F1880" t="s">
        <v>1089</v>
      </c>
      <c r="G1880" s="1"/>
      <c r="H1880" s="1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</row>
    <row r="1881" spans="1:22" x14ac:dyDescent="0.25">
      <c r="A1881" t="str">
        <f t="shared" si="96"/>
        <v>29801</v>
      </c>
      <c r="B1881" s="33">
        <v>189</v>
      </c>
      <c r="C1881" s="35">
        <v>29100</v>
      </c>
      <c r="D1881" t="s">
        <v>45</v>
      </c>
      <c r="E1881" s="36">
        <v>2946</v>
      </c>
      <c r="F1881" t="s">
        <v>1915</v>
      </c>
      <c r="G1881" s="1"/>
      <c r="H1881" s="1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</row>
    <row r="1882" spans="1:22" x14ac:dyDescent="0.25">
      <c r="A1882" t="str">
        <f t="shared" si="96"/>
        <v>29801</v>
      </c>
      <c r="B1882" s="33">
        <v>189</v>
      </c>
      <c r="C1882" s="35">
        <v>29011</v>
      </c>
      <c r="D1882" t="s">
        <v>416</v>
      </c>
      <c r="E1882" s="36">
        <v>2577</v>
      </c>
      <c r="F1882" t="s">
        <v>417</v>
      </c>
      <c r="G1882" s="1"/>
      <c r="H1882" s="1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</row>
    <row r="1883" spans="1:22" x14ac:dyDescent="0.25">
      <c r="A1883" t="str">
        <f t="shared" si="96"/>
        <v>29801</v>
      </c>
      <c r="B1883" s="33">
        <v>189</v>
      </c>
      <c r="C1883" s="35">
        <v>29011</v>
      </c>
      <c r="D1883" t="s">
        <v>416</v>
      </c>
      <c r="E1883" s="36">
        <v>2810</v>
      </c>
      <c r="F1883" t="s">
        <v>418</v>
      </c>
      <c r="G1883" s="1"/>
      <c r="H1883" s="1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</row>
    <row r="1884" spans="1:22" x14ac:dyDescent="0.25">
      <c r="A1884" t="str">
        <f t="shared" si="96"/>
        <v>29801</v>
      </c>
      <c r="B1884" s="33">
        <v>189</v>
      </c>
      <c r="C1884" s="35">
        <v>29011</v>
      </c>
      <c r="D1884" t="s">
        <v>416</v>
      </c>
      <c r="E1884" s="36">
        <v>1605</v>
      </c>
      <c r="F1884" t="s">
        <v>2395</v>
      </c>
      <c r="G1884" s="1"/>
      <c r="H1884" s="1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</row>
    <row r="1885" spans="1:22" x14ac:dyDescent="0.25">
      <c r="A1885" t="str">
        <f t="shared" si="96"/>
        <v>29801</v>
      </c>
      <c r="B1885" s="33">
        <v>189</v>
      </c>
      <c r="C1885" s="35">
        <v>29317</v>
      </c>
      <c r="D1885" t="s">
        <v>2396</v>
      </c>
      <c r="E1885" s="36">
        <v>2578</v>
      </c>
      <c r="F1885" t="s">
        <v>2397</v>
      </c>
      <c r="G1885" s="1"/>
      <c r="H1885" s="1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</row>
    <row r="1886" spans="1:22" x14ac:dyDescent="0.25">
      <c r="A1886" t="str">
        <f t="shared" si="96"/>
        <v>29801</v>
      </c>
      <c r="B1886" s="34">
        <v>189</v>
      </c>
      <c r="C1886" s="35">
        <v>15204</v>
      </c>
      <c r="D1886" s="31" t="s">
        <v>436</v>
      </c>
      <c r="E1886" s="36">
        <v>3664</v>
      </c>
      <c r="F1886" s="31" t="s">
        <v>437</v>
      </c>
      <c r="G1886" s="1"/>
      <c r="H1886" s="1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</row>
    <row r="1887" spans="1:22" x14ac:dyDescent="0.25">
      <c r="A1887" t="str">
        <f t="shared" si="96"/>
        <v>29801</v>
      </c>
      <c r="B1887" s="34">
        <v>189</v>
      </c>
      <c r="C1887" s="35">
        <v>15204</v>
      </c>
      <c r="D1887" s="31" t="s">
        <v>436</v>
      </c>
      <c r="E1887" s="36">
        <v>2625</v>
      </c>
      <c r="F1887" s="31" t="s">
        <v>438</v>
      </c>
      <c r="G1887" s="1"/>
      <c r="H1887" s="1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</row>
    <row r="1888" spans="1:22" x14ac:dyDescent="0.25">
      <c r="A1888" t="str">
        <f t="shared" si="96"/>
        <v>29801</v>
      </c>
      <c r="B1888" s="34">
        <v>189</v>
      </c>
      <c r="C1888" s="35">
        <v>15204</v>
      </c>
      <c r="D1888" s="31" t="s">
        <v>436</v>
      </c>
      <c r="E1888" s="36">
        <v>4004</v>
      </c>
      <c r="F1888" s="31" t="s">
        <v>439</v>
      </c>
      <c r="G1888" s="1"/>
      <c r="H1888" s="1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</row>
    <row r="1889" spans="1:22" x14ac:dyDescent="0.25">
      <c r="A1889" t="str">
        <f t="shared" si="96"/>
        <v>29801</v>
      </c>
      <c r="B1889" s="34">
        <v>189</v>
      </c>
      <c r="C1889" s="35">
        <v>31330</v>
      </c>
      <c r="D1889" s="2" t="s">
        <v>468</v>
      </c>
      <c r="E1889" s="36">
        <v>3609</v>
      </c>
      <c r="F1889" s="2" t="s">
        <v>469</v>
      </c>
      <c r="G1889" s="1"/>
      <c r="H1889" s="1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</row>
    <row r="1890" spans="1:22" x14ac:dyDescent="0.25">
      <c r="A1890" t="str">
        <f t="shared" si="96"/>
        <v>29801</v>
      </c>
      <c r="B1890" s="33">
        <v>189</v>
      </c>
      <c r="C1890" s="35">
        <v>31330</v>
      </c>
      <c r="D1890" t="s">
        <v>468</v>
      </c>
      <c r="E1890" s="36">
        <v>3188</v>
      </c>
      <c r="F1890" t="s">
        <v>2398</v>
      </c>
      <c r="G1890" s="1"/>
      <c r="H1890" s="1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</row>
    <row r="1891" spans="1:22" x14ac:dyDescent="0.25">
      <c r="A1891" t="str">
        <f t="shared" si="96"/>
        <v>29801</v>
      </c>
      <c r="B1891" s="33">
        <v>189</v>
      </c>
      <c r="C1891" t="str">
        <f t="shared" ref="C1891:C1922" si="99">"31015"</f>
        <v>31015</v>
      </c>
      <c r="D1891" t="s">
        <v>39</v>
      </c>
      <c r="E1891" s="33" t="str">
        <f>"3560"</f>
        <v>3560</v>
      </c>
      <c r="F1891" s="4" t="s">
        <v>40</v>
      </c>
      <c r="G1891" s="1"/>
      <c r="H1891" s="1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</row>
    <row r="1892" spans="1:22" x14ac:dyDescent="0.25">
      <c r="A1892" t="str">
        <f t="shared" si="96"/>
        <v>29801</v>
      </c>
      <c r="B1892" s="33">
        <v>189</v>
      </c>
      <c r="C1892" t="str">
        <f t="shared" si="99"/>
        <v>31015</v>
      </c>
      <c r="D1892" t="s">
        <v>39</v>
      </c>
      <c r="E1892" s="33" t="str">
        <f>"3302"</f>
        <v>3302</v>
      </c>
      <c r="F1892" s="4" t="s">
        <v>152</v>
      </c>
      <c r="G1892" s="1"/>
      <c r="H1892" s="1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</row>
    <row r="1893" spans="1:22" x14ac:dyDescent="0.25">
      <c r="A1893" t="str">
        <f t="shared" si="96"/>
        <v>29801</v>
      </c>
      <c r="B1893" s="33">
        <v>189</v>
      </c>
      <c r="C1893" t="str">
        <f t="shared" si="99"/>
        <v>31015</v>
      </c>
      <c r="D1893" t="s">
        <v>39</v>
      </c>
      <c r="E1893" s="33" t="str">
        <f>"3536"</f>
        <v>3536</v>
      </c>
      <c r="F1893" s="4" t="s">
        <v>199</v>
      </c>
      <c r="G1893" s="1"/>
      <c r="H1893" s="1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</row>
    <row r="1894" spans="1:22" x14ac:dyDescent="0.25">
      <c r="A1894" t="str">
        <f t="shared" si="96"/>
        <v>29801</v>
      </c>
      <c r="B1894" s="33">
        <v>189</v>
      </c>
      <c r="C1894" t="str">
        <f t="shared" si="99"/>
        <v>31015</v>
      </c>
      <c r="D1894" t="s">
        <v>39</v>
      </c>
      <c r="E1894" s="33" t="str">
        <f>"3650"</f>
        <v>3650</v>
      </c>
      <c r="F1894" s="4" t="s">
        <v>200</v>
      </c>
      <c r="G1894" s="1"/>
      <c r="H1894" s="1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</row>
    <row r="1895" spans="1:22" x14ac:dyDescent="0.25">
      <c r="A1895" t="str">
        <f t="shared" ref="A1895:A1958" si="100">"29801"</f>
        <v>29801</v>
      </c>
      <c r="B1895" s="33">
        <v>189</v>
      </c>
      <c r="C1895" t="str">
        <f t="shared" si="99"/>
        <v>31015</v>
      </c>
      <c r="D1895" t="s">
        <v>39</v>
      </c>
      <c r="E1895" s="33" t="str">
        <f>"3409"</f>
        <v>3409</v>
      </c>
      <c r="F1895" s="4" t="s">
        <v>291</v>
      </c>
      <c r="G1895" s="1"/>
      <c r="H1895" s="1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</row>
    <row r="1896" spans="1:22" x14ac:dyDescent="0.25">
      <c r="A1896" t="str">
        <f t="shared" si="100"/>
        <v>29801</v>
      </c>
      <c r="B1896" s="33">
        <v>189</v>
      </c>
      <c r="C1896" t="str">
        <f t="shared" si="99"/>
        <v>31015</v>
      </c>
      <c r="D1896" t="s">
        <v>39</v>
      </c>
      <c r="E1896" s="33" t="str">
        <f>"3304"</f>
        <v>3304</v>
      </c>
      <c r="F1896" s="4" t="s">
        <v>293</v>
      </c>
      <c r="G1896" s="1"/>
      <c r="H1896" s="1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</row>
    <row r="1897" spans="1:22" x14ac:dyDescent="0.25">
      <c r="A1897" t="str">
        <f t="shared" si="100"/>
        <v>29801</v>
      </c>
      <c r="B1897" s="33">
        <v>189</v>
      </c>
      <c r="C1897" t="str">
        <f t="shared" si="99"/>
        <v>31015</v>
      </c>
      <c r="D1897" t="s">
        <v>39</v>
      </c>
      <c r="E1897" s="33" t="str">
        <f>"3534"</f>
        <v>3534</v>
      </c>
      <c r="F1897" s="4" t="s">
        <v>328</v>
      </c>
      <c r="G1897" s="1"/>
      <c r="H1897" s="1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</row>
    <row r="1898" spans="1:22" x14ac:dyDescent="0.25">
      <c r="A1898" t="str">
        <f t="shared" si="100"/>
        <v>29801</v>
      </c>
      <c r="B1898" s="33">
        <v>189</v>
      </c>
      <c r="C1898" t="str">
        <f t="shared" si="99"/>
        <v>31015</v>
      </c>
      <c r="D1898" t="s">
        <v>39</v>
      </c>
      <c r="E1898" s="33" t="str">
        <f>"3691"</f>
        <v>3691</v>
      </c>
      <c r="F1898" s="4" t="s">
        <v>384</v>
      </c>
      <c r="G1898" s="1"/>
      <c r="H1898" s="1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</row>
    <row r="1899" spans="1:22" x14ac:dyDescent="0.25">
      <c r="A1899" t="str">
        <f t="shared" si="100"/>
        <v>29801</v>
      </c>
      <c r="B1899" s="33">
        <v>189</v>
      </c>
      <c r="C1899" t="str">
        <f t="shared" si="99"/>
        <v>31015</v>
      </c>
      <c r="D1899" t="s">
        <v>39</v>
      </c>
      <c r="E1899" s="33" t="str">
        <f>"3754"</f>
        <v>3754</v>
      </c>
      <c r="F1899" s="4" t="s">
        <v>387</v>
      </c>
      <c r="G1899" s="1"/>
      <c r="H1899" s="1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</row>
    <row r="1900" spans="1:22" x14ac:dyDescent="0.25">
      <c r="A1900" t="str">
        <f t="shared" si="100"/>
        <v>29801</v>
      </c>
      <c r="B1900" s="33">
        <v>189</v>
      </c>
      <c r="C1900" t="str">
        <f t="shared" si="99"/>
        <v>31015</v>
      </c>
      <c r="D1900" t="s">
        <v>39</v>
      </c>
      <c r="E1900" s="33" t="str">
        <f>"3606"</f>
        <v>3606</v>
      </c>
      <c r="F1900" s="4" t="s">
        <v>553</v>
      </c>
      <c r="G1900" s="1"/>
      <c r="H1900" s="1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</row>
    <row r="1901" spans="1:22" x14ac:dyDescent="0.25">
      <c r="A1901" t="str">
        <f t="shared" si="100"/>
        <v>29801</v>
      </c>
      <c r="B1901" s="33">
        <v>189</v>
      </c>
      <c r="C1901" t="str">
        <f t="shared" si="99"/>
        <v>31015</v>
      </c>
      <c r="D1901" t="s">
        <v>39</v>
      </c>
      <c r="E1901" s="33" t="str">
        <f>"1966"</f>
        <v>1966</v>
      </c>
      <c r="F1901" t="s">
        <v>554</v>
      </c>
      <c r="G1901" s="1"/>
      <c r="H1901" s="1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</row>
    <row r="1902" spans="1:22" x14ac:dyDescent="0.25">
      <c r="A1902" t="str">
        <f t="shared" si="100"/>
        <v>29801</v>
      </c>
      <c r="B1902" s="33">
        <v>189</v>
      </c>
      <c r="C1902" t="str">
        <f t="shared" si="99"/>
        <v>31015</v>
      </c>
      <c r="D1902" t="s">
        <v>39</v>
      </c>
      <c r="E1902" s="33" t="str">
        <f>"3123"</f>
        <v>3123</v>
      </c>
      <c r="F1902" s="4" t="s">
        <v>555</v>
      </c>
      <c r="G1902" s="1"/>
      <c r="H1902" s="1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</row>
    <row r="1903" spans="1:22" x14ac:dyDescent="0.25">
      <c r="A1903" t="str">
        <f t="shared" si="100"/>
        <v>29801</v>
      </c>
      <c r="B1903" s="33">
        <v>189</v>
      </c>
      <c r="C1903" t="str">
        <f t="shared" si="99"/>
        <v>31015</v>
      </c>
      <c r="D1903" t="s">
        <v>39</v>
      </c>
      <c r="E1903" s="33" t="str">
        <f>"3607"</f>
        <v>3607</v>
      </c>
      <c r="F1903" s="4" t="s">
        <v>790</v>
      </c>
      <c r="G1903" s="1"/>
      <c r="H1903" s="1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</row>
    <row r="1904" spans="1:22" x14ac:dyDescent="0.25">
      <c r="A1904" t="str">
        <f t="shared" si="100"/>
        <v>29801</v>
      </c>
      <c r="B1904" s="33">
        <v>189</v>
      </c>
      <c r="C1904" t="str">
        <f t="shared" si="99"/>
        <v>31015</v>
      </c>
      <c r="D1904" t="s">
        <v>39</v>
      </c>
      <c r="E1904" s="33" t="str">
        <f>"3689"</f>
        <v>3689</v>
      </c>
      <c r="F1904" s="4" t="s">
        <v>821</v>
      </c>
      <c r="G1904" s="1"/>
      <c r="H1904" s="1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</row>
    <row r="1905" spans="1:22" x14ac:dyDescent="0.25">
      <c r="A1905" t="str">
        <f t="shared" si="100"/>
        <v>29801</v>
      </c>
      <c r="B1905" s="33">
        <v>189</v>
      </c>
      <c r="C1905" t="str">
        <f t="shared" si="99"/>
        <v>31015</v>
      </c>
      <c r="D1905" t="s">
        <v>39</v>
      </c>
      <c r="E1905" s="33" t="str">
        <f>"3122"</f>
        <v>3122</v>
      </c>
      <c r="F1905" s="4" t="s">
        <v>1097</v>
      </c>
      <c r="G1905" s="1"/>
      <c r="H1905" s="1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</row>
    <row r="1906" spans="1:22" x14ac:dyDescent="0.25">
      <c r="A1906" t="str">
        <f t="shared" si="100"/>
        <v>29801</v>
      </c>
      <c r="B1906" s="33">
        <v>189</v>
      </c>
      <c r="C1906" t="str">
        <f t="shared" si="99"/>
        <v>31015</v>
      </c>
      <c r="D1906" t="s">
        <v>39</v>
      </c>
      <c r="E1906" s="33" t="str">
        <f>"3503"</f>
        <v>3503</v>
      </c>
      <c r="F1906" s="4" t="s">
        <v>1098</v>
      </c>
      <c r="G1906" s="1"/>
      <c r="H1906" s="1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</row>
    <row r="1907" spans="1:22" x14ac:dyDescent="0.25">
      <c r="A1907" t="str">
        <f t="shared" si="100"/>
        <v>29801</v>
      </c>
      <c r="B1907" s="33">
        <v>189</v>
      </c>
      <c r="C1907" t="str">
        <f t="shared" si="99"/>
        <v>31015</v>
      </c>
      <c r="D1907" t="s">
        <v>39</v>
      </c>
      <c r="E1907" s="33" t="str">
        <f>"3755"</f>
        <v>3755</v>
      </c>
      <c r="F1907" s="4" t="s">
        <v>1099</v>
      </c>
      <c r="G1907" s="1"/>
      <c r="H1907" s="1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</row>
    <row r="1908" spans="1:22" x14ac:dyDescent="0.25">
      <c r="A1908" t="str">
        <f t="shared" si="100"/>
        <v>29801</v>
      </c>
      <c r="B1908" s="33">
        <v>189</v>
      </c>
      <c r="C1908" t="str">
        <f t="shared" si="99"/>
        <v>31015</v>
      </c>
      <c r="D1908" t="s">
        <v>39</v>
      </c>
      <c r="E1908" s="33" t="str">
        <f>"3463"</f>
        <v>3463</v>
      </c>
      <c r="F1908" s="4" t="s">
        <v>2399</v>
      </c>
      <c r="G1908" s="1"/>
      <c r="H1908" s="1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</row>
    <row r="1909" spans="1:22" x14ac:dyDescent="0.25">
      <c r="A1909" t="str">
        <f t="shared" si="100"/>
        <v>29801</v>
      </c>
      <c r="B1909" s="33">
        <v>189</v>
      </c>
      <c r="C1909" t="str">
        <f t="shared" si="99"/>
        <v>31015</v>
      </c>
      <c r="D1909" t="s">
        <v>39</v>
      </c>
      <c r="E1909" s="33" t="str">
        <f>"1685"</f>
        <v>1685</v>
      </c>
      <c r="F1909" s="4" t="s">
        <v>2400</v>
      </c>
      <c r="G1909" s="1"/>
      <c r="H1909" s="1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</row>
    <row r="1910" spans="1:22" x14ac:dyDescent="0.25">
      <c r="A1910" t="str">
        <f t="shared" si="100"/>
        <v>29801</v>
      </c>
      <c r="B1910" s="33">
        <v>189</v>
      </c>
      <c r="C1910" t="str">
        <f t="shared" si="99"/>
        <v>31015</v>
      </c>
      <c r="D1910" t="s">
        <v>39</v>
      </c>
      <c r="E1910" s="33" t="str">
        <f>"2887"</f>
        <v>2887</v>
      </c>
      <c r="F1910" s="4" t="s">
        <v>1132</v>
      </c>
      <c r="G1910" s="1"/>
      <c r="H1910" s="1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</row>
    <row r="1911" spans="1:22" x14ac:dyDescent="0.25">
      <c r="A1911" t="str">
        <f t="shared" si="100"/>
        <v>29801</v>
      </c>
      <c r="B1911" s="33">
        <v>189</v>
      </c>
      <c r="C1911" t="str">
        <f t="shared" si="99"/>
        <v>31015</v>
      </c>
      <c r="D1911" t="s">
        <v>39</v>
      </c>
      <c r="E1911" s="33" t="str">
        <f>"3504"</f>
        <v>3504</v>
      </c>
      <c r="F1911" s="4" t="s">
        <v>1171</v>
      </c>
      <c r="G1911" s="1"/>
      <c r="H1911" s="1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</row>
    <row r="1912" spans="1:22" x14ac:dyDescent="0.25">
      <c r="A1912" t="str">
        <f t="shared" si="100"/>
        <v>29801</v>
      </c>
      <c r="B1912" s="33">
        <v>189</v>
      </c>
      <c r="C1912" t="str">
        <f t="shared" si="99"/>
        <v>31015</v>
      </c>
      <c r="D1912" t="s">
        <v>39</v>
      </c>
      <c r="E1912" s="33" t="str">
        <f>"3464"</f>
        <v>3464</v>
      </c>
      <c r="F1912" s="4" t="s">
        <v>1172</v>
      </c>
      <c r="G1912" s="1"/>
      <c r="H1912" s="1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</row>
    <row r="1913" spans="1:22" x14ac:dyDescent="0.25">
      <c r="A1913" t="str">
        <f t="shared" si="100"/>
        <v>29801</v>
      </c>
      <c r="B1913" s="33">
        <v>189</v>
      </c>
      <c r="C1913" t="str">
        <f t="shared" si="99"/>
        <v>31015</v>
      </c>
      <c r="D1913" t="s">
        <v>39</v>
      </c>
      <c r="E1913" s="33" t="str">
        <f>"3353"</f>
        <v>3353</v>
      </c>
      <c r="F1913" s="4" t="s">
        <v>1173</v>
      </c>
      <c r="G1913" s="1"/>
      <c r="H1913" s="1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</row>
    <row r="1914" spans="1:22" x14ac:dyDescent="0.25">
      <c r="A1914" t="str">
        <f t="shared" si="100"/>
        <v>29801</v>
      </c>
      <c r="B1914" s="33">
        <v>189</v>
      </c>
      <c r="C1914" t="str">
        <f t="shared" si="99"/>
        <v>31015</v>
      </c>
      <c r="D1914" t="s">
        <v>39</v>
      </c>
      <c r="E1914" s="33" t="str">
        <f>"3254"</f>
        <v>3254</v>
      </c>
      <c r="F1914" s="4" t="s">
        <v>1253</v>
      </c>
      <c r="G1914" s="1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</row>
    <row r="1915" spans="1:22" x14ac:dyDescent="0.25">
      <c r="A1915" t="str">
        <f t="shared" si="100"/>
        <v>29801</v>
      </c>
      <c r="B1915" s="33">
        <v>189</v>
      </c>
      <c r="C1915" t="str">
        <f t="shared" si="99"/>
        <v>31015</v>
      </c>
      <c r="D1915" t="s">
        <v>39</v>
      </c>
      <c r="E1915" s="33" t="str">
        <f>"3303"</f>
        <v>3303</v>
      </c>
      <c r="F1915" s="4" t="s">
        <v>1254</v>
      </c>
      <c r="G1915" s="1"/>
      <c r="H1915" s="1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</row>
    <row r="1916" spans="1:22" x14ac:dyDescent="0.25">
      <c r="A1916" t="str">
        <f t="shared" si="100"/>
        <v>29801</v>
      </c>
      <c r="B1916" s="33">
        <v>189</v>
      </c>
      <c r="C1916" t="str">
        <f t="shared" si="99"/>
        <v>31015</v>
      </c>
      <c r="D1916" t="s">
        <v>39</v>
      </c>
      <c r="E1916" s="33" t="str">
        <f>"3608"</f>
        <v>3608</v>
      </c>
      <c r="F1916" s="4" t="s">
        <v>1337</v>
      </c>
      <c r="G1916" s="1"/>
      <c r="H1916" s="1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</row>
    <row r="1917" spans="1:22" x14ac:dyDescent="0.25">
      <c r="A1917" t="str">
        <f t="shared" si="100"/>
        <v>29801</v>
      </c>
      <c r="B1917" s="33">
        <v>189</v>
      </c>
      <c r="C1917" t="str">
        <f t="shared" si="99"/>
        <v>31015</v>
      </c>
      <c r="D1917" t="s">
        <v>39</v>
      </c>
      <c r="E1917" s="33" t="str">
        <f>"3854"</f>
        <v>3854</v>
      </c>
      <c r="F1917" s="4" t="s">
        <v>1602</v>
      </c>
      <c r="G1917" s="1"/>
      <c r="H1917" s="1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</row>
    <row r="1918" spans="1:22" x14ac:dyDescent="0.25">
      <c r="A1918" t="str">
        <f t="shared" si="100"/>
        <v>29801</v>
      </c>
      <c r="B1918" s="33">
        <v>189</v>
      </c>
      <c r="C1918" t="str">
        <f t="shared" si="99"/>
        <v>31015</v>
      </c>
      <c r="D1918" t="s">
        <v>39</v>
      </c>
      <c r="E1918" s="33" t="str">
        <f>"3461"</f>
        <v>3461</v>
      </c>
      <c r="F1918" s="4" t="s">
        <v>1608</v>
      </c>
      <c r="G1918" s="1"/>
      <c r="H1918" s="1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</row>
    <row r="1919" spans="1:22" x14ac:dyDescent="0.25">
      <c r="A1919" t="str">
        <f t="shared" si="100"/>
        <v>29801</v>
      </c>
      <c r="B1919" s="33">
        <v>189</v>
      </c>
      <c r="C1919" t="str">
        <f t="shared" si="99"/>
        <v>31015</v>
      </c>
      <c r="D1919" t="s">
        <v>39</v>
      </c>
      <c r="E1919" s="33" t="str">
        <f>"3605"</f>
        <v>3605</v>
      </c>
      <c r="F1919" s="4" t="s">
        <v>1638</v>
      </c>
      <c r="G1919" s="1"/>
      <c r="H1919" s="1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</row>
    <row r="1920" spans="1:22" x14ac:dyDescent="0.25">
      <c r="A1920" t="str">
        <f t="shared" si="100"/>
        <v>29801</v>
      </c>
      <c r="B1920" s="33">
        <v>189</v>
      </c>
      <c r="C1920" t="str">
        <f t="shared" si="99"/>
        <v>31015</v>
      </c>
      <c r="D1920" t="s">
        <v>39</v>
      </c>
      <c r="E1920" s="33" t="str">
        <f>"3410"</f>
        <v>3410</v>
      </c>
      <c r="F1920" s="4" t="s">
        <v>1716</v>
      </c>
      <c r="G1920" s="1"/>
      <c r="H1920" s="1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</row>
    <row r="1921" spans="1:22" x14ac:dyDescent="0.25">
      <c r="A1921" t="str">
        <f t="shared" si="100"/>
        <v>29801</v>
      </c>
      <c r="B1921" s="33">
        <v>189</v>
      </c>
      <c r="C1921" t="str">
        <f t="shared" si="99"/>
        <v>31015</v>
      </c>
      <c r="D1921" t="s">
        <v>39</v>
      </c>
      <c r="E1921" s="33" t="str">
        <f>"2888"</f>
        <v>2888</v>
      </c>
      <c r="F1921" s="4" t="s">
        <v>1783</v>
      </c>
      <c r="G1921" s="1"/>
      <c r="H1921" s="1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</row>
    <row r="1922" spans="1:22" x14ac:dyDescent="0.25">
      <c r="A1922" t="str">
        <f t="shared" si="100"/>
        <v>29801</v>
      </c>
      <c r="B1922" s="33">
        <v>189</v>
      </c>
      <c r="C1922" t="str">
        <f t="shared" si="99"/>
        <v>31015</v>
      </c>
      <c r="D1922" t="s">
        <v>39</v>
      </c>
      <c r="E1922" s="33" t="str">
        <f>"3186"</f>
        <v>3186</v>
      </c>
      <c r="F1922" s="4" t="s">
        <v>1917</v>
      </c>
      <c r="G1922" s="1"/>
      <c r="H1922" s="1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</row>
    <row r="1923" spans="1:22" x14ac:dyDescent="0.25">
      <c r="A1923" t="str">
        <f t="shared" si="100"/>
        <v>29801</v>
      </c>
      <c r="B1923" s="33">
        <v>189</v>
      </c>
      <c r="C1923" t="str">
        <f t="shared" ref="C1923:C1950" si="101">"31002"</f>
        <v>31002</v>
      </c>
      <c r="D1923" t="s">
        <v>262</v>
      </c>
      <c r="E1923" s="33" t="str">
        <f>"3407"</f>
        <v>3407</v>
      </c>
      <c r="F1923" t="s">
        <v>263</v>
      </c>
      <c r="G1923" s="1"/>
      <c r="H1923" s="1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</row>
    <row r="1924" spans="1:22" x14ac:dyDescent="0.25">
      <c r="A1924" t="str">
        <f t="shared" si="100"/>
        <v>29801</v>
      </c>
      <c r="B1924" s="33">
        <v>189</v>
      </c>
      <c r="C1924" t="str">
        <f t="shared" si="101"/>
        <v>31002</v>
      </c>
      <c r="D1924" t="s">
        <v>262</v>
      </c>
      <c r="E1924" s="33" t="str">
        <f>"4382"</f>
        <v>4382</v>
      </c>
      <c r="F1924" t="s">
        <v>294</v>
      </c>
      <c r="G1924" s="1"/>
      <c r="H1924" s="1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</row>
    <row r="1925" spans="1:22" x14ac:dyDescent="0.25">
      <c r="A1925" t="str">
        <f t="shared" si="100"/>
        <v>29801</v>
      </c>
      <c r="B1925" s="33">
        <v>189</v>
      </c>
      <c r="C1925" t="str">
        <f t="shared" si="101"/>
        <v>31002</v>
      </c>
      <c r="D1925" t="s">
        <v>262</v>
      </c>
      <c r="E1925" s="33" t="str">
        <f>"3752"</f>
        <v>3752</v>
      </c>
      <c r="F1925" t="s">
        <v>560</v>
      </c>
      <c r="G1925" s="1"/>
      <c r="H1925" s="1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</row>
    <row r="1926" spans="1:22" x14ac:dyDescent="0.25">
      <c r="A1926" t="str">
        <f t="shared" si="100"/>
        <v>29801</v>
      </c>
      <c r="B1926" s="33">
        <v>189</v>
      </c>
      <c r="C1926" t="str">
        <f t="shared" si="101"/>
        <v>31002</v>
      </c>
      <c r="D1926" t="s">
        <v>262</v>
      </c>
      <c r="E1926" s="33" t="str">
        <f>"3184"</f>
        <v>3184</v>
      </c>
      <c r="F1926" t="s">
        <v>579</v>
      </c>
      <c r="G1926" s="1"/>
      <c r="H1926" s="1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</row>
    <row r="1927" spans="1:22" x14ac:dyDescent="0.25">
      <c r="A1927" t="str">
        <f t="shared" si="100"/>
        <v>29801</v>
      </c>
      <c r="B1927" s="33">
        <v>189</v>
      </c>
      <c r="C1927" t="str">
        <f t="shared" si="101"/>
        <v>31002</v>
      </c>
      <c r="D1927" t="s">
        <v>262</v>
      </c>
      <c r="E1927" s="33" t="str">
        <f>"2126"</f>
        <v>2126</v>
      </c>
      <c r="F1927" t="s">
        <v>598</v>
      </c>
      <c r="G1927" s="1"/>
      <c r="H1927" s="1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</row>
    <row r="1928" spans="1:22" x14ac:dyDescent="0.25">
      <c r="A1928" t="str">
        <f t="shared" si="100"/>
        <v>29801</v>
      </c>
      <c r="B1928" s="33">
        <v>189</v>
      </c>
      <c r="C1928" t="str">
        <f t="shared" si="101"/>
        <v>31002</v>
      </c>
      <c r="D1928" t="s">
        <v>262</v>
      </c>
      <c r="E1928" s="33" t="str">
        <f>"3253"</f>
        <v>3253</v>
      </c>
      <c r="F1928" t="s">
        <v>604</v>
      </c>
      <c r="G1928" s="1"/>
      <c r="H1928" s="11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</row>
    <row r="1929" spans="1:22" x14ac:dyDescent="0.25">
      <c r="A1929" t="str">
        <f t="shared" si="100"/>
        <v>29801</v>
      </c>
      <c r="B1929" s="33">
        <v>189</v>
      </c>
      <c r="C1929" t="str">
        <f t="shared" si="101"/>
        <v>31002</v>
      </c>
      <c r="D1929" t="s">
        <v>262</v>
      </c>
      <c r="E1929" s="33" t="str">
        <f>"5091"</f>
        <v>5091</v>
      </c>
      <c r="F1929" t="s">
        <v>646</v>
      </c>
      <c r="G1929" s="1"/>
      <c r="H1929" s="1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</row>
    <row r="1930" spans="1:22" x14ac:dyDescent="0.25">
      <c r="A1930" t="str">
        <f t="shared" si="100"/>
        <v>29801</v>
      </c>
      <c r="B1930" s="33">
        <v>189</v>
      </c>
      <c r="C1930" t="str">
        <f t="shared" si="101"/>
        <v>31002</v>
      </c>
      <c r="D1930" t="s">
        <v>262</v>
      </c>
      <c r="E1930" s="33" t="str">
        <f>"2065"</f>
        <v>2065</v>
      </c>
      <c r="F1930" t="s">
        <v>685</v>
      </c>
      <c r="G1930" s="1"/>
      <c r="H1930" s="11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</row>
    <row r="1931" spans="1:22" x14ac:dyDescent="0.25">
      <c r="A1931" t="str">
        <f t="shared" si="100"/>
        <v>29801</v>
      </c>
      <c r="B1931" s="33">
        <v>189</v>
      </c>
      <c r="C1931" t="str">
        <f t="shared" si="101"/>
        <v>31002</v>
      </c>
      <c r="D1931" t="s">
        <v>262</v>
      </c>
      <c r="E1931" s="33" t="str">
        <f>"4437"</f>
        <v>4437</v>
      </c>
      <c r="F1931" t="s">
        <v>691</v>
      </c>
      <c r="G1931" s="1"/>
      <c r="H1931" s="1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</row>
    <row r="1932" spans="1:22" x14ac:dyDescent="0.25">
      <c r="A1932" t="str">
        <f t="shared" si="100"/>
        <v>29801</v>
      </c>
      <c r="B1932" s="33">
        <v>189</v>
      </c>
      <c r="C1932" t="str">
        <f t="shared" si="101"/>
        <v>31002</v>
      </c>
      <c r="D1932" t="s">
        <v>262</v>
      </c>
      <c r="E1932" s="33" t="str">
        <f>"2883"</f>
        <v>2883</v>
      </c>
      <c r="F1932" t="s">
        <v>784</v>
      </c>
      <c r="G1932" s="1"/>
      <c r="H1932" s="1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</row>
    <row r="1933" spans="1:22" x14ac:dyDescent="0.25">
      <c r="A1933" t="str">
        <f t="shared" si="100"/>
        <v>29801</v>
      </c>
      <c r="B1933" s="33">
        <v>189</v>
      </c>
      <c r="C1933" t="str">
        <f t="shared" si="101"/>
        <v>31002</v>
      </c>
      <c r="D1933" t="s">
        <v>262</v>
      </c>
      <c r="E1933" s="33" t="str">
        <f>"4334"</f>
        <v>4334</v>
      </c>
      <c r="F1933" t="s">
        <v>794</v>
      </c>
      <c r="G1933" s="1"/>
      <c r="H1933" s="1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</row>
    <row r="1934" spans="1:22" x14ac:dyDescent="0.25">
      <c r="A1934" t="str">
        <f t="shared" si="100"/>
        <v>29801</v>
      </c>
      <c r="B1934" s="33">
        <v>189</v>
      </c>
      <c r="C1934" t="str">
        <f t="shared" si="101"/>
        <v>31002</v>
      </c>
      <c r="D1934" t="s">
        <v>262</v>
      </c>
      <c r="E1934" s="33" t="str">
        <f>"4438"</f>
        <v>4438</v>
      </c>
      <c r="F1934" t="s">
        <v>800</v>
      </c>
      <c r="G1934" s="1"/>
      <c r="H1934" s="1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</row>
    <row r="1935" spans="1:22" x14ac:dyDescent="0.25">
      <c r="A1935" t="str">
        <f t="shared" si="100"/>
        <v>29801</v>
      </c>
      <c r="B1935" s="33">
        <v>189</v>
      </c>
      <c r="C1935" t="str">
        <f t="shared" si="101"/>
        <v>31002</v>
      </c>
      <c r="D1935" t="s">
        <v>262</v>
      </c>
      <c r="E1935" s="33" t="str">
        <f>"2751"</f>
        <v>2751</v>
      </c>
      <c r="F1935" t="s">
        <v>886</v>
      </c>
      <c r="G1935" s="1"/>
      <c r="H1935" s="11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</row>
    <row r="1936" spans="1:22" x14ac:dyDescent="0.25">
      <c r="A1936" t="str">
        <f t="shared" si="100"/>
        <v>29801</v>
      </c>
      <c r="B1936" s="33">
        <v>189</v>
      </c>
      <c r="C1936" t="str">
        <f t="shared" si="101"/>
        <v>31002</v>
      </c>
      <c r="D1936" t="s">
        <v>262</v>
      </c>
      <c r="E1936" s="33" t="str">
        <f>"3533"</f>
        <v>3533</v>
      </c>
      <c r="F1936" t="s">
        <v>895</v>
      </c>
      <c r="G1936" s="1"/>
      <c r="H1936" s="1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</row>
    <row r="1937" spans="1:22" x14ac:dyDescent="0.25">
      <c r="A1937" t="str">
        <f t="shared" si="100"/>
        <v>29801</v>
      </c>
      <c r="B1937" s="33">
        <v>189</v>
      </c>
      <c r="C1937" t="str">
        <f t="shared" si="101"/>
        <v>31002</v>
      </c>
      <c r="D1937" t="s">
        <v>262</v>
      </c>
      <c r="E1937" s="33" t="str">
        <f>"2811"</f>
        <v>2811</v>
      </c>
      <c r="F1937" t="s">
        <v>1085</v>
      </c>
      <c r="G1937" s="1"/>
      <c r="H1937" s="1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</row>
    <row r="1938" spans="1:22" x14ac:dyDescent="0.25">
      <c r="A1938" t="str">
        <f t="shared" si="100"/>
        <v>29801</v>
      </c>
      <c r="B1938" s="33">
        <v>189</v>
      </c>
      <c r="C1938" t="str">
        <f t="shared" si="101"/>
        <v>31002</v>
      </c>
      <c r="D1938" t="s">
        <v>262</v>
      </c>
      <c r="E1938" s="33" t="str">
        <f>"2669"</f>
        <v>2669</v>
      </c>
      <c r="F1938" t="s">
        <v>1103</v>
      </c>
      <c r="G1938" s="1"/>
      <c r="H1938" s="1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</row>
    <row r="1939" spans="1:22" x14ac:dyDescent="0.25">
      <c r="A1939" t="str">
        <f t="shared" si="100"/>
        <v>29801</v>
      </c>
      <c r="B1939" s="33">
        <v>189</v>
      </c>
      <c r="C1939" t="str">
        <f t="shared" si="101"/>
        <v>31002</v>
      </c>
      <c r="D1939" t="s">
        <v>262</v>
      </c>
      <c r="E1939" s="33" t="str">
        <f>"4316"</f>
        <v>4316</v>
      </c>
      <c r="F1939" t="s">
        <v>1202</v>
      </c>
      <c r="G1939" s="1"/>
      <c r="H1939" s="1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</row>
    <row r="1940" spans="1:22" x14ac:dyDescent="0.25">
      <c r="A1940" t="str">
        <f t="shared" si="100"/>
        <v>29801</v>
      </c>
      <c r="B1940" s="33">
        <v>189</v>
      </c>
      <c r="C1940" t="str">
        <f t="shared" si="101"/>
        <v>31002</v>
      </c>
      <c r="D1940" t="s">
        <v>262</v>
      </c>
      <c r="E1940" s="33" t="str">
        <f>"3686"</f>
        <v>3686</v>
      </c>
      <c r="F1940" t="s">
        <v>1214</v>
      </c>
      <c r="G1940" s="1"/>
      <c r="H1940" s="1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</row>
    <row r="1941" spans="1:22" x14ac:dyDescent="0.25">
      <c r="A1941" t="str">
        <f t="shared" si="100"/>
        <v>29801</v>
      </c>
      <c r="B1941" s="33">
        <v>189</v>
      </c>
      <c r="C1941" t="str">
        <f t="shared" si="101"/>
        <v>31002</v>
      </c>
      <c r="D1941" t="s">
        <v>262</v>
      </c>
      <c r="E1941" s="33" t="str">
        <f>"2364"</f>
        <v>2364</v>
      </c>
      <c r="F1941" t="s">
        <v>1312</v>
      </c>
      <c r="G1941" s="1"/>
      <c r="H1941" s="1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</row>
    <row r="1942" spans="1:22" x14ac:dyDescent="0.25">
      <c r="A1942" t="str">
        <f t="shared" si="100"/>
        <v>29801</v>
      </c>
      <c r="B1942" s="33">
        <v>189</v>
      </c>
      <c r="C1942" t="str">
        <f t="shared" si="101"/>
        <v>31002</v>
      </c>
      <c r="D1942" t="s">
        <v>262</v>
      </c>
      <c r="E1942" s="33" t="str">
        <f>"4530"</f>
        <v>4530</v>
      </c>
      <c r="F1942" t="s">
        <v>1433</v>
      </c>
      <c r="G1942" s="1"/>
      <c r="H1942" s="1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</row>
    <row r="1943" spans="1:22" x14ac:dyDescent="0.25">
      <c r="A1943" t="str">
        <f t="shared" si="100"/>
        <v>29801</v>
      </c>
      <c r="B1943" s="33">
        <v>189</v>
      </c>
      <c r="C1943" t="str">
        <f t="shared" si="101"/>
        <v>31002</v>
      </c>
      <c r="D1943" t="s">
        <v>262</v>
      </c>
      <c r="E1943" s="33" t="str">
        <f>"1907"</f>
        <v>1907</v>
      </c>
      <c r="F1943" t="s">
        <v>2005</v>
      </c>
      <c r="G1943" s="1"/>
      <c r="H1943" s="1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</row>
    <row r="1944" spans="1:22" x14ac:dyDescent="0.25">
      <c r="A1944" t="str">
        <f t="shared" si="100"/>
        <v>29801</v>
      </c>
      <c r="B1944" s="33">
        <v>189</v>
      </c>
      <c r="C1944" t="str">
        <f t="shared" si="101"/>
        <v>31002</v>
      </c>
      <c r="D1944" t="s">
        <v>262</v>
      </c>
      <c r="E1944" s="33" t="str">
        <f>"4137"</f>
        <v>4137</v>
      </c>
      <c r="F1944" t="s">
        <v>1622</v>
      </c>
      <c r="G1944" s="1"/>
      <c r="H1944" s="1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</row>
    <row r="1945" spans="1:22" x14ac:dyDescent="0.25">
      <c r="A1945" t="str">
        <f t="shared" si="100"/>
        <v>29801</v>
      </c>
      <c r="B1945" s="33">
        <v>189</v>
      </c>
      <c r="C1945" t="str">
        <f t="shared" si="101"/>
        <v>31002</v>
      </c>
      <c r="D1945" t="s">
        <v>262</v>
      </c>
      <c r="E1945" s="33" t="str">
        <f>"4298"</f>
        <v>4298</v>
      </c>
      <c r="F1945" t="s">
        <v>1654</v>
      </c>
      <c r="G1945" s="1"/>
      <c r="H1945" s="1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</row>
    <row r="1946" spans="1:22" x14ac:dyDescent="0.25">
      <c r="A1946" t="str">
        <f t="shared" si="100"/>
        <v>29801</v>
      </c>
      <c r="B1946" s="33">
        <v>189</v>
      </c>
      <c r="C1946" t="str">
        <f t="shared" si="101"/>
        <v>31002</v>
      </c>
      <c r="D1946" t="s">
        <v>262</v>
      </c>
      <c r="E1946" s="33" t="str">
        <f>"2545"</f>
        <v>2545</v>
      </c>
      <c r="F1946" t="s">
        <v>1655</v>
      </c>
      <c r="G1946" s="1"/>
      <c r="H1946" s="1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</row>
    <row r="1947" spans="1:22" x14ac:dyDescent="0.25">
      <c r="A1947" t="str">
        <f t="shared" si="100"/>
        <v>29801</v>
      </c>
      <c r="B1947" s="33">
        <v>189</v>
      </c>
      <c r="C1947" t="str">
        <f t="shared" si="101"/>
        <v>31002</v>
      </c>
      <c r="D1947" t="s">
        <v>262</v>
      </c>
      <c r="E1947" s="33">
        <v>5570</v>
      </c>
      <c r="F1947" t="s">
        <v>2401</v>
      </c>
      <c r="G1947" s="1"/>
      <c r="H1947" s="1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</row>
    <row r="1948" spans="1:22" x14ac:dyDescent="0.25">
      <c r="A1948" t="str">
        <f t="shared" si="100"/>
        <v>29801</v>
      </c>
      <c r="B1948" s="33">
        <v>189</v>
      </c>
      <c r="C1948" t="str">
        <f t="shared" si="101"/>
        <v>31002</v>
      </c>
      <c r="D1948" t="s">
        <v>262</v>
      </c>
      <c r="E1948" s="33" t="str">
        <f>"3002"</f>
        <v>3002</v>
      </c>
      <c r="F1948" t="s">
        <v>1856</v>
      </c>
      <c r="G1948" s="1"/>
      <c r="H1948" s="1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</row>
    <row r="1949" spans="1:22" x14ac:dyDescent="0.25">
      <c r="A1949" t="str">
        <f t="shared" si="100"/>
        <v>29801</v>
      </c>
      <c r="B1949" s="33">
        <v>189</v>
      </c>
      <c r="C1949" t="str">
        <f t="shared" si="101"/>
        <v>31002</v>
      </c>
      <c r="D1949" t="s">
        <v>262</v>
      </c>
      <c r="E1949" s="33" t="str">
        <f>"2752"</f>
        <v>2752</v>
      </c>
      <c r="F1949" t="s">
        <v>1940</v>
      </c>
      <c r="G1949" s="1"/>
      <c r="H1949" s="1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</row>
    <row r="1950" spans="1:22" x14ac:dyDescent="0.25">
      <c r="A1950" t="str">
        <f t="shared" si="100"/>
        <v>29801</v>
      </c>
      <c r="B1950" s="33">
        <v>189</v>
      </c>
      <c r="C1950" t="str">
        <f t="shared" si="101"/>
        <v>31002</v>
      </c>
      <c r="D1950" t="s">
        <v>262</v>
      </c>
      <c r="E1950" s="33" t="str">
        <f>"4125"</f>
        <v>4125</v>
      </c>
      <c r="F1950" t="s">
        <v>1975</v>
      </c>
      <c r="G1950" s="1"/>
      <c r="H1950" s="1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</row>
    <row r="1951" spans="1:22" x14ac:dyDescent="0.25">
      <c r="A1951" t="str">
        <f t="shared" si="100"/>
        <v>29801</v>
      </c>
      <c r="B1951" s="34">
        <v>189</v>
      </c>
      <c r="C1951" s="31" t="str">
        <f t="shared" ref="C1951:C1959" si="102">"37502"</f>
        <v>37502</v>
      </c>
      <c r="D1951" s="31" t="s">
        <v>120</v>
      </c>
      <c r="E1951" s="34" t="str">
        <f>"2263"</f>
        <v>2263</v>
      </c>
      <c r="F1951" s="31" t="s">
        <v>121</v>
      </c>
      <c r="G1951" s="1"/>
      <c r="H1951" s="1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</row>
    <row r="1952" spans="1:22" x14ac:dyDescent="0.25">
      <c r="A1952" t="str">
        <f t="shared" si="100"/>
        <v>29801</v>
      </c>
      <c r="B1952" s="34">
        <v>189</v>
      </c>
      <c r="C1952" s="31" t="str">
        <f t="shared" si="102"/>
        <v>37502</v>
      </c>
      <c r="D1952" s="31" t="s">
        <v>120</v>
      </c>
      <c r="E1952" s="34" t="str">
        <f>"5207"</f>
        <v>5207</v>
      </c>
      <c r="F1952" s="31" t="s">
        <v>273</v>
      </c>
      <c r="G1952" s="1"/>
      <c r="H1952" s="1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</row>
    <row r="1953" spans="1:22" x14ac:dyDescent="0.25">
      <c r="A1953" t="str">
        <f t="shared" si="100"/>
        <v>29801</v>
      </c>
      <c r="B1953" s="34">
        <v>189</v>
      </c>
      <c r="C1953" s="31" t="str">
        <f t="shared" si="102"/>
        <v>37502</v>
      </c>
      <c r="D1953" s="31" t="s">
        <v>120</v>
      </c>
      <c r="E1953" s="34" t="str">
        <f>"2458"</f>
        <v>2458</v>
      </c>
      <c r="F1953" s="31" t="s">
        <v>308</v>
      </c>
      <c r="G1953" s="1"/>
      <c r="H1953" s="1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</row>
    <row r="1954" spans="1:22" x14ac:dyDescent="0.25">
      <c r="A1954" t="str">
        <f t="shared" si="100"/>
        <v>29801</v>
      </c>
      <c r="B1954" s="34">
        <v>189</v>
      </c>
      <c r="C1954" s="31" t="str">
        <f t="shared" si="102"/>
        <v>37502</v>
      </c>
      <c r="D1954" s="31" t="s">
        <v>120</v>
      </c>
      <c r="E1954" s="34" t="str">
        <f>"2607"</f>
        <v>2607</v>
      </c>
      <c r="F1954" s="31" t="s">
        <v>463</v>
      </c>
      <c r="G1954" s="1"/>
      <c r="H1954" s="1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</row>
    <row r="1955" spans="1:22" x14ac:dyDescent="0.25">
      <c r="A1955" t="str">
        <f t="shared" si="100"/>
        <v>29801</v>
      </c>
      <c r="B1955" s="34">
        <v>189</v>
      </c>
      <c r="C1955" s="31" t="str">
        <f t="shared" si="102"/>
        <v>37502</v>
      </c>
      <c r="D1955" s="31" t="s">
        <v>120</v>
      </c>
      <c r="E1955" s="34" t="str">
        <f>"4482"</f>
        <v>4482</v>
      </c>
      <c r="F1955" s="31" t="s">
        <v>526</v>
      </c>
      <c r="G1955" s="1"/>
      <c r="H1955" s="1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</row>
    <row r="1956" spans="1:22" x14ac:dyDescent="0.25">
      <c r="A1956" t="str">
        <f t="shared" si="100"/>
        <v>29801</v>
      </c>
      <c r="B1956" s="34">
        <v>189</v>
      </c>
      <c r="C1956" s="31" t="str">
        <f t="shared" si="102"/>
        <v>37502</v>
      </c>
      <c r="D1956" s="31" t="s">
        <v>120</v>
      </c>
      <c r="E1956" s="34" t="str">
        <f>"2488"</f>
        <v>2488</v>
      </c>
      <c r="F1956" s="31" t="s">
        <v>624</v>
      </c>
      <c r="G1956" s="1"/>
      <c r="H1956" s="1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</row>
    <row r="1957" spans="1:22" x14ac:dyDescent="0.25">
      <c r="A1957" t="str">
        <f t="shared" si="100"/>
        <v>29801</v>
      </c>
      <c r="B1957" s="34">
        <v>189</v>
      </c>
      <c r="C1957" s="31" t="str">
        <f t="shared" si="102"/>
        <v>37502</v>
      </c>
      <c r="D1957" s="31" t="s">
        <v>120</v>
      </c>
      <c r="E1957" s="34" t="str">
        <f>"4554"</f>
        <v>4554</v>
      </c>
      <c r="F1957" s="31" t="s">
        <v>846</v>
      </c>
      <c r="G1957" s="1"/>
      <c r="H1957" s="1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</row>
    <row r="1958" spans="1:22" x14ac:dyDescent="0.25">
      <c r="A1958" t="str">
        <f t="shared" si="100"/>
        <v>29801</v>
      </c>
      <c r="B1958" s="34">
        <v>189</v>
      </c>
      <c r="C1958" s="31" t="str">
        <f t="shared" si="102"/>
        <v>37502</v>
      </c>
      <c r="D1958" s="31" t="s">
        <v>120</v>
      </c>
      <c r="E1958" s="34" t="str">
        <f>"4130"</f>
        <v>4130</v>
      </c>
      <c r="F1958" s="31" t="s">
        <v>1668</v>
      </c>
      <c r="G1958" s="1"/>
      <c r="H1958" s="1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</row>
    <row r="1959" spans="1:22" x14ac:dyDescent="0.25">
      <c r="A1959" t="str">
        <f t="shared" ref="A1959:A2022" si="103">"29801"</f>
        <v>29801</v>
      </c>
      <c r="B1959" s="34">
        <v>189</v>
      </c>
      <c r="C1959" s="31" t="str">
        <f t="shared" si="102"/>
        <v>37502</v>
      </c>
      <c r="D1959" s="31" t="s">
        <v>120</v>
      </c>
      <c r="E1959" s="34" t="str">
        <f>"3762"</f>
        <v>3762</v>
      </c>
      <c r="F1959" s="31" t="s">
        <v>1863</v>
      </c>
      <c r="G1959" s="1"/>
      <c r="H1959" s="1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</row>
    <row r="1960" spans="1:22" x14ac:dyDescent="0.25">
      <c r="A1960" t="str">
        <f t="shared" si="103"/>
        <v>29801</v>
      </c>
      <c r="B1960" s="34">
        <v>189</v>
      </c>
      <c r="C1960" s="35">
        <v>31332</v>
      </c>
      <c r="D1960" s="31" t="s">
        <v>454</v>
      </c>
      <c r="E1960" s="36">
        <v>5171</v>
      </c>
      <c r="F1960" s="31" t="s">
        <v>455</v>
      </c>
      <c r="G1960" s="1"/>
      <c r="H1960" s="1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</row>
    <row r="1961" spans="1:22" x14ac:dyDescent="0.25">
      <c r="A1961" t="str">
        <f t="shared" si="103"/>
        <v>29801</v>
      </c>
      <c r="B1961" s="34">
        <v>189</v>
      </c>
      <c r="C1961" s="35">
        <v>31332</v>
      </c>
      <c r="D1961" s="31" t="s">
        <v>454</v>
      </c>
      <c r="E1961" s="36">
        <v>2580</v>
      </c>
      <c r="F1961" s="31" t="s">
        <v>736</v>
      </c>
      <c r="G1961" s="1"/>
      <c r="H1961" s="1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</row>
    <row r="1962" spans="1:22" x14ac:dyDescent="0.25">
      <c r="A1962" t="str">
        <f t="shared" si="103"/>
        <v>29801</v>
      </c>
      <c r="B1962" s="34">
        <v>189</v>
      </c>
      <c r="C1962" s="35">
        <v>31332</v>
      </c>
      <c r="D1962" s="31" t="s">
        <v>454</v>
      </c>
      <c r="E1962" s="36">
        <v>4113</v>
      </c>
      <c r="F1962" s="31" t="s">
        <v>737</v>
      </c>
      <c r="G1962" s="1"/>
      <c r="H1962" s="1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</row>
    <row r="1963" spans="1:22" x14ac:dyDescent="0.25">
      <c r="A1963" t="str">
        <f t="shared" si="103"/>
        <v>29801</v>
      </c>
      <c r="B1963" s="34">
        <v>189</v>
      </c>
      <c r="C1963" s="35">
        <v>31332</v>
      </c>
      <c r="D1963" s="31" t="s">
        <v>454</v>
      </c>
      <c r="E1963" s="36">
        <v>5349</v>
      </c>
      <c r="F1963" s="2" t="s">
        <v>2402</v>
      </c>
      <c r="G1963" s="1"/>
      <c r="H1963" s="1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</row>
    <row r="1964" spans="1:22" x14ac:dyDescent="0.25">
      <c r="A1964" t="str">
        <f t="shared" si="103"/>
        <v>29801</v>
      </c>
      <c r="B1964" s="34">
        <v>189</v>
      </c>
      <c r="C1964" s="35">
        <v>31332</v>
      </c>
      <c r="D1964" s="31" t="s">
        <v>454</v>
      </c>
      <c r="E1964" s="36">
        <v>4479</v>
      </c>
      <c r="F1964" s="31" t="s">
        <v>1216</v>
      </c>
      <c r="G1964" s="1"/>
      <c r="H1964" s="1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</row>
    <row r="1965" spans="1:22" x14ac:dyDescent="0.25">
      <c r="A1965" t="str">
        <f t="shared" si="103"/>
        <v>29801</v>
      </c>
      <c r="B1965" s="34">
        <v>189</v>
      </c>
      <c r="C1965" s="35">
        <v>31332</v>
      </c>
      <c r="D1965" s="31" t="s">
        <v>454</v>
      </c>
      <c r="E1965" s="36">
        <v>4330</v>
      </c>
      <c r="F1965" s="31" t="s">
        <v>1250</v>
      </c>
      <c r="G1965" s="1"/>
      <c r="H1965" s="1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</row>
    <row r="1966" spans="1:22" x14ac:dyDescent="0.25">
      <c r="A1966" t="str">
        <f t="shared" si="103"/>
        <v>29801</v>
      </c>
      <c r="B1966" s="33">
        <v>189</v>
      </c>
      <c r="C1966" s="35">
        <v>31063</v>
      </c>
      <c r="D1966" t="s">
        <v>2403</v>
      </c>
      <c r="E1966" s="36">
        <v>2948</v>
      </c>
      <c r="F1966" t="s">
        <v>2404</v>
      </c>
      <c r="G1966" s="1"/>
      <c r="H1966" s="1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</row>
    <row r="1967" spans="1:22" x14ac:dyDescent="0.25">
      <c r="A1967" t="str">
        <f t="shared" si="103"/>
        <v>29801</v>
      </c>
      <c r="B1967" s="34">
        <v>189</v>
      </c>
      <c r="C1967" s="35">
        <v>29311</v>
      </c>
      <c r="D1967" s="31" t="s">
        <v>974</v>
      </c>
      <c r="E1967" s="36">
        <v>2522</v>
      </c>
      <c r="F1967" s="31" t="s">
        <v>975</v>
      </c>
      <c r="G1967" s="1"/>
      <c r="H1967" s="1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</row>
    <row r="1968" spans="1:22" x14ac:dyDescent="0.25">
      <c r="A1968" t="str">
        <f t="shared" si="103"/>
        <v>29801</v>
      </c>
      <c r="B1968" s="34">
        <v>189</v>
      </c>
      <c r="C1968" s="35">
        <v>29311</v>
      </c>
      <c r="D1968" s="31" t="s">
        <v>974</v>
      </c>
      <c r="E1968" s="36">
        <v>2276</v>
      </c>
      <c r="F1968" s="31" t="s">
        <v>976</v>
      </c>
      <c r="G1968" s="1"/>
      <c r="H1968" s="1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</row>
    <row r="1969" spans="1:22" x14ac:dyDescent="0.25">
      <c r="A1969" t="str">
        <f t="shared" si="103"/>
        <v>29801</v>
      </c>
      <c r="B1969" s="34">
        <v>189</v>
      </c>
      <c r="C1969" s="35">
        <v>29311</v>
      </c>
      <c r="D1969" s="31" t="s">
        <v>974</v>
      </c>
      <c r="E1969" s="36">
        <v>3900</v>
      </c>
      <c r="F1969" s="31" t="s">
        <v>977</v>
      </c>
      <c r="G1969" s="1"/>
      <c r="H1969" s="1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</row>
    <row r="1970" spans="1:22" x14ac:dyDescent="0.25">
      <c r="A1970" t="str">
        <f t="shared" si="103"/>
        <v>29801</v>
      </c>
      <c r="B1970" s="34">
        <v>189</v>
      </c>
      <c r="C1970" s="31" t="str">
        <f t="shared" ref="C1970:C1981" si="104">"31004"</f>
        <v>31004</v>
      </c>
      <c r="D1970" s="31" t="s">
        <v>285</v>
      </c>
      <c r="E1970" s="34" t="str">
        <f>"5099"</f>
        <v>5099</v>
      </c>
      <c r="F1970" s="31" t="s">
        <v>286</v>
      </c>
      <c r="G1970" s="1"/>
      <c r="H1970" s="1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</row>
    <row r="1971" spans="1:22" x14ac:dyDescent="0.25">
      <c r="A1971" t="str">
        <f t="shared" si="103"/>
        <v>29801</v>
      </c>
      <c r="B1971" s="34">
        <v>189</v>
      </c>
      <c r="C1971" s="31" t="str">
        <f t="shared" si="104"/>
        <v>31004</v>
      </c>
      <c r="D1971" s="31" t="s">
        <v>285</v>
      </c>
      <c r="E1971" s="34" t="str">
        <f>"4391"</f>
        <v>4391</v>
      </c>
      <c r="F1971" s="31" t="s">
        <v>714</v>
      </c>
      <c r="G1971" s="1"/>
      <c r="H1971" s="1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</row>
    <row r="1972" spans="1:22" x14ac:dyDescent="0.25">
      <c r="A1972" t="str">
        <f t="shared" si="103"/>
        <v>29801</v>
      </c>
      <c r="B1972" s="34">
        <v>189</v>
      </c>
      <c r="C1972" s="31" t="str">
        <f t="shared" si="104"/>
        <v>31004</v>
      </c>
      <c r="D1972" s="31" t="s">
        <v>285</v>
      </c>
      <c r="E1972" s="34" t="str">
        <f>"4534"</f>
        <v>4534</v>
      </c>
      <c r="F1972" s="31" t="s">
        <v>806</v>
      </c>
      <c r="G1972" s="1"/>
      <c r="H1972" s="1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</row>
    <row r="1973" spans="1:22" x14ac:dyDescent="0.25">
      <c r="A1973" t="str">
        <f t="shared" si="103"/>
        <v>29801</v>
      </c>
      <c r="B1973" s="34">
        <v>189</v>
      </c>
      <c r="C1973" s="31" t="str">
        <f t="shared" si="104"/>
        <v>31004</v>
      </c>
      <c r="D1973" s="31" t="s">
        <v>285</v>
      </c>
      <c r="E1973" s="34" t="str">
        <f>"2885"</f>
        <v>2885</v>
      </c>
      <c r="F1973" s="31" t="s">
        <v>819</v>
      </c>
      <c r="G1973" s="1"/>
      <c r="H1973" s="1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</row>
    <row r="1974" spans="1:22" x14ac:dyDescent="0.25">
      <c r="A1974" t="str">
        <f t="shared" si="103"/>
        <v>29801</v>
      </c>
      <c r="B1974" s="34">
        <v>189</v>
      </c>
      <c r="C1974" s="31" t="str">
        <f t="shared" si="104"/>
        <v>31004</v>
      </c>
      <c r="D1974" s="31" t="s">
        <v>285</v>
      </c>
      <c r="E1974" s="34" t="str">
        <f>"1753"</f>
        <v>1753</v>
      </c>
      <c r="F1974" s="31" t="s">
        <v>836</v>
      </c>
      <c r="G1974" s="1"/>
      <c r="H1974" s="1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</row>
    <row r="1975" spans="1:22" x14ac:dyDescent="0.25">
      <c r="A1975" t="str">
        <f t="shared" si="103"/>
        <v>29801</v>
      </c>
      <c r="B1975" s="34">
        <v>189</v>
      </c>
      <c r="C1975" s="31" t="str">
        <f t="shared" si="104"/>
        <v>31004</v>
      </c>
      <c r="D1975" s="31" t="s">
        <v>285</v>
      </c>
      <c r="E1975" s="34" t="str">
        <f>"3408"</f>
        <v>3408</v>
      </c>
      <c r="F1975" s="31" t="s">
        <v>995</v>
      </c>
      <c r="G1975" s="1"/>
      <c r="H1975" s="1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</row>
    <row r="1976" spans="1:22" x14ac:dyDescent="0.25">
      <c r="A1976" t="str">
        <f t="shared" si="103"/>
        <v>29801</v>
      </c>
      <c r="B1976" s="34">
        <v>189</v>
      </c>
      <c r="C1976" s="31" t="str">
        <f t="shared" si="104"/>
        <v>31004</v>
      </c>
      <c r="D1976" s="31" t="s">
        <v>285</v>
      </c>
      <c r="E1976" s="34" t="str">
        <f>"2426"</f>
        <v>2426</v>
      </c>
      <c r="F1976" s="31" t="s">
        <v>996</v>
      </c>
      <c r="G1976" s="1"/>
      <c r="H1976" s="1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</row>
    <row r="1977" spans="1:22" x14ac:dyDescent="0.25">
      <c r="A1977" t="str">
        <f t="shared" si="103"/>
        <v>29801</v>
      </c>
      <c r="B1977" s="34">
        <v>189</v>
      </c>
      <c r="C1977" s="31" t="str">
        <f t="shared" si="104"/>
        <v>31004</v>
      </c>
      <c r="D1977" s="31" t="s">
        <v>285</v>
      </c>
      <c r="E1977" s="34" t="str">
        <f>"2884"</f>
        <v>2884</v>
      </c>
      <c r="F1977" s="31" t="s">
        <v>1260</v>
      </c>
      <c r="G1977" s="1"/>
      <c r="H1977" s="1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</row>
    <row r="1978" spans="1:22" x14ac:dyDescent="0.25">
      <c r="A1978" t="str">
        <f t="shared" si="103"/>
        <v>29801</v>
      </c>
      <c r="B1978" s="34">
        <v>189</v>
      </c>
      <c r="C1978" s="31" t="str">
        <f t="shared" si="104"/>
        <v>31004</v>
      </c>
      <c r="D1978" s="31" t="s">
        <v>285</v>
      </c>
      <c r="E1978" s="34" t="str">
        <f>"4139"</f>
        <v>4139</v>
      </c>
      <c r="F1978" s="31" t="s">
        <v>1310</v>
      </c>
      <c r="G1978" s="1"/>
      <c r="H1978" s="1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</row>
    <row r="1979" spans="1:22" x14ac:dyDescent="0.25">
      <c r="A1979" t="str">
        <f t="shared" si="103"/>
        <v>29801</v>
      </c>
      <c r="B1979" s="34">
        <v>189</v>
      </c>
      <c r="C1979" s="31" t="str">
        <f t="shared" si="104"/>
        <v>31004</v>
      </c>
      <c r="D1979" s="31" t="s">
        <v>285</v>
      </c>
      <c r="E1979" s="34" t="str">
        <f>"4392"</f>
        <v>4392</v>
      </c>
      <c r="F1979" s="31" t="s">
        <v>1667</v>
      </c>
      <c r="G1979" s="1"/>
      <c r="H1979" s="1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</row>
    <row r="1980" spans="1:22" x14ac:dyDescent="0.25">
      <c r="A1980" t="str">
        <f t="shared" si="103"/>
        <v>29801</v>
      </c>
      <c r="B1980" s="34">
        <v>189</v>
      </c>
      <c r="C1980" s="31" t="str">
        <f t="shared" si="104"/>
        <v>31004</v>
      </c>
      <c r="D1980" s="31" t="s">
        <v>285</v>
      </c>
      <c r="E1980" s="34">
        <v>5477</v>
      </c>
      <c r="F1980" s="31" t="s">
        <v>2106</v>
      </c>
      <c r="G1980" s="1"/>
      <c r="H1980" s="1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</row>
    <row r="1981" spans="1:22" x14ac:dyDescent="0.25">
      <c r="A1981" t="str">
        <f t="shared" si="103"/>
        <v>29801</v>
      </c>
      <c r="B1981" s="34">
        <v>189</v>
      </c>
      <c r="C1981" s="31" t="str">
        <f t="shared" si="104"/>
        <v>31004</v>
      </c>
      <c r="D1981" s="31" t="s">
        <v>285</v>
      </c>
      <c r="E1981" s="34" t="str">
        <f>"3753"</f>
        <v>3753</v>
      </c>
      <c r="F1981" s="31" t="s">
        <v>1751</v>
      </c>
      <c r="G1981" s="1"/>
      <c r="H1981" s="1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</row>
    <row r="1982" spans="1:22" x14ac:dyDescent="0.25">
      <c r="A1982" t="str">
        <f t="shared" si="103"/>
        <v>29801</v>
      </c>
      <c r="B1982" s="33">
        <v>189</v>
      </c>
      <c r="C1982" s="35">
        <v>31306</v>
      </c>
      <c r="D1982" t="s">
        <v>430</v>
      </c>
      <c r="E1982" s="36">
        <v>4576</v>
      </c>
      <c r="F1982" t="s">
        <v>431</v>
      </c>
      <c r="G1982" s="1"/>
      <c r="H1982" s="1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</row>
    <row r="1983" spans="1:22" x14ac:dyDescent="0.25">
      <c r="A1983" t="str">
        <f t="shared" si="103"/>
        <v>29801</v>
      </c>
      <c r="B1983" s="33">
        <v>189</v>
      </c>
      <c r="C1983" s="35">
        <v>31306</v>
      </c>
      <c r="D1983" t="s">
        <v>430</v>
      </c>
      <c r="E1983" s="36">
        <v>4477</v>
      </c>
      <c r="F1983" t="s">
        <v>588</v>
      </c>
      <c r="G1983" s="1"/>
      <c r="H1983" s="1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</row>
    <row r="1984" spans="1:22" x14ac:dyDescent="0.25">
      <c r="A1984" t="str">
        <f t="shared" si="103"/>
        <v>29801</v>
      </c>
      <c r="B1984" s="33">
        <v>189</v>
      </c>
      <c r="C1984" s="35">
        <v>31306</v>
      </c>
      <c r="D1984" t="s">
        <v>430</v>
      </c>
      <c r="E1984" s="36">
        <v>3255</v>
      </c>
      <c r="F1984" t="s">
        <v>1014</v>
      </c>
      <c r="G1984" s="1"/>
      <c r="H1984" s="1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</row>
    <row r="1985" spans="1:22" x14ac:dyDescent="0.25">
      <c r="A1985" t="str">
        <f t="shared" si="103"/>
        <v>29801</v>
      </c>
      <c r="B1985" s="33">
        <v>189</v>
      </c>
      <c r="C1985" s="35">
        <v>31306</v>
      </c>
      <c r="D1985" t="s">
        <v>430</v>
      </c>
      <c r="E1985" s="36">
        <v>4204</v>
      </c>
      <c r="F1985" t="s">
        <v>1015</v>
      </c>
      <c r="G1985" s="1"/>
      <c r="H1985" s="1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</row>
    <row r="1986" spans="1:22" x14ac:dyDescent="0.25">
      <c r="A1986" t="str">
        <f t="shared" si="103"/>
        <v>29801</v>
      </c>
      <c r="B1986" s="33">
        <v>189</v>
      </c>
      <c r="C1986" s="35">
        <v>31306</v>
      </c>
      <c r="D1986" t="s">
        <v>430</v>
      </c>
      <c r="E1986" s="36">
        <v>3893</v>
      </c>
      <c r="F1986" t="s">
        <v>1016</v>
      </c>
      <c r="G1986" s="1"/>
      <c r="H1986" s="1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</row>
    <row r="1987" spans="1:22" x14ac:dyDescent="0.25">
      <c r="A1987" t="str">
        <f t="shared" si="103"/>
        <v>29801</v>
      </c>
      <c r="B1987" s="33">
        <v>189</v>
      </c>
      <c r="C1987" s="35">
        <v>28144</v>
      </c>
      <c r="D1987" t="s">
        <v>485</v>
      </c>
      <c r="E1987" s="36">
        <v>4178</v>
      </c>
      <c r="F1987" t="s">
        <v>486</v>
      </c>
      <c r="G1987" s="1"/>
      <c r="H1987" s="1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</row>
    <row r="1988" spans="1:22" x14ac:dyDescent="0.25">
      <c r="A1988" t="str">
        <f t="shared" si="103"/>
        <v>29801</v>
      </c>
      <c r="B1988" s="33">
        <v>189</v>
      </c>
      <c r="C1988" s="35">
        <v>28144</v>
      </c>
      <c r="D1988" t="s">
        <v>485</v>
      </c>
      <c r="E1988" s="36">
        <v>4107</v>
      </c>
      <c r="F1988" t="s">
        <v>1081</v>
      </c>
      <c r="G1988" s="1"/>
      <c r="H1988" s="1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</row>
    <row r="1989" spans="1:22" x14ac:dyDescent="0.25">
      <c r="A1989" t="str">
        <f t="shared" si="103"/>
        <v>29801</v>
      </c>
      <c r="B1989" s="33">
        <v>189</v>
      </c>
      <c r="C1989" s="35">
        <v>28144</v>
      </c>
      <c r="D1989" t="s">
        <v>485</v>
      </c>
      <c r="E1989" s="36">
        <v>2632</v>
      </c>
      <c r="F1989" t="s">
        <v>1082</v>
      </c>
      <c r="G1989" s="1"/>
      <c r="H1989" s="1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</row>
    <row r="1990" spans="1:22" x14ac:dyDescent="0.25">
      <c r="A1990" t="str">
        <f t="shared" si="103"/>
        <v>29801</v>
      </c>
      <c r="B1990" s="33">
        <v>189</v>
      </c>
      <c r="C1990" t="str">
        <f>"37903"</f>
        <v>37903</v>
      </c>
      <c r="D1990" t="s">
        <v>2405</v>
      </c>
      <c r="E1990" s="33" t="str">
        <f>"5373"</f>
        <v>5373</v>
      </c>
      <c r="F1990" t="s">
        <v>2406</v>
      </c>
      <c r="G1990" s="1"/>
      <c r="H1990" s="1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</row>
    <row r="1991" spans="1:22" x14ac:dyDescent="0.25">
      <c r="A1991" t="str">
        <f t="shared" si="103"/>
        <v>29801</v>
      </c>
      <c r="B1991" s="34">
        <v>189</v>
      </c>
      <c r="C1991" s="35">
        <v>37504</v>
      </c>
      <c r="D1991" s="31" t="s">
        <v>640</v>
      </c>
      <c r="E1991" s="36">
        <v>3417</v>
      </c>
      <c r="F1991" s="31" t="s">
        <v>641</v>
      </c>
      <c r="G1991" s="1"/>
      <c r="H1991" s="1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</row>
    <row r="1992" spans="1:22" x14ac:dyDescent="0.25">
      <c r="A1992" t="str">
        <f t="shared" si="103"/>
        <v>29801</v>
      </c>
      <c r="B1992" s="34">
        <v>189</v>
      </c>
      <c r="C1992" s="35">
        <v>37504</v>
      </c>
      <c r="D1992" s="31" t="s">
        <v>640</v>
      </c>
      <c r="E1992" s="36">
        <v>4324</v>
      </c>
      <c r="F1992" s="31" t="s">
        <v>881</v>
      </c>
      <c r="G1992" s="1"/>
      <c r="H1992" s="1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</row>
    <row r="1993" spans="1:22" x14ac:dyDescent="0.25">
      <c r="A1993" t="str">
        <f t="shared" si="103"/>
        <v>29801</v>
      </c>
      <c r="B1993" s="34">
        <v>189</v>
      </c>
      <c r="C1993" s="35">
        <v>37504</v>
      </c>
      <c r="D1993" s="31" t="s">
        <v>640</v>
      </c>
      <c r="E1993" s="36">
        <v>1983</v>
      </c>
      <c r="F1993" s="31" t="s">
        <v>1093</v>
      </c>
      <c r="G1993" s="1"/>
      <c r="H1993" s="1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</row>
    <row r="1994" spans="1:22" x14ac:dyDescent="0.25">
      <c r="A1994" t="str">
        <f t="shared" si="103"/>
        <v>29801</v>
      </c>
      <c r="B1994" s="34">
        <v>189</v>
      </c>
      <c r="C1994" s="35">
        <v>37504</v>
      </c>
      <c r="D1994" s="31" t="s">
        <v>640</v>
      </c>
      <c r="E1994" s="36">
        <v>4201</v>
      </c>
      <c r="F1994" s="31" t="s">
        <v>1094</v>
      </c>
      <c r="G1994" s="1"/>
      <c r="H1994" s="1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</row>
    <row r="1995" spans="1:22" x14ac:dyDescent="0.25">
      <c r="A1995" t="str">
        <f t="shared" si="103"/>
        <v>29801</v>
      </c>
      <c r="B1995" s="34">
        <v>189</v>
      </c>
      <c r="C1995" s="35">
        <v>37504</v>
      </c>
      <c r="D1995" s="31" t="s">
        <v>640</v>
      </c>
      <c r="E1995" s="36">
        <v>2219</v>
      </c>
      <c r="F1995" s="31" t="s">
        <v>1095</v>
      </c>
      <c r="G1995" s="1"/>
      <c r="H1995" s="1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</row>
    <row r="1996" spans="1:22" x14ac:dyDescent="0.25">
      <c r="A1996" t="str">
        <f t="shared" si="103"/>
        <v>29801</v>
      </c>
      <c r="B1996" s="34">
        <v>189</v>
      </c>
      <c r="C1996" s="35">
        <v>37504</v>
      </c>
      <c r="D1996" s="31" t="s">
        <v>640</v>
      </c>
      <c r="E1996" s="36">
        <v>4517</v>
      </c>
      <c r="F1996" s="31" t="s">
        <v>1864</v>
      </c>
      <c r="G1996" s="1"/>
      <c r="H1996" s="1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</row>
    <row r="1997" spans="1:22" x14ac:dyDescent="0.25">
      <c r="A1997" t="str">
        <f t="shared" si="103"/>
        <v>29801</v>
      </c>
      <c r="B1997" s="34">
        <v>189</v>
      </c>
      <c r="C1997" s="31" t="str">
        <f t="shared" ref="C1997:C2015" si="105">"31025"</f>
        <v>31025</v>
      </c>
      <c r="D1997" s="31" t="s">
        <v>3</v>
      </c>
      <c r="E1997" s="34" t="str">
        <f>"1656"</f>
        <v>1656</v>
      </c>
      <c r="F1997" s="31" t="s">
        <v>4</v>
      </c>
      <c r="G1997" s="1"/>
      <c r="H1997" s="1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</row>
    <row r="1998" spans="1:22" x14ac:dyDescent="0.25">
      <c r="A1998" t="str">
        <f t="shared" si="103"/>
        <v>29801</v>
      </c>
      <c r="B1998" s="34">
        <v>189</v>
      </c>
      <c r="C1998" s="31" t="str">
        <f t="shared" si="105"/>
        <v>31025</v>
      </c>
      <c r="D1998" s="31" t="s">
        <v>3</v>
      </c>
      <c r="E1998" s="34" t="str">
        <f>"4454"</f>
        <v>4454</v>
      </c>
      <c r="F1998" s="31" t="s">
        <v>44</v>
      </c>
      <c r="G1998" s="1"/>
      <c r="H1998" s="1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</row>
    <row r="1999" spans="1:22" x14ac:dyDescent="0.25">
      <c r="A1999" t="str">
        <f t="shared" si="103"/>
        <v>29801</v>
      </c>
      <c r="B1999" s="34">
        <v>189</v>
      </c>
      <c r="C1999" s="31" t="str">
        <f t="shared" si="105"/>
        <v>31025</v>
      </c>
      <c r="D1999" s="31" t="s">
        <v>3</v>
      </c>
      <c r="E1999" s="34" t="str">
        <f>"3059"</f>
        <v>3059</v>
      </c>
      <c r="F1999" s="31" t="s">
        <v>259</v>
      </c>
      <c r="G1999" s="1"/>
      <c r="H1999" s="1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</row>
    <row r="2000" spans="1:22" x14ac:dyDescent="0.25">
      <c r="A2000" t="str">
        <f t="shared" si="103"/>
        <v>29801</v>
      </c>
      <c r="B2000" s="34">
        <v>189</v>
      </c>
      <c r="C2000" s="31" t="str">
        <f t="shared" si="105"/>
        <v>31025</v>
      </c>
      <c r="D2000" s="31" t="s">
        <v>3</v>
      </c>
      <c r="E2000" s="34" t="str">
        <f>"4357"</f>
        <v>4357</v>
      </c>
      <c r="F2000" s="31" t="s">
        <v>297</v>
      </c>
      <c r="G2000" s="1"/>
      <c r="H2000" s="1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</row>
    <row r="2001" spans="1:22" x14ac:dyDescent="0.25">
      <c r="A2001" t="str">
        <f t="shared" si="103"/>
        <v>29801</v>
      </c>
      <c r="B2001" s="34">
        <v>189</v>
      </c>
      <c r="C2001" s="31" t="str">
        <f t="shared" si="105"/>
        <v>31025</v>
      </c>
      <c r="D2001" s="31" t="s">
        <v>3</v>
      </c>
      <c r="E2001" s="34" t="str">
        <f>"5123"</f>
        <v>5123</v>
      </c>
      <c r="F2001" s="31" t="s">
        <v>759</v>
      </c>
      <c r="G2001" s="1"/>
      <c r="H2001" s="1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</row>
    <row r="2002" spans="1:22" x14ac:dyDescent="0.25">
      <c r="A2002" t="str">
        <f t="shared" si="103"/>
        <v>29801</v>
      </c>
      <c r="B2002" s="34">
        <v>189</v>
      </c>
      <c r="C2002" s="31" t="str">
        <f t="shared" si="105"/>
        <v>31025</v>
      </c>
      <c r="D2002" s="31" t="s">
        <v>3</v>
      </c>
      <c r="E2002" s="34" t="str">
        <f>"1657"</f>
        <v>1657</v>
      </c>
      <c r="F2002" s="31" t="s">
        <v>802</v>
      </c>
      <c r="G2002" s="1"/>
      <c r="H2002" s="1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</row>
    <row r="2003" spans="1:22" x14ac:dyDescent="0.25">
      <c r="A2003" t="str">
        <f t="shared" si="103"/>
        <v>29801</v>
      </c>
      <c r="B2003" s="34">
        <v>189</v>
      </c>
      <c r="C2003" s="31" t="str">
        <f t="shared" si="105"/>
        <v>31025</v>
      </c>
      <c r="D2003" s="31" t="s">
        <v>3</v>
      </c>
      <c r="E2003" s="34" t="str">
        <f>"4323"</f>
        <v>4323</v>
      </c>
      <c r="F2003" s="31" t="s">
        <v>925</v>
      </c>
      <c r="G2003" s="1"/>
      <c r="H2003" s="1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</row>
    <row r="2004" spans="1:22" x14ac:dyDescent="0.25">
      <c r="A2004" t="str">
        <f t="shared" si="103"/>
        <v>29801</v>
      </c>
      <c r="B2004" s="34">
        <v>189</v>
      </c>
      <c r="C2004" s="31" t="str">
        <f t="shared" si="105"/>
        <v>31025</v>
      </c>
      <c r="D2004" s="31" t="s">
        <v>3</v>
      </c>
      <c r="E2004" s="36">
        <v>1927</v>
      </c>
      <c r="F2004" s="31" t="s">
        <v>1026</v>
      </c>
      <c r="G2004" s="1"/>
      <c r="H2004" s="1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</row>
    <row r="2005" spans="1:22" x14ac:dyDescent="0.25">
      <c r="A2005" t="str">
        <f t="shared" si="103"/>
        <v>29801</v>
      </c>
      <c r="B2005" s="34">
        <v>189</v>
      </c>
      <c r="C2005" s="31" t="str">
        <f t="shared" si="105"/>
        <v>31025</v>
      </c>
      <c r="D2005" s="31" t="s">
        <v>3</v>
      </c>
      <c r="E2005" s="34" t="str">
        <f>"3964"</f>
        <v>3964</v>
      </c>
      <c r="F2005" s="31" t="s">
        <v>1044</v>
      </c>
      <c r="G2005" s="1"/>
      <c r="H2005" s="1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</row>
    <row r="2006" spans="1:22" x14ac:dyDescent="0.25">
      <c r="A2006" t="str">
        <f t="shared" si="103"/>
        <v>29801</v>
      </c>
      <c r="B2006" s="34">
        <v>189</v>
      </c>
      <c r="C2006" s="31" t="str">
        <f t="shared" si="105"/>
        <v>31025</v>
      </c>
      <c r="D2006" s="31" t="s">
        <v>3</v>
      </c>
      <c r="E2006" s="34" t="str">
        <f>"4150"</f>
        <v>4150</v>
      </c>
      <c r="F2006" s="31" t="s">
        <v>1131</v>
      </c>
      <c r="G2006" s="1"/>
      <c r="H2006" s="1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</row>
    <row r="2007" spans="1:22" x14ac:dyDescent="0.25">
      <c r="A2007" t="str">
        <f t="shared" si="103"/>
        <v>29801</v>
      </c>
      <c r="B2007" s="34">
        <v>189</v>
      </c>
      <c r="C2007" s="31" t="str">
        <f t="shared" si="105"/>
        <v>31025</v>
      </c>
      <c r="D2007" s="31" t="s">
        <v>3</v>
      </c>
      <c r="E2007" s="34" t="str">
        <f>"5478"</f>
        <v>5478</v>
      </c>
      <c r="F2007" s="31" t="s">
        <v>1140</v>
      </c>
      <c r="G2007" s="1"/>
      <c r="H2007" s="1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</row>
    <row r="2008" spans="1:22" x14ac:dyDescent="0.25">
      <c r="A2008" t="str">
        <f t="shared" si="103"/>
        <v>29801</v>
      </c>
      <c r="B2008" s="34">
        <v>189</v>
      </c>
      <c r="C2008" s="31" t="str">
        <f t="shared" si="105"/>
        <v>31025</v>
      </c>
      <c r="D2008" s="31" t="s">
        <v>3</v>
      </c>
      <c r="E2008" s="34" t="str">
        <f>"3355"</f>
        <v>3355</v>
      </c>
      <c r="F2008" s="31" t="s">
        <v>1141</v>
      </c>
      <c r="G2008" s="1"/>
      <c r="H2008" s="1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</row>
    <row r="2009" spans="1:22" x14ac:dyDescent="0.25">
      <c r="A2009" t="str">
        <f t="shared" si="103"/>
        <v>29801</v>
      </c>
      <c r="B2009" s="34">
        <v>189</v>
      </c>
      <c r="C2009" s="31" t="str">
        <f t="shared" si="105"/>
        <v>31025</v>
      </c>
      <c r="D2009" s="31" t="s">
        <v>3</v>
      </c>
      <c r="E2009" s="34" t="str">
        <f>"5213"</f>
        <v>5213</v>
      </c>
      <c r="F2009" s="31" t="s">
        <v>1142</v>
      </c>
      <c r="G2009" s="1"/>
      <c r="H2009" s="1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</row>
    <row r="2010" spans="1:22" x14ac:dyDescent="0.25">
      <c r="A2010" t="str">
        <f t="shared" si="103"/>
        <v>29801</v>
      </c>
      <c r="B2010" s="34">
        <v>189</v>
      </c>
      <c r="C2010" s="31" t="str">
        <f t="shared" si="105"/>
        <v>31025</v>
      </c>
      <c r="D2010" s="31" t="s">
        <v>3</v>
      </c>
      <c r="E2010" s="34" t="str">
        <f>"3651"</f>
        <v>3651</v>
      </c>
      <c r="F2010" s="31" t="s">
        <v>1446</v>
      </c>
      <c r="G2010" s="1"/>
      <c r="H2010" s="1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</row>
    <row r="2011" spans="1:22" x14ac:dyDescent="0.25">
      <c r="A2011" t="str">
        <f t="shared" si="103"/>
        <v>29801</v>
      </c>
      <c r="B2011" s="34">
        <v>189</v>
      </c>
      <c r="C2011" s="31" t="str">
        <f t="shared" si="105"/>
        <v>31025</v>
      </c>
      <c r="D2011" s="31" t="s">
        <v>3</v>
      </c>
      <c r="E2011" s="34" t="str">
        <f>"5350"</f>
        <v>5350</v>
      </c>
      <c r="F2011" s="31" t="s">
        <v>1489</v>
      </c>
      <c r="G2011" s="1"/>
      <c r="H2011" s="1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</row>
    <row r="2012" spans="1:22" x14ac:dyDescent="0.25">
      <c r="A2012" t="str">
        <f t="shared" si="103"/>
        <v>29801</v>
      </c>
      <c r="B2012" s="34">
        <v>189</v>
      </c>
      <c r="C2012" s="31" t="str">
        <f t="shared" si="105"/>
        <v>31025</v>
      </c>
      <c r="D2012" s="31" t="s">
        <v>3</v>
      </c>
      <c r="E2012" s="34" t="str">
        <f>"1744"</f>
        <v>1744</v>
      </c>
      <c r="F2012" s="31" t="s">
        <v>1599</v>
      </c>
      <c r="G2012" s="1"/>
      <c r="H2012" s="1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</row>
    <row r="2013" spans="1:22" x14ac:dyDescent="0.25">
      <c r="A2013" t="str">
        <f t="shared" si="103"/>
        <v>29801</v>
      </c>
      <c r="B2013" s="34">
        <v>189</v>
      </c>
      <c r="C2013" s="31" t="str">
        <f t="shared" si="105"/>
        <v>31025</v>
      </c>
      <c r="D2013" s="31" t="s">
        <v>3</v>
      </c>
      <c r="E2013" s="34" t="str">
        <f>"3187"</f>
        <v>3187</v>
      </c>
      <c r="F2013" s="31" t="s">
        <v>1646</v>
      </c>
      <c r="G2013" s="1"/>
      <c r="H2013" s="1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</row>
    <row r="2014" spans="1:22" x14ac:dyDescent="0.25">
      <c r="A2014" t="str">
        <f t="shared" si="103"/>
        <v>29801</v>
      </c>
      <c r="B2014" s="34">
        <v>189</v>
      </c>
      <c r="C2014" s="31" t="str">
        <f t="shared" si="105"/>
        <v>31025</v>
      </c>
      <c r="D2014" s="31" t="s">
        <v>3</v>
      </c>
      <c r="E2014" s="34" t="str">
        <f>"3537"</f>
        <v>3537</v>
      </c>
      <c r="F2014" s="31" t="s">
        <v>1753</v>
      </c>
      <c r="G2014" s="1"/>
      <c r="H2014" s="1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</row>
    <row r="2015" spans="1:22" x14ac:dyDescent="0.25">
      <c r="A2015" t="str">
        <f t="shared" si="103"/>
        <v>29801</v>
      </c>
      <c r="B2015" s="34">
        <v>189</v>
      </c>
      <c r="C2015" s="31" t="str">
        <f t="shared" si="105"/>
        <v>31025</v>
      </c>
      <c r="D2015" s="31" t="s">
        <v>3</v>
      </c>
      <c r="E2015" s="34" t="str">
        <f>"2813"</f>
        <v>2813</v>
      </c>
      <c r="F2015" s="31" t="s">
        <v>1815</v>
      </c>
      <c r="G2015" s="1"/>
      <c r="H2015" s="1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</row>
    <row r="2016" spans="1:22" x14ac:dyDescent="0.25">
      <c r="A2016" t="str">
        <f t="shared" si="103"/>
        <v>29801</v>
      </c>
      <c r="B2016" s="34">
        <v>189</v>
      </c>
      <c r="C2016" s="35">
        <v>37505</v>
      </c>
      <c r="D2016" s="31" t="s">
        <v>875</v>
      </c>
      <c r="E2016" s="36">
        <v>2584</v>
      </c>
      <c r="F2016" s="31" t="s">
        <v>876</v>
      </c>
      <c r="G2016" s="1"/>
      <c r="H2016" s="1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</row>
    <row r="2017" spans="1:22" x14ac:dyDescent="0.25">
      <c r="A2017" t="str">
        <f t="shared" si="103"/>
        <v>29801</v>
      </c>
      <c r="B2017" s="34">
        <v>189</v>
      </c>
      <c r="C2017" s="35">
        <v>37505</v>
      </c>
      <c r="D2017" s="31" t="s">
        <v>875</v>
      </c>
      <c r="E2017" s="36">
        <v>2554</v>
      </c>
      <c r="F2017" s="31" t="s">
        <v>1187</v>
      </c>
      <c r="G2017" s="1"/>
      <c r="H2017" s="1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</row>
    <row r="2018" spans="1:22" x14ac:dyDescent="0.25">
      <c r="A2018" t="str">
        <f t="shared" si="103"/>
        <v>29801</v>
      </c>
      <c r="B2018" s="34">
        <v>189</v>
      </c>
      <c r="C2018" s="35">
        <v>37505</v>
      </c>
      <c r="D2018" s="31" t="s">
        <v>875</v>
      </c>
      <c r="E2018" s="36">
        <v>3930</v>
      </c>
      <c r="F2018" s="31" t="s">
        <v>1188</v>
      </c>
      <c r="G2018" s="1"/>
      <c r="H2018" s="1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</row>
    <row r="2019" spans="1:22" x14ac:dyDescent="0.25">
      <c r="A2019" t="str">
        <f t="shared" si="103"/>
        <v>29801</v>
      </c>
      <c r="B2019" s="34">
        <v>189</v>
      </c>
      <c r="C2019" s="35">
        <v>37505</v>
      </c>
      <c r="D2019" s="31" t="s">
        <v>875</v>
      </c>
      <c r="E2019" s="36">
        <v>5047</v>
      </c>
      <c r="F2019" s="31" t="s">
        <v>1189</v>
      </c>
      <c r="G2019" s="1"/>
      <c r="H2019" s="1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</row>
    <row r="2020" spans="1:22" x14ac:dyDescent="0.25">
      <c r="A2020" t="str">
        <f t="shared" si="103"/>
        <v>29801</v>
      </c>
      <c r="B2020" s="34">
        <v>189</v>
      </c>
      <c r="C2020" s="31" t="str">
        <f t="shared" ref="C2020:C2029" si="106">"31103"</f>
        <v>31103</v>
      </c>
      <c r="D2020" s="31" t="s">
        <v>319</v>
      </c>
      <c r="E2020" s="34" t="str">
        <f>"4362"</f>
        <v>4362</v>
      </c>
      <c r="F2020" s="31" t="s">
        <v>320</v>
      </c>
      <c r="G2020" s="1"/>
      <c r="H2020" s="1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</row>
    <row r="2021" spans="1:22" x14ac:dyDescent="0.25">
      <c r="A2021" t="str">
        <f t="shared" si="103"/>
        <v>29801</v>
      </c>
      <c r="B2021" s="34">
        <v>189</v>
      </c>
      <c r="C2021" s="31" t="str">
        <f t="shared" si="106"/>
        <v>31103</v>
      </c>
      <c r="D2021" s="31" t="s">
        <v>319</v>
      </c>
      <c r="E2021" s="34" t="str">
        <f>"3060"</f>
        <v>3060</v>
      </c>
      <c r="F2021" s="31" t="s">
        <v>658</v>
      </c>
      <c r="G2021" s="1"/>
      <c r="H2021" s="1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</row>
    <row r="2022" spans="1:22" x14ac:dyDescent="0.25">
      <c r="A2022" t="str">
        <f t="shared" si="103"/>
        <v>29801</v>
      </c>
      <c r="B2022" s="34">
        <v>189</v>
      </c>
      <c r="C2022" s="31" t="str">
        <f t="shared" si="106"/>
        <v>31103</v>
      </c>
      <c r="D2022" s="31" t="s">
        <v>319</v>
      </c>
      <c r="E2022" s="34" t="str">
        <f>"4594"</f>
        <v>4594</v>
      </c>
      <c r="F2022" s="31" t="s">
        <v>678</v>
      </c>
      <c r="G2022" s="1"/>
      <c r="H2022" s="1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</row>
    <row r="2023" spans="1:22" x14ac:dyDescent="0.25">
      <c r="A2023" t="str">
        <f t="shared" ref="A2023:A2086" si="107">"29801"</f>
        <v>29801</v>
      </c>
      <c r="B2023" s="34">
        <v>189</v>
      </c>
      <c r="C2023" s="31" t="str">
        <f t="shared" si="106"/>
        <v>31103</v>
      </c>
      <c r="D2023" s="31" t="s">
        <v>319</v>
      </c>
      <c r="E2023" s="34" t="str">
        <f>"4544"</f>
        <v>4544</v>
      </c>
      <c r="F2023" s="31" t="s">
        <v>805</v>
      </c>
      <c r="G2023" s="1"/>
      <c r="H2023" s="1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</row>
    <row r="2024" spans="1:22" x14ac:dyDescent="0.25">
      <c r="A2024" t="str">
        <f t="shared" si="107"/>
        <v>29801</v>
      </c>
      <c r="B2024" s="34">
        <v>189</v>
      </c>
      <c r="C2024" s="31" t="str">
        <f t="shared" si="106"/>
        <v>31103</v>
      </c>
      <c r="D2024" s="31" t="s">
        <v>319</v>
      </c>
      <c r="E2024" s="34" t="str">
        <f>"1806"</f>
        <v>1806</v>
      </c>
      <c r="F2024" s="31" t="s">
        <v>1024</v>
      </c>
      <c r="G2024" s="1"/>
      <c r="H2024" s="1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</row>
    <row r="2025" spans="1:22" x14ac:dyDescent="0.25">
      <c r="A2025" t="str">
        <f t="shared" si="107"/>
        <v>29801</v>
      </c>
      <c r="B2025" s="34">
        <v>189</v>
      </c>
      <c r="C2025" s="31" t="str">
        <f t="shared" si="106"/>
        <v>31103</v>
      </c>
      <c r="D2025" s="31" t="s">
        <v>319</v>
      </c>
      <c r="E2025" s="34" t="str">
        <f>"2546"</f>
        <v>2546</v>
      </c>
      <c r="F2025" s="31" t="s">
        <v>1108</v>
      </c>
      <c r="G2025" s="1"/>
      <c r="H2025" s="1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</row>
    <row r="2026" spans="1:22" x14ac:dyDescent="0.25">
      <c r="A2026" t="str">
        <f t="shared" si="107"/>
        <v>29801</v>
      </c>
      <c r="B2026" s="34">
        <v>189</v>
      </c>
      <c r="C2026" s="31" t="str">
        <f t="shared" si="106"/>
        <v>31103</v>
      </c>
      <c r="D2026" s="31" t="s">
        <v>319</v>
      </c>
      <c r="E2026" s="34" t="str">
        <f>"4528"</f>
        <v>4528</v>
      </c>
      <c r="F2026" s="31" t="s">
        <v>1215</v>
      </c>
      <c r="G2026" s="1"/>
      <c r="H2026" s="1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</row>
    <row r="2027" spans="1:22" x14ac:dyDescent="0.25">
      <c r="A2027" t="str">
        <f t="shared" si="107"/>
        <v>29801</v>
      </c>
      <c r="B2027" s="34">
        <v>189</v>
      </c>
      <c r="C2027" s="31" t="str">
        <f t="shared" si="106"/>
        <v>31103</v>
      </c>
      <c r="D2027" s="31" t="s">
        <v>319</v>
      </c>
      <c r="E2027" s="34" t="str">
        <f>"5040"</f>
        <v>5040</v>
      </c>
      <c r="F2027" s="31" t="s">
        <v>1418</v>
      </c>
      <c r="G2027" s="1"/>
      <c r="H2027" s="1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</row>
    <row r="2028" spans="1:22" x14ac:dyDescent="0.25">
      <c r="A2028" t="str">
        <f t="shared" si="107"/>
        <v>29801</v>
      </c>
      <c r="B2028" s="34">
        <v>189</v>
      </c>
      <c r="C2028" s="31" t="str">
        <f t="shared" si="106"/>
        <v>31103</v>
      </c>
      <c r="D2028" s="31" t="s">
        <v>319</v>
      </c>
      <c r="E2028" s="34" t="str">
        <f>"4159"</f>
        <v>4159</v>
      </c>
      <c r="F2028" s="31" t="s">
        <v>1581</v>
      </c>
      <c r="G2028" s="1"/>
      <c r="H2028" s="1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</row>
    <row r="2029" spans="1:22" x14ac:dyDescent="0.25">
      <c r="A2029" t="str">
        <f t="shared" si="107"/>
        <v>29801</v>
      </c>
      <c r="B2029" s="34">
        <v>189</v>
      </c>
      <c r="C2029" s="31" t="str">
        <f t="shared" si="106"/>
        <v>31103</v>
      </c>
      <c r="D2029" s="31" t="s">
        <v>319</v>
      </c>
      <c r="E2029" s="34" t="str">
        <f>"1777"</f>
        <v>1777</v>
      </c>
      <c r="F2029" s="31" t="s">
        <v>1664</v>
      </c>
      <c r="G2029" s="1"/>
      <c r="H2029" s="1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</row>
    <row r="2030" spans="1:22" x14ac:dyDescent="0.25">
      <c r="A2030" t="str">
        <f t="shared" si="107"/>
        <v>29801</v>
      </c>
      <c r="B2030" s="33">
        <v>189</v>
      </c>
      <c r="C2030" t="str">
        <f t="shared" ref="C2030:C2035" si="108">"37507"</f>
        <v>37507</v>
      </c>
      <c r="D2030" t="s">
        <v>15</v>
      </c>
      <c r="E2030" s="33" t="str">
        <f>"2585"</f>
        <v>2585</v>
      </c>
      <c r="F2030" t="s">
        <v>16</v>
      </c>
      <c r="G2030" s="1"/>
      <c r="H2030" s="1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</row>
    <row r="2031" spans="1:22" x14ac:dyDescent="0.25">
      <c r="A2031" t="str">
        <f t="shared" si="107"/>
        <v>29801</v>
      </c>
      <c r="B2031" s="33">
        <v>189</v>
      </c>
      <c r="C2031" t="str">
        <f t="shared" si="108"/>
        <v>37507</v>
      </c>
      <c r="D2031" t="s">
        <v>15</v>
      </c>
      <c r="E2031" s="33" t="str">
        <f>"3365"</f>
        <v>3365</v>
      </c>
      <c r="F2031" t="s">
        <v>773</v>
      </c>
      <c r="G2031" s="1"/>
      <c r="H2031" s="1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</row>
    <row r="2032" spans="1:22" x14ac:dyDescent="0.25">
      <c r="A2032" t="str">
        <f t="shared" si="107"/>
        <v>29801</v>
      </c>
      <c r="B2032" s="33">
        <v>189</v>
      </c>
      <c r="C2032" t="str">
        <f t="shared" si="108"/>
        <v>37507</v>
      </c>
      <c r="D2032" t="s">
        <v>15</v>
      </c>
      <c r="E2032" s="33" t="str">
        <f>"4533"</f>
        <v>4533</v>
      </c>
      <c r="F2032" t="s">
        <v>928</v>
      </c>
      <c r="G2032" s="1"/>
      <c r="H2032" s="1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</row>
    <row r="2033" spans="1:22" x14ac:dyDescent="0.25">
      <c r="A2033" t="str">
        <f t="shared" si="107"/>
        <v>29801</v>
      </c>
      <c r="B2033" s="33">
        <v>189</v>
      </c>
      <c r="C2033" t="str">
        <f t="shared" si="108"/>
        <v>37507</v>
      </c>
      <c r="D2033" t="s">
        <v>15</v>
      </c>
      <c r="E2033" s="33" t="str">
        <f>"5112"</f>
        <v>5112</v>
      </c>
      <c r="F2033" t="s">
        <v>1237</v>
      </c>
      <c r="G2033" s="1"/>
      <c r="H2033" s="1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</row>
    <row r="2034" spans="1:22" x14ac:dyDescent="0.25">
      <c r="A2034" t="str">
        <f t="shared" si="107"/>
        <v>29801</v>
      </c>
      <c r="B2034" s="33">
        <v>189</v>
      </c>
      <c r="C2034" t="str">
        <f t="shared" si="108"/>
        <v>37507</v>
      </c>
      <c r="D2034" t="s">
        <v>15</v>
      </c>
      <c r="E2034" s="33" t="str">
        <f>"3003"</f>
        <v>3003</v>
      </c>
      <c r="F2034" t="s">
        <v>1238</v>
      </c>
      <c r="G2034" s="1"/>
      <c r="H2034" s="1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</row>
    <row r="2035" spans="1:22" x14ac:dyDescent="0.25">
      <c r="A2035" t="str">
        <f t="shared" si="107"/>
        <v>29801</v>
      </c>
      <c r="B2035" s="33">
        <v>189</v>
      </c>
      <c r="C2035" t="str">
        <f t="shared" si="108"/>
        <v>37507</v>
      </c>
      <c r="D2035" t="s">
        <v>15</v>
      </c>
      <c r="E2035" s="33" t="str">
        <f>"2343"</f>
        <v>2343</v>
      </c>
      <c r="F2035" t="s">
        <v>1240</v>
      </c>
      <c r="G2035" s="1"/>
      <c r="H2035" s="1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</row>
    <row r="2036" spans="1:22" x14ac:dyDescent="0.25">
      <c r="A2036" t="str">
        <f t="shared" si="107"/>
        <v>29801</v>
      </c>
      <c r="B2036" s="34">
        <v>189</v>
      </c>
      <c r="C2036" s="34" t="str">
        <f t="shared" ref="C2036:C2046" si="109">"29320"</f>
        <v>29320</v>
      </c>
      <c r="D2036" s="2" t="s">
        <v>303</v>
      </c>
      <c r="E2036" s="34" t="str">
        <f>"4329"</f>
        <v>4329</v>
      </c>
      <c r="F2036" s="2" t="s">
        <v>304</v>
      </c>
      <c r="G2036" s="1"/>
      <c r="H2036" s="1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</row>
    <row r="2037" spans="1:22" x14ac:dyDescent="0.25">
      <c r="A2037" t="str">
        <f t="shared" si="107"/>
        <v>29801</v>
      </c>
      <c r="B2037" s="34">
        <v>189</v>
      </c>
      <c r="C2037" s="34" t="str">
        <f t="shared" si="109"/>
        <v>29320</v>
      </c>
      <c r="D2037" s="2" t="s">
        <v>303</v>
      </c>
      <c r="E2037" s="36">
        <v>5589</v>
      </c>
      <c r="F2037" t="s">
        <v>2407</v>
      </c>
      <c r="G2037" s="1"/>
      <c r="H2037" s="1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</row>
    <row r="2038" spans="1:22" x14ac:dyDescent="0.25">
      <c r="A2038" t="str">
        <f t="shared" si="107"/>
        <v>29801</v>
      </c>
      <c r="B2038" s="34">
        <v>189</v>
      </c>
      <c r="C2038" s="34" t="str">
        <f t="shared" si="109"/>
        <v>29320</v>
      </c>
      <c r="D2038" s="2" t="s">
        <v>303</v>
      </c>
      <c r="E2038" s="34" t="str">
        <f>"3183"</f>
        <v>3183</v>
      </c>
      <c r="F2038" s="2" t="s">
        <v>895</v>
      </c>
      <c r="G2038" s="1"/>
      <c r="H2038" s="1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</row>
    <row r="2039" spans="1:22" x14ac:dyDescent="0.25">
      <c r="A2039" t="str">
        <f t="shared" si="107"/>
        <v>29801</v>
      </c>
      <c r="B2039" s="34">
        <v>189</v>
      </c>
      <c r="C2039" s="34" t="str">
        <f t="shared" si="109"/>
        <v>29320</v>
      </c>
      <c r="D2039" s="2" t="s">
        <v>303</v>
      </c>
      <c r="E2039" s="34" t="str">
        <f>"3821"</f>
        <v>3821</v>
      </c>
      <c r="F2039" s="2" t="s">
        <v>978</v>
      </c>
      <c r="G2039" s="1"/>
      <c r="H2039" s="1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</row>
    <row r="2040" spans="1:22" x14ac:dyDescent="0.25">
      <c r="A2040" t="str">
        <f t="shared" si="107"/>
        <v>29801</v>
      </c>
      <c r="B2040" s="34">
        <v>189</v>
      </c>
      <c r="C2040" s="34" t="str">
        <f t="shared" si="109"/>
        <v>29320</v>
      </c>
      <c r="D2040" s="2" t="s">
        <v>303</v>
      </c>
      <c r="E2040" s="34" t="str">
        <f>"4013"</f>
        <v>4013</v>
      </c>
      <c r="F2040" s="2" t="s">
        <v>1069</v>
      </c>
      <c r="G2040" s="1"/>
      <c r="H2040" s="1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</row>
    <row r="2041" spans="1:22" x14ac:dyDescent="0.25">
      <c r="A2041" t="str">
        <f t="shared" si="107"/>
        <v>29801</v>
      </c>
      <c r="B2041" s="34">
        <v>189</v>
      </c>
      <c r="C2041" s="34" t="str">
        <f t="shared" si="109"/>
        <v>29320</v>
      </c>
      <c r="D2041" s="2" t="s">
        <v>303</v>
      </c>
      <c r="E2041" s="34" t="str">
        <f>"3001"</f>
        <v>3001</v>
      </c>
      <c r="F2041" s="2" t="s">
        <v>1103</v>
      </c>
      <c r="G2041" s="1"/>
      <c r="H2041" s="1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</row>
    <row r="2042" spans="1:22" x14ac:dyDescent="0.25">
      <c r="A2042" t="str">
        <f t="shared" si="107"/>
        <v>29801</v>
      </c>
      <c r="B2042" s="34">
        <v>189</v>
      </c>
      <c r="C2042" s="34" t="str">
        <f t="shared" si="109"/>
        <v>29320</v>
      </c>
      <c r="D2042" s="2" t="s">
        <v>303</v>
      </c>
      <c r="E2042" s="34" t="str">
        <f>"4511"</f>
        <v>4511</v>
      </c>
      <c r="F2042" s="2" t="s">
        <v>1239</v>
      </c>
      <c r="G2042" s="1"/>
      <c r="H2042" s="1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</row>
    <row r="2043" spans="1:22" x14ac:dyDescent="0.25">
      <c r="A2043" t="str">
        <f t="shared" si="107"/>
        <v>29801</v>
      </c>
      <c r="B2043" s="34">
        <v>189</v>
      </c>
      <c r="C2043" s="34" t="str">
        <f t="shared" si="109"/>
        <v>29320</v>
      </c>
      <c r="D2043" s="2" t="s">
        <v>303</v>
      </c>
      <c r="E2043" s="34" t="str">
        <f>"2295"</f>
        <v>2295</v>
      </c>
      <c r="F2043" s="2" t="s">
        <v>1244</v>
      </c>
      <c r="G2043" s="1"/>
      <c r="H2043" s="1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</row>
    <row r="2044" spans="1:22" x14ac:dyDescent="0.25">
      <c r="A2044" t="str">
        <f t="shared" si="107"/>
        <v>29801</v>
      </c>
      <c r="B2044" s="34">
        <v>189</v>
      </c>
      <c r="C2044" s="34" t="str">
        <f t="shared" si="109"/>
        <v>29320</v>
      </c>
      <c r="D2044" s="2" t="s">
        <v>303</v>
      </c>
      <c r="E2044" s="34" t="str">
        <f>"5960"</f>
        <v>5960</v>
      </c>
      <c r="F2044" s="2" t="s">
        <v>1328</v>
      </c>
      <c r="G2044" s="1"/>
      <c r="H2044" s="1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</row>
    <row r="2045" spans="1:22" x14ac:dyDescent="0.25">
      <c r="A2045" t="str">
        <f t="shared" si="107"/>
        <v>29801</v>
      </c>
      <c r="B2045" s="34">
        <v>189</v>
      </c>
      <c r="C2045" s="34" t="str">
        <f t="shared" si="109"/>
        <v>29320</v>
      </c>
      <c r="D2045" s="2" t="s">
        <v>303</v>
      </c>
      <c r="E2045" s="34" t="str">
        <f>"1992"</f>
        <v>1992</v>
      </c>
      <c r="F2045" s="2" t="s">
        <v>1661</v>
      </c>
      <c r="G2045" s="1"/>
      <c r="H2045" s="1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</row>
    <row r="2046" spans="1:22" x14ac:dyDescent="0.25">
      <c r="A2046" t="str">
        <f t="shared" si="107"/>
        <v>29801</v>
      </c>
      <c r="B2046" s="34">
        <v>189</v>
      </c>
      <c r="C2046" s="34" t="str">
        <f t="shared" si="109"/>
        <v>29320</v>
      </c>
      <c r="D2046" s="2" t="s">
        <v>303</v>
      </c>
      <c r="E2046" s="34" t="str">
        <f>"2880"</f>
        <v>2880</v>
      </c>
      <c r="F2046" s="2" t="s">
        <v>1891</v>
      </c>
      <c r="G2046" s="1"/>
      <c r="H2046" s="1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</row>
    <row r="2047" spans="1:22" x14ac:dyDescent="0.25">
      <c r="A2047" t="str">
        <f t="shared" si="107"/>
        <v>29801</v>
      </c>
      <c r="B2047" s="34">
        <v>189</v>
      </c>
      <c r="C2047" s="31" t="str">
        <f t="shared" ref="C2047:C2067" si="110">"31006"</f>
        <v>31006</v>
      </c>
      <c r="D2047" s="31" t="s">
        <v>13</v>
      </c>
      <c r="E2047" s="34" t="str">
        <f>"4247"</f>
        <v>4247</v>
      </c>
      <c r="F2047" s="31" t="s">
        <v>14</v>
      </c>
      <c r="G2047" s="1"/>
      <c r="H2047" s="1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</row>
    <row r="2048" spans="1:22" x14ac:dyDescent="0.25">
      <c r="A2048" t="str">
        <f t="shared" si="107"/>
        <v>29801</v>
      </c>
      <c r="B2048" s="34">
        <v>189</v>
      </c>
      <c r="C2048" s="31" t="str">
        <f t="shared" si="110"/>
        <v>31006</v>
      </c>
      <c r="D2048" s="31" t="s">
        <v>13</v>
      </c>
      <c r="E2048" s="34" t="str">
        <f>"4303"</f>
        <v>4303</v>
      </c>
      <c r="F2048" s="31" t="s">
        <v>321</v>
      </c>
      <c r="G2048" s="1"/>
      <c r="H2048" s="1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</row>
    <row r="2049" spans="1:22" x14ac:dyDescent="0.25">
      <c r="A2049" t="str">
        <f t="shared" si="107"/>
        <v>29801</v>
      </c>
      <c r="B2049" s="34">
        <v>189</v>
      </c>
      <c r="C2049" s="31" t="str">
        <f t="shared" si="110"/>
        <v>31006</v>
      </c>
      <c r="D2049" s="31" t="s">
        <v>13</v>
      </c>
      <c r="E2049" s="34" t="str">
        <f>"4342"</f>
        <v>4342</v>
      </c>
      <c r="F2049" s="31" t="s">
        <v>393</v>
      </c>
      <c r="G2049" s="1"/>
      <c r="H2049" s="1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</row>
    <row r="2050" spans="1:22" x14ac:dyDescent="0.25">
      <c r="A2050" t="str">
        <f t="shared" si="107"/>
        <v>29801</v>
      </c>
      <c r="B2050" s="34">
        <v>189</v>
      </c>
      <c r="C2050" s="31" t="str">
        <f t="shared" si="110"/>
        <v>31006</v>
      </c>
      <c r="D2050" s="31" t="s">
        <v>13</v>
      </c>
      <c r="E2050" s="34" t="str">
        <f>"4304"</f>
        <v>4304</v>
      </c>
      <c r="F2050" s="31" t="s">
        <v>503</v>
      </c>
      <c r="G2050" s="1"/>
      <c r="H2050" s="1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</row>
    <row r="2051" spans="1:22" x14ac:dyDescent="0.25">
      <c r="A2051" t="str">
        <f t="shared" si="107"/>
        <v>29801</v>
      </c>
      <c r="B2051" s="34">
        <v>189</v>
      </c>
      <c r="C2051" s="31" t="str">
        <f t="shared" si="110"/>
        <v>31006</v>
      </c>
      <c r="D2051" s="31" t="s">
        <v>13</v>
      </c>
      <c r="E2051" s="34" t="str">
        <f>"4469"</f>
        <v>4469</v>
      </c>
      <c r="F2051" s="31" t="s">
        <v>585</v>
      </c>
      <c r="G2051" s="1"/>
      <c r="H2051" s="1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</row>
    <row r="2052" spans="1:22" x14ac:dyDescent="0.25">
      <c r="A2052" t="str">
        <f t="shared" si="107"/>
        <v>29801</v>
      </c>
      <c r="B2052" s="34">
        <v>189</v>
      </c>
      <c r="C2052" s="31" t="str">
        <f t="shared" si="110"/>
        <v>31006</v>
      </c>
      <c r="D2052" s="31" t="s">
        <v>13</v>
      </c>
      <c r="E2052" s="34" t="str">
        <f>"4231"</f>
        <v>4231</v>
      </c>
      <c r="F2052" s="31" t="s">
        <v>610</v>
      </c>
      <c r="G2052" s="1"/>
      <c r="H2052" s="1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</row>
    <row r="2053" spans="1:22" x14ac:dyDescent="0.25">
      <c r="A2053" t="str">
        <f t="shared" si="107"/>
        <v>29801</v>
      </c>
      <c r="B2053" s="34">
        <v>189</v>
      </c>
      <c r="C2053" s="31" t="str">
        <f t="shared" si="110"/>
        <v>31006</v>
      </c>
      <c r="D2053" s="31" t="s">
        <v>13</v>
      </c>
      <c r="E2053" s="34" t="str">
        <f>"2886"</f>
        <v>2886</v>
      </c>
      <c r="F2053" s="31" t="s">
        <v>612</v>
      </c>
      <c r="G2053" s="1"/>
      <c r="H2053" s="1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</row>
    <row r="2054" spans="1:22" x14ac:dyDescent="0.25">
      <c r="A2054" t="str">
        <f t="shared" si="107"/>
        <v>29801</v>
      </c>
      <c r="B2054" s="34">
        <v>189</v>
      </c>
      <c r="C2054" s="31" t="str">
        <f t="shared" si="110"/>
        <v>31006</v>
      </c>
      <c r="D2054" s="31" t="s">
        <v>13</v>
      </c>
      <c r="E2054" s="34" t="str">
        <f>"4430"</f>
        <v>4430</v>
      </c>
      <c r="F2054" s="31" t="s">
        <v>772</v>
      </c>
      <c r="G2054" s="1"/>
      <c r="H2054" s="1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</row>
    <row r="2055" spans="1:22" x14ac:dyDescent="0.25">
      <c r="A2055" t="str">
        <f t="shared" si="107"/>
        <v>29801</v>
      </c>
      <c r="B2055" s="34">
        <v>189</v>
      </c>
      <c r="C2055" s="31" t="str">
        <f t="shared" si="110"/>
        <v>31006</v>
      </c>
      <c r="D2055" s="31" t="s">
        <v>13</v>
      </c>
      <c r="E2055" s="34" t="str">
        <f>"4344"</f>
        <v>4344</v>
      </c>
      <c r="F2055" s="31" t="s">
        <v>844</v>
      </c>
      <c r="G2055" s="1"/>
      <c r="H2055" s="1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</row>
    <row r="2056" spans="1:22" x14ac:dyDescent="0.25">
      <c r="A2056" t="str">
        <f t="shared" si="107"/>
        <v>29801</v>
      </c>
      <c r="B2056" s="34">
        <v>189</v>
      </c>
      <c r="C2056" s="31" t="str">
        <f t="shared" si="110"/>
        <v>31006</v>
      </c>
      <c r="D2056" s="31" t="s">
        <v>13</v>
      </c>
      <c r="E2056" s="34" t="str">
        <f>"4433"</f>
        <v>4433</v>
      </c>
      <c r="F2056" s="31" t="s">
        <v>918</v>
      </c>
      <c r="I2056" s="15"/>
      <c r="J2056" s="15"/>
      <c r="K2056" s="15"/>
      <c r="L2056" s="15"/>
      <c r="M2056" s="15"/>
      <c r="N2056" s="15"/>
      <c r="O2056" s="15"/>
      <c r="P2056" s="14"/>
      <c r="Q2056" s="14"/>
      <c r="R2056" s="14"/>
      <c r="S2056" s="14"/>
      <c r="T2056" s="14"/>
      <c r="U2056" s="14"/>
      <c r="V2056" s="14"/>
    </row>
    <row r="2057" spans="1:22" x14ac:dyDescent="0.25">
      <c r="A2057" t="str">
        <f t="shared" si="107"/>
        <v>29801</v>
      </c>
      <c r="B2057" s="34">
        <v>189</v>
      </c>
      <c r="C2057" s="31" t="str">
        <f t="shared" si="110"/>
        <v>31006</v>
      </c>
      <c r="D2057" s="31" t="s">
        <v>13</v>
      </c>
      <c r="E2057" s="34" t="str">
        <f>"5450"</f>
        <v>5450</v>
      </c>
      <c r="F2057" s="31" t="s">
        <v>997</v>
      </c>
      <c r="J2057" s="17"/>
      <c r="K2057" s="16"/>
      <c r="Q2057" s="14"/>
      <c r="S2057" s="16"/>
      <c r="T2057" s="14"/>
      <c r="U2057" s="14"/>
    </row>
    <row r="2058" spans="1:22" x14ac:dyDescent="0.25">
      <c r="A2058" t="str">
        <f t="shared" si="107"/>
        <v>29801</v>
      </c>
      <c r="B2058" s="34">
        <v>189</v>
      </c>
      <c r="C2058" s="31" t="str">
        <f t="shared" si="110"/>
        <v>31006</v>
      </c>
      <c r="D2058" s="31" t="s">
        <v>13</v>
      </c>
      <c r="E2058" s="34" t="str">
        <f>"3688"</f>
        <v>3688</v>
      </c>
      <c r="F2058" s="31" t="s">
        <v>1126</v>
      </c>
      <c r="Q2058" s="16"/>
      <c r="T2058" s="17"/>
      <c r="U2058" s="17"/>
    </row>
    <row r="2059" spans="1:22" x14ac:dyDescent="0.25">
      <c r="A2059" t="str">
        <f t="shared" si="107"/>
        <v>29801</v>
      </c>
      <c r="B2059" s="34">
        <v>189</v>
      </c>
      <c r="C2059" s="31" t="str">
        <f t="shared" si="110"/>
        <v>31006</v>
      </c>
      <c r="D2059" s="31" t="s">
        <v>13</v>
      </c>
      <c r="E2059" s="34" t="str">
        <f>"4164"</f>
        <v>4164</v>
      </c>
      <c r="F2059" s="31" t="s">
        <v>1263</v>
      </c>
    </row>
    <row r="2060" spans="1:22" x14ac:dyDescent="0.25">
      <c r="A2060" t="str">
        <f t="shared" si="107"/>
        <v>29801</v>
      </c>
      <c r="B2060" s="34">
        <v>189</v>
      </c>
      <c r="C2060" s="31" t="str">
        <f t="shared" si="110"/>
        <v>31006</v>
      </c>
      <c r="D2060" s="31" t="s">
        <v>13</v>
      </c>
      <c r="E2060" s="34" t="str">
        <f>"4583"</f>
        <v>4583</v>
      </c>
      <c r="F2060" s="31" t="s">
        <v>1353</v>
      </c>
    </row>
    <row r="2061" spans="1:22" x14ac:dyDescent="0.25">
      <c r="A2061" t="str">
        <f t="shared" si="107"/>
        <v>29801</v>
      </c>
      <c r="B2061" s="34">
        <v>189</v>
      </c>
      <c r="C2061" s="31" t="str">
        <f t="shared" si="110"/>
        <v>31006</v>
      </c>
      <c r="D2061" s="31" t="s">
        <v>13</v>
      </c>
      <c r="E2061" s="34" t="str">
        <f>"3121"</f>
        <v>3121</v>
      </c>
      <c r="F2061" s="31" t="s">
        <v>1360</v>
      </c>
    </row>
    <row r="2062" spans="1:22" x14ac:dyDescent="0.25">
      <c r="A2062" t="str">
        <f t="shared" si="107"/>
        <v>29801</v>
      </c>
      <c r="B2062" s="34">
        <v>189</v>
      </c>
      <c r="C2062" s="31" t="str">
        <f t="shared" si="110"/>
        <v>31006</v>
      </c>
      <c r="D2062" s="31" t="s">
        <v>13</v>
      </c>
      <c r="E2062" s="34" t="str">
        <f>"3120"</f>
        <v>3120</v>
      </c>
      <c r="F2062" s="31" t="s">
        <v>1370</v>
      </c>
    </row>
    <row r="2063" spans="1:22" x14ac:dyDescent="0.25">
      <c r="A2063" t="str">
        <f t="shared" si="107"/>
        <v>29801</v>
      </c>
      <c r="B2063" s="34">
        <v>189</v>
      </c>
      <c r="C2063" s="31" t="str">
        <f t="shared" si="110"/>
        <v>31006</v>
      </c>
      <c r="D2063" s="31" t="s">
        <v>13</v>
      </c>
      <c r="E2063" s="34" t="str">
        <f>"5482"</f>
        <v>5482</v>
      </c>
      <c r="F2063" s="31" t="s">
        <v>2003</v>
      </c>
    </row>
    <row r="2064" spans="1:22" x14ac:dyDescent="0.25">
      <c r="A2064" t="str">
        <f t="shared" si="107"/>
        <v>29801</v>
      </c>
      <c r="B2064" s="34">
        <v>189</v>
      </c>
      <c r="C2064" s="31" t="str">
        <f t="shared" si="110"/>
        <v>31006</v>
      </c>
      <c r="D2064" s="31" t="s">
        <v>13</v>
      </c>
      <c r="E2064" s="34" t="str">
        <f>"4165"</f>
        <v>4165</v>
      </c>
      <c r="F2064" s="31" t="s">
        <v>1441</v>
      </c>
    </row>
    <row r="2065" spans="1:6" x14ac:dyDescent="0.25">
      <c r="A2065" t="str">
        <f t="shared" si="107"/>
        <v>29801</v>
      </c>
      <c r="B2065" s="34">
        <v>189</v>
      </c>
      <c r="C2065" s="31" t="str">
        <f t="shared" si="110"/>
        <v>31006</v>
      </c>
      <c r="D2065" s="31" t="s">
        <v>13</v>
      </c>
      <c r="E2065" s="34" t="str">
        <f>"3687"</f>
        <v>3687</v>
      </c>
      <c r="F2065" s="31" t="s">
        <v>1624</v>
      </c>
    </row>
    <row r="2066" spans="1:6" x14ac:dyDescent="0.25">
      <c r="A2066" t="str">
        <f t="shared" si="107"/>
        <v>29801</v>
      </c>
      <c r="B2066" s="34">
        <v>189</v>
      </c>
      <c r="C2066" s="31" t="str">
        <f t="shared" si="110"/>
        <v>31006</v>
      </c>
      <c r="D2066" s="31" t="s">
        <v>13</v>
      </c>
      <c r="E2066" s="34" t="str">
        <f>"4019"</f>
        <v>4019</v>
      </c>
      <c r="F2066" s="31" t="s">
        <v>2009</v>
      </c>
    </row>
    <row r="2067" spans="1:6" x14ac:dyDescent="0.25">
      <c r="A2067" t="str">
        <f t="shared" si="107"/>
        <v>29801</v>
      </c>
      <c r="B2067" s="34">
        <v>189</v>
      </c>
      <c r="C2067" s="31" t="str">
        <f t="shared" si="110"/>
        <v>31006</v>
      </c>
      <c r="D2067" s="31" t="s">
        <v>13</v>
      </c>
      <c r="E2067" s="34" t="str">
        <f>"4425"</f>
        <v>4425</v>
      </c>
      <c r="F2067" s="31" t="s">
        <v>1866</v>
      </c>
    </row>
    <row r="2068" spans="1:6" x14ac:dyDescent="0.25">
      <c r="A2068" t="str">
        <f t="shared" si="107"/>
        <v>29801</v>
      </c>
      <c r="B2068" s="33">
        <v>189</v>
      </c>
      <c r="C2068" s="35">
        <v>37506</v>
      </c>
      <c r="D2068" t="s">
        <v>606</v>
      </c>
      <c r="E2068" s="36">
        <v>4428</v>
      </c>
      <c r="F2068" t="s">
        <v>607</v>
      </c>
    </row>
    <row r="2069" spans="1:6" x14ac:dyDescent="0.25">
      <c r="A2069" t="str">
        <f t="shared" si="107"/>
        <v>29801</v>
      </c>
      <c r="B2069" s="33">
        <v>189</v>
      </c>
      <c r="C2069" s="35">
        <v>37506</v>
      </c>
      <c r="D2069" t="s">
        <v>606</v>
      </c>
      <c r="E2069" s="36">
        <v>4525</v>
      </c>
      <c r="F2069" t="s">
        <v>1298</v>
      </c>
    </row>
    <row r="2070" spans="1:6" x14ac:dyDescent="0.25">
      <c r="A2070" t="str">
        <f t="shared" si="107"/>
        <v>29801</v>
      </c>
      <c r="B2070" s="33">
        <v>189</v>
      </c>
      <c r="C2070" s="35">
        <v>37506</v>
      </c>
      <c r="D2070" t="s">
        <v>606</v>
      </c>
      <c r="E2070" s="36">
        <v>2459</v>
      </c>
      <c r="F2070" t="s">
        <v>1299</v>
      </c>
    </row>
    <row r="2071" spans="1:6" x14ac:dyDescent="0.25">
      <c r="A2071" t="str">
        <f t="shared" si="107"/>
        <v>29801</v>
      </c>
      <c r="B2071" s="33">
        <v>189</v>
      </c>
      <c r="C2071" s="35">
        <v>37506</v>
      </c>
      <c r="D2071" t="s">
        <v>606</v>
      </c>
      <c r="E2071" s="36">
        <v>2687</v>
      </c>
      <c r="F2071" t="s">
        <v>1300</v>
      </c>
    </row>
    <row r="2072" spans="1:6" x14ac:dyDescent="0.25">
      <c r="A2072" t="str">
        <f t="shared" si="107"/>
        <v>29801</v>
      </c>
      <c r="B2072" s="33">
        <v>189</v>
      </c>
      <c r="C2072" s="35">
        <v>37506</v>
      </c>
      <c r="D2072" t="s">
        <v>606</v>
      </c>
      <c r="E2072" s="36">
        <v>2489</v>
      </c>
      <c r="F2072" t="s">
        <v>1743</v>
      </c>
    </row>
    <row r="2073" spans="1:6" x14ac:dyDescent="0.25">
      <c r="A2073" t="str">
        <f t="shared" si="107"/>
        <v>29801</v>
      </c>
      <c r="B2073" s="34">
        <v>189</v>
      </c>
      <c r="C2073" s="31" t="str">
        <f t="shared" ref="C2073:C2081" si="111">"15201"</f>
        <v>15201</v>
      </c>
      <c r="D2073" s="31" t="s">
        <v>202</v>
      </c>
      <c r="E2073" s="34" t="str">
        <f>"3477"</f>
        <v>3477</v>
      </c>
      <c r="F2073" s="31" t="s">
        <v>203</v>
      </c>
    </row>
    <row r="2074" spans="1:6" x14ac:dyDescent="0.25">
      <c r="A2074" t="str">
        <f t="shared" si="107"/>
        <v>29801</v>
      </c>
      <c r="B2074" s="34">
        <v>189</v>
      </c>
      <c r="C2074" s="31" t="str">
        <f t="shared" si="111"/>
        <v>15201</v>
      </c>
      <c r="D2074" s="31" t="s">
        <v>202</v>
      </c>
      <c r="E2074" s="34" t="str">
        <f>"3377"</f>
        <v>3377</v>
      </c>
      <c r="F2074" s="31" t="s">
        <v>447</v>
      </c>
    </row>
    <row r="2075" spans="1:6" x14ac:dyDescent="0.25">
      <c r="A2075" t="str">
        <f t="shared" si="107"/>
        <v>29801</v>
      </c>
      <c r="B2075" s="34">
        <v>189</v>
      </c>
      <c r="C2075" s="31" t="str">
        <f t="shared" si="111"/>
        <v>15201</v>
      </c>
      <c r="D2075" s="31" t="s">
        <v>202</v>
      </c>
      <c r="E2075" s="34" t="str">
        <f>"4328"</f>
        <v>4328</v>
      </c>
      <c r="F2075" s="31" t="s">
        <v>818</v>
      </c>
    </row>
    <row r="2076" spans="1:6" x14ac:dyDescent="0.25">
      <c r="A2076" t="str">
        <f t="shared" si="107"/>
        <v>29801</v>
      </c>
      <c r="B2076" s="34">
        <v>189</v>
      </c>
      <c r="C2076" s="31" t="str">
        <f t="shared" si="111"/>
        <v>15201</v>
      </c>
      <c r="D2076" s="31" t="s">
        <v>202</v>
      </c>
      <c r="E2076" s="34" t="str">
        <f>"1758"</f>
        <v>1758</v>
      </c>
      <c r="F2076" s="31" t="s">
        <v>835</v>
      </c>
    </row>
    <row r="2077" spans="1:6" x14ac:dyDescent="0.25">
      <c r="A2077" t="str">
        <f t="shared" si="107"/>
        <v>29801</v>
      </c>
      <c r="B2077" s="34">
        <v>189</v>
      </c>
      <c r="C2077" s="31" t="str">
        <f t="shared" si="111"/>
        <v>15201</v>
      </c>
      <c r="D2077" s="31" t="s">
        <v>202</v>
      </c>
      <c r="E2077" s="34" t="str">
        <f>"3939"</f>
        <v>3939</v>
      </c>
      <c r="F2077" s="31" t="s">
        <v>1317</v>
      </c>
    </row>
    <row r="2078" spans="1:6" x14ac:dyDescent="0.25">
      <c r="A2078" t="str">
        <f t="shared" si="107"/>
        <v>29801</v>
      </c>
      <c r="B2078" s="34">
        <v>189</v>
      </c>
      <c r="C2078" s="31" t="str">
        <f t="shared" si="111"/>
        <v>15201</v>
      </c>
      <c r="D2078" s="31" t="s">
        <v>202</v>
      </c>
      <c r="E2078" s="34" t="str">
        <f>"2696"</f>
        <v>2696</v>
      </c>
      <c r="F2078" s="31" t="s">
        <v>1334</v>
      </c>
    </row>
    <row r="2079" spans="1:6" x14ac:dyDescent="0.25">
      <c r="A2079" t="str">
        <f t="shared" si="107"/>
        <v>29801</v>
      </c>
      <c r="B2079" s="34">
        <v>189</v>
      </c>
      <c r="C2079" s="31" t="str">
        <f t="shared" si="111"/>
        <v>15201</v>
      </c>
      <c r="D2079" s="31" t="s">
        <v>202</v>
      </c>
      <c r="E2079" s="34" t="str">
        <f>"2974"</f>
        <v>2974</v>
      </c>
      <c r="F2079" s="31" t="s">
        <v>1335</v>
      </c>
    </row>
    <row r="2080" spans="1:6" x14ac:dyDescent="0.25">
      <c r="A2080" t="str">
        <f t="shared" si="107"/>
        <v>29801</v>
      </c>
      <c r="B2080" s="34">
        <v>189</v>
      </c>
      <c r="C2080" s="31" t="str">
        <f t="shared" si="111"/>
        <v>15201</v>
      </c>
      <c r="D2080" s="31" t="s">
        <v>202</v>
      </c>
      <c r="E2080" s="34" t="str">
        <f>"3274"</f>
        <v>3274</v>
      </c>
      <c r="F2080" s="31" t="s">
        <v>1336</v>
      </c>
    </row>
    <row r="2081" spans="1:6" x14ac:dyDescent="0.25">
      <c r="A2081" t="str">
        <f t="shared" si="107"/>
        <v>29801</v>
      </c>
      <c r="B2081" s="34">
        <v>189</v>
      </c>
      <c r="C2081" s="31" t="str">
        <f t="shared" si="111"/>
        <v>15201</v>
      </c>
      <c r="D2081" s="31" t="s">
        <v>202</v>
      </c>
      <c r="E2081" s="34" t="str">
        <f>"3566"</f>
        <v>3566</v>
      </c>
      <c r="F2081" s="31" t="s">
        <v>1367</v>
      </c>
    </row>
    <row r="2082" spans="1:6" x14ac:dyDescent="0.25">
      <c r="A2082" t="str">
        <f t="shared" si="107"/>
        <v>29801</v>
      </c>
      <c r="B2082" s="34">
        <v>189</v>
      </c>
      <c r="C2082" s="35">
        <v>28137</v>
      </c>
      <c r="D2082" s="31" t="s">
        <v>1343</v>
      </c>
      <c r="E2082" s="36">
        <v>1892</v>
      </c>
      <c r="F2082" s="31" t="s">
        <v>1344</v>
      </c>
    </row>
    <row r="2083" spans="1:6" x14ac:dyDescent="0.25">
      <c r="A2083" t="str">
        <f t="shared" si="107"/>
        <v>29801</v>
      </c>
      <c r="B2083" s="34">
        <v>189</v>
      </c>
      <c r="C2083" s="35">
        <v>28137</v>
      </c>
      <c r="D2083" s="31" t="s">
        <v>1343</v>
      </c>
      <c r="E2083" s="36">
        <v>2749</v>
      </c>
      <c r="F2083" s="31" t="s">
        <v>1381</v>
      </c>
    </row>
    <row r="2084" spans="1:6" x14ac:dyDescent="0.25">
      <c r="A2084" t="str">
        <f t="shared" si="107"/>
        <v>29801</v>
      </c>
      <c r="B2084" s="34">
        <v>189</v>
      </c>
      <c r="C2084" s="35">
        <v>28137</v>
      </c>
      <c r="D2084" s="31" t="s">
        <v>1343</v>
      </c>
      <c r="E2084" s="36">
        <v>2750</v>
      </c>
      <c r="F2084" s="31" t="s">
        <v>1382</v>
      </c>
    </row>
    <row r="2085" spans="1:6" x14ac:dyDescent="0.25">
      <c r="A2085" t="str">
        <f t="shared" si="107"/>
        <v>29801</v>
      </c>
      <c r="B2085" s="34">
        <v>189</v>
      </c>
      <c r="C2085" s="35">
        <v>28137</v>
      </c>
      <c r="D2085" s="31" t="s">
        <v>1343</v>
      </c>
      <c r="E2085" s="36">
        <v>4558</v>
      </c>
      <c r="F2085" s="31" t="s">
        <v>1383</v>
      </c>
    </row>
    <row r="2086" spans="1:6" x14ac:dyDescent="0.25">
      <c r="A2086" t="str">
        <f t="shared" si="107"/>
        <v>29801</v>
      </c>
      <c r="B2086" s="34">
        <v>189</v>
      </c>
      <c r="C2086" s="35">
        <v>28137</v>
      </c>
      <c r="D2086" s="31" t="s">
        <v>1343</v>
      </c>
      <c r="E2086" s="36">
        <v>3808</v>
      </c>
      <c r="F2086" s="31" t="s">
        <v>1876</v>
      </c>
    </row>
    <row r="2087" spans="1:6" x14ac:dyDescent="0.25">
      <c r="A2087" t="str">
        <f t="shared" ref="A2087:A2137" si="112">"29801"</f>
        <v>29801</v>
      </c>
      <c r="B2087" s="33">
        <v>189</v>
      </c>
      <c r="C2087" s="35">
        <v>28149</v>
      </c>
      <c r="D2087" t="s">
        <v>671</v>
      </c>
      <c r="E2087" s="36">
        <v>2520</v>
      </c>
      <c r="F2087" t="s">
        <v>672</v>
      </c>
    </row>
    <row r="2088" spans="1:6" x14ac:dyDescent="0.25">
      <c r="A2088" t="str">
        <f t="shared" si="112"/>
        <v>29801</v>
      </c>
      <c r="B2088" s="33">
        <v>189</v>
      </c>
      <c r="C2088" s="35">
        <v>28149</v>
      </c>
      <c r="D2088" t="s">
        <v>671</v>
      </c>
      <c r="E2088" s="36">
        <v>2879</v>
      </c>
      <c r="F2088" t="s">
        <v>673</v>
      </c>
    </row>
    <row r="2089" spans="1:6" x14ac:dyDescent="0.25">
      <c r="A2089" t="str">
        <f t="shared" si="112"/>
        <v>29801</v>
      </c>
      <c r="B2089" s="33">
        <v>189</v>
      </c>
      <c r="C2089" s="35">
        <v>28149</v>
      </c>
      <c r="D2089" t="s">
        <v>671</v>
      </c>
      <c r="E2089" s="36">
        <v>3011</v>
      </c>
      <c r="F2089" t="s">
        <v>674</v>
      </c>
    </row>
    <row r="2090" spans="1:6" x14ac:dyDescent="0.25">
      <c r="A2090" t="str">
        <f t="shared" si="112"/>
        <v>29801</v>
      </c>
      <c r="B2090" s="33">
        <v>189</v>
      </c>
      <c r="C2090" s="35">
        <v>28149</v>
      </c>
      <c r="D2090" t="s">
        <v>671</v>
      </c>
      <c r="E2090" s="36">
        <v>1963</v>
      </c>
      <c r="F2090" t="s">
        <v>757</v>
      </c>
    </row>
    <row r="2091" spans="1:6" x14ac:dyDescent="0.25">
      <c r="A2091" t="str">
        <f t="shared" si="112"/>
        <v>29801</v>
      </c>
      <c r="B2091" s="34">
        <v>189</v>
      </c>
      <c r="C2091" s="2" t="str">
        <f t="shared" ref="C2091:C2100" si="113">"29101"</f>
        <v>29101</v>
      </c>
      <c r="D2091" s="2" t="s">
        <v>155</v>
      </c>
      <c r="E2091" s="34" t="str">
        <f>"2521"</f>
        <v>2521</v>
      </c>
      <c r="F2091" s="2" t="s">
        <v>156</v>
      </c>
    </row>
    <row r="2092" spans="1:6" x14ac:dyDescent="0.25">
      <c r="A2092" t="str">
        <f t="shared" si="112"/>
        <v>29801</v>
      </c>
      <c r="B2092" s="63">
        <v>189</v>
      </c>
      <c r="C2092" s="64" t="str">
        <f t="shared" si="113"/>
        <v>29101</v>
      </c>
      <c r="D2092" s="64" t="s">
        <v>155</v>
      </c>
      <c r="E2092" s="63" t="str">
        <f>"3181"</f>
        <v>3181</v>
      </c>
      <c r="F2092" s="64" t="s">
        <v>266</v>
      </c>
    </row>
    <row r="2093" spans="1:6" x14ac:dyDescent="0.25">
      <c r="A2093" t="str">
        <f t="shared" si="112"/>
        <v>29801</v>
      </c>
      <c r="B2093" s="63">
        <v>189</v>
      </c>
      <c r="C2093" s="64" t="str">
        <f t="shared" si="113"/>
        <v>29101</v>
      </c>
      <c r="D2093" s="64" t="s">
        <v>155</v>
      </c>
      <c r="E2093" s="63" t="str">
        <f>"2380"</f>
        <v>2380</v>
      </c>
      <c r="F2093" s="2" t="s">
        <v>309</v>
      </c>
    </row>
    <row r="2094" spans="1:6" x14ac:dyDescent="0.25">
      <c r="A2094" t="str">
        <f t="shared" si="112"/>
        <v>29801</v>
      </c>
      <c r="B2094" s="34">
        <v>189</v>
      </c>
      <c r="C2094" s="2" t="str">
        <f t="shared" si="113"/>
        <v>29101</v>
      </c>
      <c r="D2094" s="2" t="s">
        <v>155</v>
      </c>
      <c r="E2094" s="34" t="str">
        <f>"3403"</f>
        <v>3403</v>
      </c>
      <c r="F2094" s="2" t="s">
        <v>374</v>
      </c>
    </row>
    <row r="2095" spans="1:6" x14ac:dyDescent="0.25">
      <c r="A2095" t="str">
        <f t="shared" si="112"/>
        <v>29801</v>
      </c>
      <c r="B2095" s="63">
        <v>189</v>
      </c>
      <c r="C2095" s="64" t="str">
        <f t="shared" si="113"/>
        <v>29101</v>
      </c>
      <c r="D2095" s="64" t="s">
        <v>155</v>
      </c>
      <c r="E2095" s="63" t="str">
        <f>"3942"</f>
        <v>3942</v>
      </c>
      <c r="F2095" s="64" t="s">
        <v>600</v>
      </c>
    </row>
    <row r="2096" spans="1:6" x14ac:dyDescent="0.25">
      <c r="A2096" t="str">
        <f t="shared" si="112"/>
        <v>29801</v>
      </c>
      <c r="B2096" s="34">
        <v>189</v>
      </c>
      <c r="C2096" s="2" t="str">
        <f t="shared" si="113"/>
        <v>29101</v>
      </c>
      <c r="D2096" s="2" t="s">
        <v>155</v>
      </c>
      <c r="E2096" s="34" t="str">
        <f>"2620"</f>
        <v>2620</v>
      </c>
      <c r="F2096" s="2" t="s">
        <v>1092</v>
      </c>
    </row>
    <row r="2097" spans="1:6" x14ac:dyDescent="0.25">
      <c r="A2097" t="str">
        <f t="shared" si="112"/>
        <v>29801</v>
      </c>
      <c r="B2097" s="34">
        <v>189</v>
      </c>
      <c r="C2097" s="2" t="str">
        <f t="shared" si="113"/>
        <v>29101</v>
      </c>
      <c r="D2097" s="2" t="s">
        <v>155</v>
      </c>
      <c r="E2097" s="34" t="str">
        <f>"2774"</f>
        <v>2774</v>
      </c>
      <c r="F2097" s="2" t="s">
        <v>1138</v>
      </c>
    </row>
    <row r="2098" spans="1:6" x14ac:dyDescent="0.25">
      <c r="A2098" t="str">
        <f t="shared" si="112"/>
        <v>29801</v>
      </c>
      <c r="B2098" s="63">
        <v>189</v>
      </c>
      <c r="C2098" s="64" t="str">
        <f t="shared" si="113"/>
        <v>29101</v>
      </c>
      <c r="D2098" s="64" t="s">
        <v>155</v>
      </c>
      <c r="E2098" s="63" t="str">
        <f>"3402"</f>
        <v>3402</v>
      </c>
      <c r="F2098" s="64" t="s">
        <v>1588</v>
      </c>
    </row>
    <row r="2099" spans="1:6" x14ac:dyDescent="0.25">
      <c r="A2099" t="str">
        <f t="shared" si="112"/>
        <v>29801</v>
      </c>
      <c r="B2099" s="63">
        <v>189</v>
      </c>
      <c r="C2099" s="64" t="str">
        <f t="shared" si="113"/>
        <v>29101</v>
      </c>
      <c r="D2099" s="64" t="s">
        <v>155</v>
      </c>
      <c r="E2099" s="63" t="str">
        <f>"2150"</f>
        <v>2150</v>
      </c>
      <c r="F2099" s="2" t="s">
        <v>1610</v>
      </c>
    </row>
    <row r="2100" spans="1:6" x14ac:dyDescent="0.25">
      <c r="A2100" t="str">
        <f t="shared" si="112"/>
        <v>29801</v>
      </c>
      <c r="B2100" s="63">
        <v>189</v>
      </c>
      <c r="C2100" s="64" t="str">
        <f t="shared" si="113"/>
        <v>29101</v>
      </c>
      <c r="D2100" s="64" t="s">
        <v>155</v>
      </c>
      <c r="E2100" s="63" t="str">
        <f>"1537"</f>
        <v>1537</v>
      </c>
      <c r="F2100" s="2" t="s">
        <v>1726</v>
      </c>
    </row>
    <row r="2101" spans="1:6" x14ac:dyDescent="0.25">
      <c r="A2101" t="str">
        <f t="shared" si="112"/>
        <v>29801</v>
      </c>
      <c r="B2101" s="34">
        <v>189</v>
      </c>
      <c r="C2101" s="35">
        <v>28010</v>
      </c>
      <c r="D2101" s="2" t="s">
        <v>2408</v>
      </c>
      <c r="E2101" s="36">
        <v>3725</v>
      </c>
      <c r="F2101" s="2" t="s">
        <v>2409</v>
      </c>
    </row>
    <row r="2102" spans="1:6" x14ac:dyDescent="0.25">
      <c r="A2102" t="str">
        <f t="shared" si="112"/>
        <v>29801</v>
      </c>
      <c r="B2102" s="34">
        <v>189</v>
      </c>
      <c r="C2102" s="35">
        <v>31201</v>
      </c>
      <c r="D2102" s="31" t="s">
        <v>31</v>
      </c>
      <c r="E2102" s="36">
        <v>4265</v>
      </c>
      <c r="F2102" s="31" t="s">
        <v>32</v>
      </c>
    </row>
    <row r="2103" spans="1:6" x14ac:dyDescent="0.25">
      <c r="A2103" t="str">
        <f t="shared" si="112"/>
        <v>29801</v>
      </c>
      <c r="B2103" s="34">
        <v>189</v>
      </c>
      <c r="C2103" s="35">
        <v>31201</v>
      </c>
      <c r="D2103" s="31" t="s">
        <v>31</v>
      </c>
      <c r="E2103" s="36">
        <v>4366</v>
      </c>
      <c r="F2103" s="31" t="s">
        <v>270</v>
      </c>
    </row>
    <row r="2104" spans="1:6" x14ac:dyDescent="0.25">
      <c r="A2104" t="str">
        <f t="shared" si="112"/>
        <v>29801</v>
      </c>
      <c r="B2104" s="34">
        <v>189</v>
      </c>
      <c r="C2104" s="35">
        <v>31201</v>
      </c>
      <c r="D2104" s="31" t="s">
        <v>31</v>
      </c>
      <c r="E2104" s="36">
        <v>3305</v>
      </c>
      <c r="F2104" s="31" t="s">
        <v>283</v>
      </c>
    </row>
    <row r="2105" spans="1:6" x14ac:dyDescent="0.25">
      <c r="A2105" t="str">
        <f t="shared" si="112"/>
        <v>29801</v>
      </c>
      <c r="B2105" s="34">
        <v>189</v>
      </c>
      <c r="C2105" s="35">
        <v>31201</v>
      </c>
      <c r="D2105" s="31" t="s">
        <v>31</v>
      </c>
      <c r="E2105" s="36">
        <v>4395</v>
      </c>
      <c r="F2105" s="31" t="s">
        <v>306</v>
      </c>
    </row>
    <row r="2106" spans="1:6" x14ac:dyDescent="0.25">
      <c r="A2106" t="str">
        <f t="shared" si="112"/>
        <v>29801</v>
      </c>
      <c r="B2106" s="34">
        <v>189</v>
      </c>
      <c r="C2106" s="35">
        <v>31201</v>
      </c>
      <c r="D2106" s="31" t="s">
        <v>31</v>
      </c>
      <c r="E2106" s="36">
        <v>2446</v>
      </c>
      <c r="F2106" s="31" t="s">
        <v>308</v>
      </c>
    </row>
    <row r="2107" spans="1:6" x14ac:dyDescent="0.25">
      <c r="A2107" t="str">
        <f t="shared" si="112"/>
        <v>29801</v>
      </c>
      <c r="B2107" s="34">
        <v>189</v>
      </c>
      <c r="C2107" s="35">
        <v>31201</v>
      </c>
      <c r="D2107" s="31" t="s">
        <v>31</v>
      </c>
      <c r="E2107" s="36">
        <v>4241</v>
      </c>
      <c r="F2107" s="31" t="s">
        <v>519</v>
      </c>
    </row>
    <row r="2108" spans="1:6" x14ac:dyDescent="0.25">
      <c r="A2108" t="str">
        <f t="shared" si="112"/>
        <v>29801</v>
      </c>
      <c r="B2108" s="34">
        <v>189</v>
      </c>
      <c r="C2108" s="35">
        <v>31201</v>
      </c>
      <c r="D2108" s="31" t="s">
        <v>31</v>
      </c>
      <c r="E2108" s="36">
        <v>3005</v>
      </c>
      <c r="F2108" s="31" t="s">
        <v>578</v>
      </c>
    </row>
    <row r="2109" spans="1:6" x14ac:dyDescent="0.25">
      <c r="A2109" t="str">
        <f t="shared" si="112"/>
        <v>29801</v>
      </c>
      <c r="B2109" s="34">
        <v>189</v>
      </c>
      <c r="C2109" s="35">
        <v>31201</v>
      </c>
      <c r="D2109" s="31" t="s">
        <v>31</v>
      </c>
      <c r="E2109" s="36">
        <v>5128</v>
      </c>
      <c r="F2109" s="31" t="s">
        <v>710</v>
      </c>
    </row>
    <row r="2110" spans="1:6" x14ac:dyDescent="0.25">
      <c r="A2110" t="str">
        <f t="shared" si="112"/>
        <v>29801</v>
      </c>
      <c r="B2110" s="34">
        <v>189</v>
      </c>
      <c r="C2110" s="35">
        <v>31201</v>
      </c>
      <c r="D2110" s="31" t="s">
        <v>31</v>
      </c>
      <c r="E2110" s="36">
        <v>5100</v>
      </c>
      <c r="F2110" s="31" t="s">
        <v>1068</v>
      </c>
    </row>
    <row r="2111" spans="1:6" x14ac:dyDescent="0.25">
      <c r="A2111" t="str">
        <f t="shared" si="112"/>
        <v>29801</v>
      </c>
      <c r="B2111" s="34">
        <v>189</v>
      </c>
      <c r="C2111" s="35">
        <v>31201</v>
      </c>
      <c r="D2111" s="31" t="s">
        <v>31</v>
      </c>
      <c r="E2111" s="36">
        <v>2073</v>
      </c>
      <c r="F2111" s="31" t="s">
        <v>1102</v>
      </c>
    </row>
    <row r="2112" spans="1:6" x14ac:dyDescent="0.25">
      <c r="A2112" t="str">
        <f t="shared" si="112"/>
        <v>29801</v>
      </c>
      <c r="B2112" s="34">
        <v>189</v>
      </c>
      <c r="C2112" s="35">
        <v>31201</v>
      </c>
      <c r="D2112" s="31" t="s">
        <v>31</v>
      </c>
      <c r="E2112" s="36">
        <v>1904</v>
      </c>
      <c r="F2112" s="31" t="s">
        <v>1413</v>
      </c>
    </row>
    <row r="2113" spans="1:6" x14ac:dyDescent="0.25">
      <c r="A2113" t="str">
        <f t="shared" si="112"/>
        <v>29801</v>
      </c>
      <c r="B2113" s="34">
        <v>189</v>
      </c>
      <c r="C2113" s="35">
        <v>31201</v>
      </c>
      <c r="D2113" s="31" t="s">
        <v>31</v>
      </c>
      <c r="E2113" s="36">
        <v>3561</v>
      </c>
      <c r="F2113" s="31" t="s">
        <v>1540</v>
      </c>
    </row>
    <row r="2114" spans="1:6" x14ac:dyDescent="0.25">
      <c r="A2114" t="str">
        <f t="shared" si="112"/>
        <v>29801</v>
      </c>
      <c r="B2114" s="34">
        <v>189</v>
      </c>
      <c r="C2114" s="35">
        <v>31201</v>
      </c>
      <c r="D2114" s="31" t="s">
        <v>31</v>
      </c>
      <c r="E2114" s="36">
        <v>4184</v>
      </c>
      <c r="F2114" s="31" t="s">
        <v>1605</v>
      </c>
    </row>
    <row r="2115" spans="1:6" x14ac:dyDescent="0.25">
      <c r="A2115" t="str">
        <f t="shared" si="112"/>
        <v>29801</v>
      </c>
      <c r="B2115" s="34">
        <v>189</v>
      </c>
      <c r="C2115" s="35">
        <v>31201</v>
      </c>
      <c r="D2115" s="31" t="s">
        <v>31</v>
      </c>
      <c r="E2115" s="36">
        <v>2428</v>
      </c>
      <c r="F2115" s="31" t="s">
        <v>1675</v>
      </c>
    </row>
    <row r="2116" spans="1:6" x14ac:dyDescent="0.25">
      <c r="A2116" t="str">
        <f t="shared" si="112"/>
        <v>29801</v>
      </c>
      <c r="B2116" s="34">
        <v>189</v>
      </c>
      <c r="C2116" s="35">
        <v>31201</v>
      </c>
      <c r="D2116" s="31" t="s">
        <v>31</v>
      </c>
      <c r="E2116" s="36">
        <v>4383</v>
      </c>
      <c r="F2116" s="31" t="s">
        <v>2410</v>
      </c>
    </row>
    <row r="2117" spans="1:6" x14ac:dyDescent="0.25">
      <c r="A2117" t="str">
        <f t="shared" si="112"/>
        <v>29801</v>
      </c>
      <c r="B2117" s="34">
        <v>189</v>
      </c>
      <c r="C2117" s="35">
        <v>31201</v>
      </c>
      <c r="D2117" s="31" t="s">
        <v>31</v>
      </c>
      <c r="E2117" s="36">
        <v>4145</v>
      </c>
      <c r="F2117" s="31" t="s">
        <v>1848</v>
      </c>
    </row>
    <row r="2118" spans="1:6" x14ac:dyDescent="0.25">
      <c r="A2118" t="str">
        <f t="shared" si="112"/>
        <v>29801</v>
      </c>
      <c r="B2118" s="34">
        <v>189</v>
      </c>
      <c r="C2118" s="31" t="str">
        <f>"15206"</f>
        <v>15206</v>
      </c>
      <c r="D2118" s="31" t="s">
        <v>1689</v>
      </c>
      <c r="E2118" s="34" t="str">
        <f>"1682"</f>
        <v>1682</v>
      </c>
      <c r="F2118" s="31" t="s">
        <v>1690</v>
      </c>
    </row>
    <row r="2119" spans="1:6" x14ac:dyDescent="0.25">
      <c r="A2119" t="str">
        <f t="shared" si="112"/>
        <v>29801</v>
      </c>
      <c r="B2119" s="34">
        <v>189</v>
      </c>
      <c r="C2119" s="31" t="str">
        <f>"15206"</f>
        <v>15206</v>
      </c>
      <c r="D2119" s="31" t="s">
        <v>1689</v>
      </c>
      <c r="E2119" s="34" t="str">
        <f>"4321"</f>
        <v>4321</v>
      </c>
      <c r="F2119" s="31" t="s">
        <v>1691</v>
      </c>
    </row>
    <row r="2120" spans="1:6" x14ac:dyDescent="0.25">
      <c r="A2120" t="str">
        <f t="shared" si="112"/>
        <v>29801</v>
      </c>
      <c r="B2120" s="34">
        <v>189</v>
      </c>
      <c r="C2120" s="31" t="str">
        <f>"15206"</f>
        <v>15206</v>
      </c>
      <c r="D2120" s="31" t="s">
        <v>1689</v>
      </c>
      <c r="E2120" s="34" t="str">
        <f>"4149"</f>
        <v>4149</v>
      </c>
      <c r="F2120" s="31" t="s">
        <v>1692</v>
      </c>
    </row>
    <row r="2121" spans="1:6" x14ac:dyDescent="0.25">
      <c r="A2121" t="str">
        <f t="shared" si="112"/>
        <v>29801</v>
      </c>
      <c r="B2121" s="34">
        <v>189</v>
      </c>
      <c r="C2121" s="31" t="str">
        <f>"15206"</f>
        <v>15206</v>
      </c>
      <c r="D2121" s="31" t="s">
        <v>1689</v>
      </c>
      <c r="E2121" s="34" t="str">
        <f>"2511"</f>
        <v>2511</v>
      </c>
      <c r="F2121" s="31" t="s">
        <v>1693</v>
      </c>
    </row>
    <row r="2122" spans="1:6" x14ac:dyDescent="0.25">
      <c r="A2122" t="str">
        <f t="shared" si="112"/>
        <v>29801</v>
      </c>
      <c r="B2122" s="34">
        <v>189</v>
      </c>
      <c r="C2122" s="35">
        <v>31401</v>
      </c>
      <c r="D2122" s="31" t="s">
        <v>298</v>
      </c>
      <c r="E2122" s="37">
        <v>4513</v>
      </c>
      <c r="F2122" s="2" t="s">
        <v>299</v>
      </c>
    </row>
    <row r="2123" spans="1:6" x14ac:dyDescent="0.25">
      <c r="A2123" t="str">
        <f t="shared" si="112"/>
        <v>29801</v>
      </c>
      <c r="B2123" s="34">
        <v>189</v>
      </c>
      <c r="C2123" s="35">
        <v>31401</v>
      </c>
      <c r="D2123" s="31" t="s">
        <v>298</v>
      </c>
      <c r="E2123" s="36">
        <v>4553</v>
      </c>
      <c r="F2123" s="31" t="s">
        <v>562</v>
      </c>
    </row>
    <row r="2124" spans="1:6" x14ac:dyDescent="0.25">
      <c r="A2124" t="str">
        <f t="shared" si="112"/>
        <v>29801</v>
      </c>
      <c r="B2124" s="34">
        <v>189</v>
      </c>
      <c r="C2124" s="35">
        <v>31401</v>
      </c>
      <c r="D2124" s="31" t="s">
        <v>298</v>
      </c>
      <c r="E2124" s="36">
        <v>5108</v>
      </c>
      <c r="F2124" s="31" t="s">
        <v>1055</v>
      </c>
    </row>
    <row r="2125" spans="1:6" x14ac:dyDescent="0.25">
      <c r="A2125" t="str">
        <f t="shared" si="112"/>
        <v>29801</v>
      </c>
      <c r="B2125" s="34">
        <v>189</v>
      </c>
      <c r="C2125" s="35">
        <v>31401</v>
      </c>
      <c r="D2125" s="31" t="s">
        <v>298</v>
      </c>
      <c r="E2125" s="36">
        <v>1707</v>
      </c>
      <c r="F2125" s="31" t="s">
        <v>1060</v>
      </c>
    </row>
    <row r="2126" spans="1:6" x14ac:dyDescent="0.25">
      <c r="A2126" t="str">
        <f t="shared" si="112"/>
        <v>29801</v>
      </c>
      <c r="B2126" s="34">
        <v>189</v>
      </c>
      <c r="C2126" s="35">
        <v>31401</v>
      </c>
      <c r="D2126" s="31" t="s">
        <v>298</v>
      </c>
      <c r="E2126" s="36">
        <v>4512</v>
      </c>
      <c r="F2126" s="31" t="s">
        <v>1464</v>
      </c>
    </row>
    <row r="2127" spans="1:6" x14ac:dyDescent="0.25">
      <c r="A2127" t="str">
        <f t="shared" si="112"/>
        <v>29801</v>
      </c>
      <c r="B2127" s="34">
        <v>189</v>
      </c>
      <c r="C2127" s="35">
        <v>31401</v>
      </c>
      <c r="D2127" s="31" t="s">
        <v>298</v>
      </c>
      <c r="E2127" s="36">
        <v>5004</v>
      </c>
      <c r="F2127" s="31" t="s">
        <v>1594</v>
      </c>
    </row>
    <row r="2128" spans="1:6" x14ac:dyDescent="0.25">
      <c r="A2128" t="str">
        <f t="shared" si="112"/>
        <v>29801</v>
      </c>
      <c r="B2128" s="34">
        <v>189</v>
      </c>
      <c r="C2128" s="35">
        <v>31401</v>
      </c>
      <c r="D2128" s="31" t="s">
        <v>298</v>
      </c>
      <c r="E2128" s="36">
        <v>3125</v>
      </c>
      <c r="F2128" s="31" t="s">
        <v>1722</v>
      </c>
    </row>
    <row r="2129" spans="1:6" x14ac:dyDescent="0.25">
      <c r="A2129" t="str">
        <f t="shared" si="112"/>
        <v>29801</v>
      </c>
      <c r="B2129" s="34">
        <v>189</v>
      </c>
      <c r="C2129" s="35">
        <v>31401</v>
      </c>
      <c r="D2129" s="31" t="s">
        <v>298</v>
      </c>
      <c r="E2129" s="36">
        <v>2581</v>
      </c>
      <c r="F2129" s="31" t="s">
        <v>1723</v>
      </c>
    </row>
    <row r="2130" spans="1:6" x14ac:dyDescent="0.25">
      <c r="A2130" t="str">
        <f t="shared" si="112"/>
        <v>29801</v>
      </c>
      <c r="B2130" s="34">
        <v>189</v>
      </c>
      <c r="C2130" s="35">
        <v>31401</v>
      </c>
      <c r="D2130" s="31" t="s">
        <v>298</v>
      </c>
      <c r="E2130" s="36">
        <v>2400</v>
      </c>
      <c r="F2130" s="31" t="s">
        <v>1724</v>
      </c>
    </row>
    <row r="2131" spans="1:6" x14ac:dyDescent="0.25">
      <c r="A2131" t="str">
        <f t="shared" si="112"/>
        <v>29801</v>
      </c>
      <c r="B2131" s="34">
        <v>189</v>
      </c>
      <c r="C2131" s="35">
        <v>31401</v>
      </c>
      <c r="D2131" s="31" t="s">
        <v>298</v>
      </c>
      <c r="E2131" s="36">
        <v>4364</v>
      </c>
      <c r="F2131" s="31" t="s">
        <v>1829</v>
      </c>
    </row>
    <row r="2132" spans="1:6" x14ac:dyDescent="0.25">
      <c r="A2132" t="str">
        <f t="shared" si="112"/>
        <v>29801</v>
      </c>
      <c r="B2132" s="34">
        <v>189</v>
      </c>
      <c r="C2132" s="35">
        <v>31401</v>
      </c>
      <c r="D2132" s="31" t="s">
        <v>298</v>
      </c>
      <c r="E2132" s="36">
        <v>4551</v>
      </c>
      <c r="F2132" s="31" t="s">
        <v>1841</v>
      </c>
    </row>
    <row r="2133" spans="1:6" x14ac:dyDescent="0.25">
      <c r="A2133" t="str">
        <f t="shared" si="112"/>
        <v>29801</v>
      </c>
      <c r="B2133" s="34">
        <v>189</v>
      </c>
      <c r="C2133" s="35">
        <v>31311</v>
      </c>
      <c r="D2133" s="2" t="s">
        <v>408</v>
      </c>
      <c r="E2133" s="36">
        <v>4399</v>
      </c>
      <c r="F2133" s="2" t="s">
        <v>717</v>
      </c>
    </row>
    <row r="2134" spans="1:6" x14ac:dyDescent="0.25">
      <c r="A2134" t="str">
        <f t="shared" si="112"/>
        <v>29801</v>
      </c>
      <c r="B2134" s="34">
        <v>189</v>
      </c>
      <c r="C2134" s="35">
        <v>31311</v>
      </c>
      <c r="D2134" s="2" t="s">
        <v>408</v>
      </c>
      <c r="E2134" s="36">
        <v>5114</v>
      </c>
      <c r="F2134" s="2" t="s">
        <v>2008</v>
      </c>
    </row>
    <row r="2135" spans="1:6" x14ac:dyDescent="0.25">
      <c r="A2135" t="str">
        <f t="shared" si="112"/>
        <v>29801</v>
      </c>
      <c r="B2135" s="34">
        <v>189</v>
      </c>
      <c r="C2135" s="35">
        <v>31311</v>
      </c>
      <c r="D2135" s="2" t="s">
        <v>408</v>
      </c>
      <c r="E2135" s="36">
        <v>2229</v>
      </c>
      <c r="F2135" s="2" t="s">
        <v>1740</v>
      </c>
    </row>
    <row r="2136" spans="1:6" x14ac:dyDescent="0.25">
      <c r="A2136" t="str">
        <f t="shared" si="112"/>
        <v>29801</v>
      </c>
      <c r="B2136" s="34">
        <v>189</v>
      </c>
      <c r="C2136" s="35">
        <v>31311</v>
      </c>
      <c r="D2136" s="2" t="s">
        <v>408</v>
      </c>
      <c r="E2136" s="36">
        <v>2105</v>
      </c>
      <c r="F2136" s="2" t="s">
        <v>1741</v>
      </c>
    </row>
    <row r="2137" spans="1:6" x14ac:dyDescent="0.25">
      <c r="A2137" t="str">
        <f t="shared" si="112"/>
        <v>29801</v>
      </c>
      <c r="B2137" s="34">
        <v>189</v>
      </c>
      <c r="C2137" s="35">
        <v>31311</v>
      </c>
      <c r="D2137" s="2" t="s">
        <v>408</v>
      </c>
      <c r="E2137" s="36">
        <v>4274</v>
      </c>
      <c r="F2137" s="2" t="s">
        <v>1742</v>
      </c>
    </row>
    <row r="2138" spans="1:6" x14ac:dyDescent="0.25">
      <c r="B2138" s="33">
        <v>189</v>
      </c>
      <c r="D2138" t="s">
        <v>2411</v>
      </c>
      <c r="E2138" s="33"/>
      <c r="F2138" t="s">
        <v>2411</v>
      </c>
    </row>
  </sheetData>
  <sortState xmlns:xlrd2="http://schemas.microsoft.com/office/spreadsheetml/2017/richdata2" ref="A2:X2055">
    <sortCondition ref="D2:D2055"/>
    <sortCondition ref="F2:F2055"/>
  </sortState>
  <dataConsolidate/>
  <hyperlinks>
    <hyperlink ref="H3" r:id="rId1" xr:uid="{00000000-0004-0000-0000-000000000000}"/>
    <hyperlink ref="H4" r:id="rId2" xr:uid="{00000000-0004-0000-0000-000001000000}"/>
    <hyperlink ref="H5" r:id="rId3" xr:uid="{00000000-0004-0000-0000-000002000000}"/>
    <hyperlink ref="H2" r:id="rId4" xr:uid="{00000000-0004-0000-0000-000003000000}"/>
    <hyperlink ref="H6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30" sqref="A30"/>
    </sheetView>
  </sheetViews>
  <sheetFormatPr defaultRowHeight="15" x14ac:dyDescent="0.25"/>
  <cols>
    <col min="1" max="1" width="120.28515625" customWidth="1"/>
  </cols>
  <sheetData>
    <row r="1" spans="1:1" ht="30" x14ac:dyDescent="0.25">
      <c r="A1" s="21" t="s">
        <v>2050</v>
      </c>
    </row>
    <row r="2" spans="1:1" ht="5.25" customHeight="1" x14ac:dyDescent="0.25">
      <c r="A2" s="18"/>
    </row>
    <row r="3" spans="1:1" x14ac:dyDescent="0.25">
      <c r="A3" s="18" t="s">
        <v>2051</v>
      </c>
    </row>
    <row r="4" spans="1:1" ht="7.5" customHeight="1" x14ac:dyDescent="0.25">
      <c r="A4" s="18"/>
    </row>
    <row r="5" spans="1:1" x14ac:dyDescent="0.25">
      <c r="A5" s="19" t="s">
        <v>2052</v>
      </c>
    </row>
    <row r="6" spans="1:1" x14ac:dyDescent="0.25">
      <c r="A6" s="18" t="s">
        <v>2053</v>
      </c>
    </row>
    <row r="7" spans="1:1" x14ac:dyDescent="0.25">
      <c r="A7" s="18" t="s">
        <v>2054</v>
      </c>
    </row>
    <row r="8" spans="1:1" x14ac:dyDescent="0.25">
      <c r="A8" s="20" t="s">
        <v>2055</v>
      </c>
    </row>
    <row r="9" spans="1:1" x14ac:dyDescent="0.25">
      <c r="A9" s="20" t="s">
        <v>2031</v>
      </c>
    </row>
    <row r="10" spans="1:1" x14ac:dyDescent="0.25">
      <c r="A10" s="20" t="s">
        <v>2035</v>
      </c>
    </row>
    <row r="11" spans="1:1" x14ac:dyDescent="0.25">
      <c r="A11" s="20" t="s">
        <v>2040</v>
      </c>
    </row>
    <row r="12" spans="1:1" x14ac:dyDescent="0.25">
      <c r="A12" s="20" t="s">
        <v>2045</v>
      </c>
    </row>
    <row r="13" spans="1:1" ht="10.5" customHeight="1" x14ac:dyDescent="0.25">
      <c r="A13" s="18"/>
    </row>
    <row r="14" spans="1:1" x14ac:dyDescent="0.25">
      <c r="A14" s="18" t="s">
        <v>2056</v>
      </c>
    </row>
    <row r="15" spans="1:1" x14ac:dyDescent="0.25">
      <c r="A15" s="18" t="s">
        <v>2057</v>
      </c>
    </row>
    <row r="16" spans="1:1" x14ac:dyDescent="0.25">
      <c r="A16" s="20" t="s">
        <v>2032</v>
      </c>
    </row>
    <row r="17" spans="1:1" x14ac:dyDescent="0.25">
      <c r="A17" s="20" t="s">
        <v>2036</v>
      </c>
    </row>
    <row r="18" spans="1:1" x14ac:dyDescent="0.25">
      <c r="A18" s="20" t="s">
        <v>2058</v>
      </c>
    </row>
    <row r="19" spans="1:1" x14ac:dyDescent="0.25">
      <c r="A19" s="20" t="s">
        <v>2046</v>
      </c>
    </row>
    <row r="20" spans="1:1" x14ac:dyDescent="0.25">
      <c r="A20" s="18" t="s">
        <v>2059</v>
      </c>
    </row>
    <row r="21" spans="1:1" ht="9.75" customHeight="1" x14ac:dyDescent="0.25">
      <c r="A21" s="18"/>
    </row>
    <row r="22" spans="1:1" x14ac:dyDescent="0.25">
      <c r="A22" s="18" t="s">
        <v>2060</v>
      </c>
    </row>
    <row r="23" spans="1:1" x14ac:dyDescent="0.25">
      <c r="A23" s="18" t="s">
        <v>2061</v>
      </c>
    </row>
    <row r="24" spans="1:1" ht="10.5" customHeight="1" x14ac:dyDescent="0.25">
      <c r="A24" s="18"/>
    </row>
    <row r="25" spans="1:1" x14ac:dyDescent="0.25">
      <c r="A25" s="18" t="s">
        <v>2062</v>
      </c>
    </row>
    <row r="26" spans="1:1" x14ac:dyDescent="0.25">
      <c r="A26" s="18" t="s">
        <v>2063</v>
      </c>
    </row>
    <row r="27" spans="1:1" ht="10.5" customHeight="1" x14ac:dyDescent="0.25">
      <c r="A27" s="18"/>
    </row>
    <row r="28" spans="1:1" x14ac:dyDescent="0.25">
      <c r="A28" s="18" t="s">
        <v>2064</v>
      </c>
    </row>
    <row r="29" spans="1:1" ht="10.5" customHeight="1" x14ac:dyDescent="0.25">
      <c r="A29" s="18"/>
    </row>
    <row r="30" spans="1:1" ht="45" x14ac:dyDescent="0.25">
      <c r="A30" s="22" t="s">
        <v>2412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E A A B Q S w M E F A A C A A g A Y o a Z T E 7 P y b 2 n A A A A + A A A A B I A H A B D b 2 5 m a W c v U G F j a 2 F n Z S 5 4 b W w g o h g A K K A U A A A A A A A A A A A A A A A A A A A A A A A A A A A A h Y 9 B C 4 I w H M W / i u z u N i d G y N 9 5 6 J o Q S N F 1 z K U j n e F m 8 7 t 1 6 C P 1 F R L K 6 t b p 8 R 6 / B + 8 9 b n f I p 6 4 N r m q w u j c Z i j B F g T K y r 7 S p M z S 6 U 7 h G O Y e d k G d R q 2 C G j U 0 n q z P U O H d J C f H e Y x / j f q g J o z Q i x 2 J b y k Z 1 I t T G O m G k Q p 9 W 9 b + F O B x e Y z j D y Q o n l M W z R k C W G A p t v g i b F 2 M K 5 C e E z d i 6 c V B c m X B f A l k s k P c L / g R Q S w M E F A A C A A g A Y o a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K G m U y 1 t C X 0 A A E A A J w E A A A T A B w A R m 9 y b X V s Y X M v U 2 V j d G l v b j E u b S C i G A A o o B Q A A A A A A A A A A A A A A A A A A A A A A A A A A A D t k T 9 P w z A Q x f d I + Q 4 n d 4 k l K x J 0 R J 0 C G + K P W o k h y u C 6 R 2 s 1 8 S H b g U K U 7 4 4 T U y h U r L D U g y 3 d P b / 3 0 5 1 D 5 T U Z m M f 3 7 C J N 0 s R t p M U V L O S y x i n M o E a f J h D O n F q r M F S u d g r r v G i t R e M f y G 6 X R N u M d + W N b H D G 4 k 9 W 9 W V B x g d J J a L B h B U b a d a D + e s T s u A 0 S v O F l c Y 9 k m 0 K q t v G D E 2 X x T T R d e z W r q X R b 3 J E H S I g U 7 R C z g T 4 I A W P O 9 8 L 6 N h 9 i 2 4 Q H T W C / Q v a b + W e f 0 L d 6 W f y A S q m f 2 G N 9 e w H t I B r 7 X x + G S 5 t 1 F G 7 3 D N U X M A h 0 J 6 B p 4 k 2 v y Q f j n / y M U b I z j k 7 b e H f t z A 9 b e F v t / A O U E s B A i 0 A F A A C A A g A Y o a Z T E 7 P y b 2 n A A A A + A A A A B I A A A A A A A A A A A A A A A A A A A A A A E N v b m Z p Z y 9 Q Y W N r Y W d l L n h t b F B L A Q I t A B Q A A g A I A G K G m U w P y u m r p A A A A O k A A A A T A A A A A A A A A A A A A A A A A P M A A A B b Q 2 9 u d G V u d F 9 U e X B l c 1 0 u e G 1 s U E s B A i 0 A F A A C A A g A Y o a Z T L W 0 J f Q A A Q A A n A Q A A B M A A A A A A A A A A A A A A A A A 5 A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3 M A A A A A A A D J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1 l c 3 N h Z 2 U i I F Z h b H V l P S J z W 0 R h d G F G b 3 J t Y X Q u R X J y b 3 J d I E l u d m F s a W Q g Y 2 V s b C B 2 Y W x 1 Z S A n I 0 5 B T U U / J y 4 i I C 8 + P E V u d H J 5 I F R 5 c G U 9 I k Z p b G x M Y X N 0 V X B k Y X R l Z C I g V m F s d W U 9 I m Q y M D E 4 L T A 0 L T I 1 V D E 5 O j E 1 O j A 0 L j E 2 M D Y z N j N a I i A v P j x F b n R y e S B U e X B l P S J G a W x s U 3 R h d H V z I i B W Y W x 1 Z T 0 i c 0 V y c m 9 y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T d G F 0 d X M i I F Z h b H V l P S J z V 2 F p d G l u Z 0 Z v c k V 4 Y 2 V s U m V m c m V z a C I g L z 4 8 R W 5 0 c n k g V H l w Z T 0 i R m l s b E x h c 3 R V c G R h d G V k I i B W Y W x 1 Z T 0 i Z D I w M T g t M D Q t M j V U M T k 6 M T Y 6 M T g u M T M 3 O T M w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l M j A o M y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D b 3 V u d C I g V m F s d W U 9 I m w y O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Q t M j V U M T k 6 M j E 6 M D A u N D g z N z I 3 M 1 o i I C 8 + P E V u d H J 5 I F R 5 c G U 9 I k Z p b G x D b 2 x 1 b W 5 U e X B l c y I g V m F s d W U 9 I n N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R 0 J n W U d C Z 1 l H Q m d Z P S I g L z 4 8 R W 5 0 c n k g V H l w Z T 0 i R m l s b E N v b H V t b k 5 h b W V z I i B W Y W x 1 Z T 0 i c 1 s m c X V v d D t P c m d h b m l 6 Y X R p b 2 4 g T m F t Z S A o Y 2 9 k Z S k m c X V v d D s s J n F 1 b 3 Q 7 M j Y g S W Y g e W V z L C B w b G V h c 2 U g Z X h w b G F p b j o m c X V v d D s s J n F 1 b 3 Q 7 M T M g R X h w b G F p b i B P d G h l c j o m c X V v d D s s J n F 1 b 3 Q 7 M j g g S W Y g e W V z L C B w b G V h c 2 U g b G l z d C B 0 a G V z Z S B k a W d p d G F s I G 1 h d G V y a W F s c y A o Y W 5 k I G l u Z G l j Y X R l I H d o Z X R o Z X I g d G h l e S B h c m U g Y 2 9 t b W V y Y 2 l h b C B t Y X R l c m l h b H M g b 3 I g T 3 B l b i B F Z H V j Y X R p b 2 5 h b C B S Z X N v d X J j Z X M p L C B 0 a G U g d G V 4 d G J v b 2 t z I H R o Z X k g c m V w b G F j Z W Q s I G F u Z C B 0 a G U g Z 3 J h Z G V z I H d o Z X J l I H R o Z X N l I G F y Z S B p b i B 1 c 2 U 6 I C Z x d W 9 0 O y w m c X V v d D s 5 N C B c d T A w M 2 N p X H U w M D N l K H B s Z W F z Z S B k Z X N j c m l i Z S l c d T A w M 2 M v a V x 1 M D A z Z S Z x d W 9 0 O y w m c X V v d D s 4 N S B c d T A w M 2 N p X H U w M D N l K H B s Z W F z Z S B s a X N 0 K V x 1 M D A z Y y 9 p X H U w M D N l J n F 1 b 3 Q 7 L C Z x d W 9 0 O z g 4 I F x 1 M D A z Y 2 l c d T A w M 2 U o c G x l Y X N l I G R l c 2 N y a W J l K V x 1 M D A z Y y 9 p X H U w M D N l J n F 1 b 3 Q 7 L C Z x d W 9 0 O z k x I F x 1 M D A z Y 2 l c d T A w M 2 U o c G x l Y X N l I G R l c 2 N y a W J l K V x 1 M D A z Y y 9 p X H U w M D N l J n F 1 b 3 Q 7 L C Z x d W 9 0 O z I 0 I E V 4 c G x h a W 4 g T 3 R o Z X I m c X V v d D s s J n F 1 b 3 Q 7 M D g g S W Y g e W V z L C B j a G V j a y B h b G w g d G h l I H B y b 3 Z p Z G V y c y B v Z i B j d X J y a W N 1 b G F y I G 1 h d G V y a W F s c y B 5 b 3 U g d X N l O i Z x d W 9 0 O y w m c X V v d D s x N C B D a G V j a y B h b G w g Z 3 J h Z G U g b G V 2 Z W x z I H d o Z X J l I H R o Z X N l I G N 1 c n J p Y 3 V s Y X I g b W F 0 Z X J p Y W x z I G F y Z S B p b i B 1 c 2 U 6 J n F 1 b 3 Q 7 L C Z x d W 9 0 O z E 5 I F d o b y B w c m 9 2 a W R l c y B J b n R l c m 5 l d C B z Y W Z l d H k g Z W R 1 Y 2 F 0 a W 9 u I H R v I H R o Z S B z d H V k Z W 5 0 c z 8 g W 0 N o Z W N r I G F s b C B 0 a G F 0 I G F w c G x 5 X S Z x d W 9 0 O y w m c X V v d D s y O S B J Z i B u b y w g a X M g a X Q g Y m V j Y X V z Z S A o Y 2 h l Y 2 s g Y W x s I H R o Y X Q g Y X B w b H k p O i Z x d W 9 0 O y w m c X V v d D s z O C B J Z i B 5 Z X M s I G F 0 I H d o Y X Q g Z 3 J h Z G U g b G V 2 Z W x z I G F y Z S B 0 a G V 5 I G F z c 2 V z c 2 V k P y B b Y 2 h l Y 2 s g Y W x s I H R o Y X Q g Y X B w b H l d J n F 1 b 3 Q 7 L C Z x d W 9 0 O z U y I E l m I H l l c y w g d 2 h h d C B t Z X R o b 2 R z I G 9 m I G F z c 2 V z c 2 1 l b n Q g Z G 8 g e W 9 1 I H V z Z T 8 g W 2 N o Z W N r I G F s b C B 0 a G F 0 I G F w c G x 5 X S Z x d W 9 0 O y w m c X V v d D s 2 M C B X a G F 0 I G 1 l d G h v Z H M g b 2 Y g Y X N z Z X N z b W V u d C B k b y B 5 b 3 U g d X N l P y B b Y 2 h l Y 2 s g Y W x s I H R o Y X Q g Y X B w b H l d J n F 1 b 3 Q 7 L C Z x d W 9 0 O z Y 3 I F d o Y X Q g b W V 0 a G 9 k c y B v Z i B h c 3 N l c 3 N t Z W 5 0 I G R v I H l v d S B 1 c 2 U / I F t j a G V j a y B h b G w g d G h h d C B h c H B s e V 0 m c X V v d D s s J n F 1 b 3 Q 7 N z Q g V 2 h h d C B t Z X R o b 2 R z I G 9 m I G F z c 2 V z c 2 1 l b n Q g Z G 8 g e W 9 1 I H V z Z T 8 g W 2 N o Z W N r I G F s b C B 0 a G F 0 I G F w c G x 5 X S Z x d W 9 0 O y w m c X V v d D s 3 O C B c d T A w M 2 N i c i 9 c d T A w M 2 V c d T A w M 2 N p X H U w M D N l T 3 B 0 a W 9 u Y W w 6 I E l z I H l v d X I g Z G l z d H J p Y 3 Q g d X N p b m c g b 3 I g Y 2 9 u c 2 l k Z X J p b m c g Y W 5 5 I G 9 m I H R o Z S B m b 2 x s b 3 d p b m c g a W 4 g b 2 5 l I G 9 y I G 1 v c m U g Y n V p b G R p b m d z I C h j a G V j a y B h b G w g d G h h d C B h c H B s e S k / X H U w M D N j L 2 l c d T A w M 2 U m c X V v d D s s J n F 1 b 3 Q 7 M D E g T n V t Y m V y I G 9 m I E Z U R S B h d C B k a X N 0 c m l j d C B h b m Q g Y n V p b G R p b m c g b G V 2 Z W w g c G F p Z C B h c y B J V C B z d X B w b 3 J 0 I H R v I H B y b 3 Z p Z G U g d G V j a G 5 p Y 2 F s I H N 1 c H B v c n Q g d G 8 g Y n V p b G R p b m d z I G F u Z C B k a X N 0 c m l j d C B v Z m Z p Y 2 U 6 J n F 1 b 3 Q 7 L C Z x d W 9 0 O z M 1 I E l m I H l l c y w g c 3 B l Y 2 l m e S B 0 a G U g Y X Z l c m F n Z S B u d W 1 i Z X I g b 2 Y g e W V h c n M u J n F 1 b 3 Q 7 L C Z x d W 9 0 O z A z I E R v I H l v d S B o Y X Z l I G R p c 3 R y a W N 0 I H N 0 Y W Z m I G F z c 2 l n b m V k I H R v I H B y b 3 Z p Z G U g c H J v Z m V z c 2 l v b m F s I G R l d m V s b 3 B t Z W 5 0 I G l u I H R l Y 2 h u b 2 x v Z 3 k g a W 5 0 Z W d y Y X R p b 2 4 g Y X M g c G F y d C B v Z i B 0 a G V p c i B y Z W d 1 b G F y I E Z U R T 8 m c X V v d D s s J n F 1 b 3 Q 7 M D c g R G 9 l c y B 5 b 3 V y I G R p c 3 R y a W N 0 I H B y b 3 Z p Z G U g S W 5 0 Z X J u Z X Q g U 2 F m Z X R 5 I G V k d W N h d G l v b i B 0 b y B z d H V k Z W 5 0 c z 8 m c X V v d D s s J n F 1 b 3 Q 7 M T I g T 3 R o Z X I m c X V v d D s s J n F 1 b 3 Q 7 M T U g S y 0 z J n F 1 b 3 Q 7 L C Z x d W 9 0 O z E 2 I D Q t N i Z x d W 9 0 O y w m c X V v d D s x N y A 3 L T g m c X V v d D s s J n F 1 b 3 Q 7 M T g g O S 0 x M i Z x d W 9 0 O y w m c X V v d D s y M C B D b G F z c 3 J v b 2 0 g d G V h Y 2 h l c n M g J n F 1 b 3 Q 7 L C Z x d W 9 0 O z I 1 I E R v I H l v d S B h b G x v d y B z d H V k Z W 5 0 c y B v c i B z d G F m Z i B 0 b y B j b 2 5 u Z W N 0 I H B l c n N v b m F s I G R l d m l j Z X M g d G 8 g e W 9 1 c i B k a X N 0 c m l j d C B u Z X R 3 b 3 J r P y Z x d W 9 0 O y w m c X V v d D s y N y B I Y X M g e W 9 1 c i B k a X N 0 c m l j d C B h Z G 9 w d G V k I G R p Z 2 l 0 Y W w g b W F 0 Z X J p Y W x z I G F z I G F u I G F s d G V y b m F 0 a X Z l I H R v I H J l c G x h Y 2 U g d G V 4 d G J v b 2 t z P 1 x 1 M D A z Y 2 J y L 1 x 1 M D A z Z S Z x d W 9 0 O y w m c X V v d D s z N C B E b 2 V z I H l v d X I g Z G l z d H J p Y 3 Q g Z m 9 s b G 9 3 I G E g c m V w b G F j Z W 1 l b n Q g Y 3 l j b G U g Z m 9 y I G N v b X B 1 d G V y c z 8 m c X V v d D s s J n F 1 b 3 Q 7 M z Y g R G 9 l c y B 5 b 3 V y I G R p c 3 R y a W N 0 I G h h d m U g d G V j a G 5 v b G 9 n e S B z d G F u Z G F y Z H M g Z m 9 y I H N 0 d W R l b n R z P y Z x d W 9 0 O y w m c X V v d D s z N y B J Z i B 5 Z X M s I G F y Z S B 0 a G V 5 I H J l c X V p c m V k P y Z x d W 9 0 O y w m c X V v d D s 0 N C A 1 J n F 1 b 3 Q 7 L C Z x d W 9 0 O z Q 2 I D c m c X V v d D s s J n F 1 b 3 Q 7 N D c g O C Z x d W 9 0 O y w m c X V v d D s 1 M C A x M S Z x d W 9 0 O y w m c X V v d D s 1 N S B P U 1 B J L W R l d m V s b 3 B l Z C B j b G F z c 3 J v b 2 0 t Y m F z Z W Q g Y X N z Z X N z b W V u d C Z x d W 9 0 O y w m c X V v d D s 3 O S B c d T A w M 2 N p X H U w M D N l V X N p b m c g R 2 9 v Z 2 x l I E F w c H M g Z m 9 y I E V k d W N h d G l v b i B c d T A w M 2 M v a V x 1 M D A z Z S Z x d W 9 0 O y w m c X V v d D s 4 M y B c d T A w M 2 N p X H U w M D N l V X N p b m c g T 3 R o Z X I g Q 2 x v d W Q g Q 2 9 t c H V 0 a W 5 n I H N v b H V 0 a W 9 u c y A g I F x 1 M D A z Y y 9 p X H U w M D N l I C Z x d W 9 0 O y w m c X V v d D s 4 N C B c d T A w M 2 N p X H U w M D N l Q 2 9 u c 2 l k Z X J p b m c g d X N l I G 9 m I G 9 0 a G V y I E N s b 3 V k I E N v b X B 1 d G l u Z y B z b 2 x 1 d G l v b n M g X H U w M D N j L 2 l c d T A w M 2 U m c X V v d D s s J n F 1 b 3 Q 7 O T I g X H U w M D N j a V x 1 M D A z Z V V z a W 5 n I E J s Z W 5 k Z W Q g b G V h c m 5 p b m c g X H U w M D N j L 2 l c d T A w M 2 U m c X V v d D s s J n F 1 b 3 Q 7 O T M g X H U w M D N j a V x 1 M D A z Z U N v b n N p Z G V y a W 5 n I H V z Z S B v Z i B C b G V u Z G V k I G x l Y X J u a W 5 n I F x 1 M D A z Y y 9 p X H U w M D N l J n F 1 b 3 Q 7 L C Z x d W 9 0 O z E w I G l T Y W Z l J n F 1 b 3 Q 7 L C Z x d W 9 0 O z g w I F x 1 M D A z Y 2 l c d T A w M 2 V D b 2 5 z a W R l c m l u Z y B 1 c 2 U g b 2 Y g R 2 9 v Z 2 x l I E F w c H M g Z m 9 y I E V k d W N h d G l v b i B c d T A w M 2 M v a V x 1 M D A z Z S Z x d W 9 0 O y w m c X V v d D s 4 M i B c d T A w M 2 N p X H U w M D N l Q 2 9 u c 2 l k Z X J p b m c g d X N l I G 9 m I E 9 m Z m l j Z T M 2 N V x 1 M D A z Y y 9 p X H U w M D N l J n F 1 b 3 Q 7 L C Z x d W 9 0 O z A 0 I E R v I H l v d S B w c m 9 2 a W R l I G F u I G F k Z G l 0 a W 9 u Y W w g c 3 R p c G V u Z C B 0 b y B v b m U g b 3 I g b W 9 y Z S B k a X N 0 c m l j d C B l b X B s b 3 l l Z X M g d G 8 g c H J v d m l k Z S B w c m 9 m Z X N z a W 9 u Y W w g Z G V 2 Z W x v c G 1 l b n Q g a W 4 g d G V j a G 5 v b G 9 n e S B p b n R l Z 3 J h d G l v b j 8 m c X V v d D s s J n F 1 b 3 Q 7 M D Y g R G 8 g e W 9 1 I H B y b 3 Z p Z G U g Y W R k a X R p b 2 5 h b C B z d G l w Z W 5 k c y B 0 b y B i d W l s Z G l u Z y 1 s Z X Z l b C B l b X B s b 3 l l Z X M g d G 8 g c H J v d m l k Z S B w c m 9 m Z X N z a W 9 u Y W w g Z G V 2 Z W x v c G 1 l b n Q g a W 4 g d G V j a G 5 v b G 9 n e S B p b n R l Z 3 J h d G l v b j 8 m c X V v d D s s J n F 1 b 3 Q 7 M T E g Q 2 9 t b W 9 u I F N l b n N l I E 1 l Z G l h J n F 1 b 3 Q 7 L C Z x d W 9 0 O z I x I E x p Y n J h c m l h b n M m c X V v d D s s J n F 1 b 3 Q 7 M j I g Q 2 9 t c H V 0 Z X I g b G F i I H N w Z W N p Y W x p c 3 R z J n F 1 b 3 Q 7 L C Z x d W 9 0 O z M x I G 1 h d G V y a W F s I G R p Z C B u b 3 Q g b W F 0 Y 2 g g Z G l z d H J p Y 3 Q g b m V l Z H M m c X V v d D s s J n F 1 b 3 Q 7 M z k g S y Z x d W 9 0 O y w m c X V v d D s 0 M C A x J n F 1 b 3 Q 7 L C Z x d W 9 0 O z Q x I D I m c X V v d D s s J n F 1 b 3 Q 7 N D I g M y Z x d W 9 0 O y w m c X V v d D s 0 M y A 0 J n F 1 b 3 Q 7 L C Z x d W 9 0 O z Q 1 I D Y m c X V v d D s s J n F 1 b 3 Q 7 N T g g R G 9 l c y B 5 b 3 V y I G R p c 3 R y a W N 0 I G h h d m U g d G V j a G 5 v b G 9 n e S B z d G F u Z G F y Z H M g Z m 9 y I H R l Y W N o Z X J z P y A m c X V v d D s s J n F 1 b 3 Q 7 N T k g S W Y g e W V z L C B h c m U g d G h l e S B y Z X F 1 a X J l Z D 8 m c X V v d D s s J n F 1 b 3 Q 7 N j E g U 2 V s Z i 1 y Z X B v c n R p b m c g d G 9 v b C Z x d W 9 0 O y w m c X V v d D s 2 M y B Q b 3 J 0 Z m 9 s a W 8 g b 3 I g c H J v a m V j d C Z x d W 9 0 O y w m c X V v d D s 2 N C B D b G F z c 3 J v b 2 0 g b 2 J z Z X J 2 Y X R p b 2 4 m c X V v d D s s J n F 1 b 3 Q 7 N z I g R G 9 l c y B 5 b 3 V y I G R p c 3 R y a W N 0 I G h h d m U g d G V j a G 5 v b G 9 n e S B z d G F u Z G F y Z H M g Z m 9 y I G F k b W l u a X N 0 c m F 0 b 3 J z L 2 V k d W N h d G l v b m F s I G x l Y W R l c n M / J n F 1 b 3 Q 7 L C Z x d W 9 0 O z c z I E l m I H l l c y w g Y X J l I H R o Z X k g c m V x d W l y Z W Q / J n F 1 b 3 Q 7 L C Z x d W 9 0 O z c 1 I F N l b G Y t c m V w b 3 J 0 a W 5 n I H R v b 2 w m c X V v d D s s J n F 1 b 3 Q 7 N z c g U G 9 y d G Z v b G l v I G 9 y I H B y b 2 p l Y 3 Q m c X V v d D s s J n F 1 b 3 Q 7 O D Y g X H U w M D N j a V x 1 M D A z Z V V z a W 5 n I E d h b W l u Z y B m b 3 I g d G V h Y 2 h p b m c g Y W 5 k I G x l Y X J u a W 5 n I F x 1 M D A z Y y 9 p X H U w M D N l J n F 1 b 3 Q 7 L C Z x d W 9 0 O z k w I F x 1 M D A z Y 2 l c d T A w M 2 V D b 2 5 z a W R l c m l u Z y B 1 c 2 U g b 2 Y g R m x p c H B l Z C B D b G F z c 3 J v b 2 0 g X H U w M D N j L 2 l c d T A w M 2 U m c X V v d D s s J n F 1 b 3 Q 7 M D U g R G 8 g e W 9 1 I G h h d m U g Y n V p b G R p b m c t b G V 2 Z W w g c 3 R h Z m Y g Y X N z a W d u Z W Q g d G 8 g c H J v d m l k Z S B w c m 9 m Z X N z a W 9 u Y W w g Z G V 2 Z W x v c G 1 l b n Q g a W 4 g d G V j a G 5 v b G 9 n e S B p b n R l Z 3 J h d G l v b i B h c y B w Y X J 0 I G 9 m I H R o Z W l y I H J l Z 3 V s Y X I g R l R F P y Z x d W 9 0 O y w m c X V v d D s y M y B P d G h l c i Z x d W 9 0 O y w m c X V v d D s 1 N i B G b 3 J t Y W w g Y X N z Z X N z b W V u d C 9 0 Z X N 0 J n F 1 b 3 Q 7 L C Z x d W 9 0 O z g x I F x 1 M D A z Y 2 l c d T A w M 2 V V c 2 l u Z y B P Z m Z p Y 2 U z N j U g X H U w M D N j L 2 l c d T A w M 2 U m c X V v d D s s J n F 1 b 3 Q 7 O D c g X H U w M D N j a V x 1 M D A z Z U N v b n N p Z G V y a W 5 n I H V z Z S B v Z i B H Y W 1 p b m c g Z m 9 y I H R l Y W N o a W 5 n I G F u Z C B s Z W F y b m l u Z y B c d T A w M 2 M v a V x 1 M D A z Z S Z x d W 9 0 O y w m c X V v d D s w M i B J b i B h Z G R p d G l v b i B 0 b y B 0 a G l z I H R l Y 2 h u a W N h b C B z d X B w b 3 J 0 L C B k b 2 V z I H l v d X I g Z G l z d H J p Y 3 Q g c H J v d m l k Z S B z d G l w Z W 5 k c y B 0 b y B p b m R p d m l k d W F s c y B h d C B 0 a G U g Y n V p b G R p b m c g b G V 2 Z W w g d G 8 g c H J v d m l k Z S B 0 Z W N o b m 9 s b 2 d 5 I H N 1 c H B v c n Q / J n F 1 b 3 Q 7 L C Z x d W 9 0 O z g 5 I F x 1 M D A z Y 2 l c d T A w M 2 V V c 2 l u Z y B G b G l w c G V k I E N s Y X N z c m 9 v b S B c d T A w M 2 M v a V x 1 M D A z Z S Z x d W 9 0 O y w m c X V v d D s 2 N S B E b 2 V z I H l v d X I g Z G l z d H J p Y 3 Q g a G F 2 Z S B 0 Z W N o b m 9 s b 2 d 5 I H N 0 Y W 5 k Y X J k c y B m b 3 I g c G F y Y X B y b 2 Z l c 3 N p b 2 5 h b H M / J n F 1 b 3 Q 7 L C Z x d W 9 0 O z U z I F N l b G Y t c m V w b 3 J 0 a W 5 n I H R v b 2 w m c X V v d D s s J n F 1 b 3 Q 7 N D g g O S Z x d W 9 0 O y w m c X V v d D s 2 N i B J Z i B 5 Z X M s I G F y Z S B 0 a G V 5 I H J l c X V p c m V k P y Z x d W 9 0 O y w m c X V v d D s 2 O C B T Z W x m L X J l c G 9 y d G l u Z y B 0 b 2 9 s J n F 1 b 3 Q 7 L C Z x d W 9 0 O z Y 5 I E Z v c m 1 h b C B h c 3 N l c 3 N t Z W 5 0 L 3 R l c 3 Q m c X V v d D s s J n F 1 b 3 Q 7 M D k g T m V 0 U 2 1 h c n R 6 J n F 1 b 3 Q 7 L C Z x d W 9 0 O z M w I H V u Y X d h c m U g b 2 Y g d G h l I G 9 w d G l v b i Z x d W 9 0 O y w m c X V v d D s 0 O S A x M C Z x d W 9 0 O y w m c X V v d D s 1 M S A x M i Z x d W 9 0 O y w m c X V v d D s 1 N y B Q b 3 J 0 Z m 9 s a W 8 g b 3 I g Y 3 V s b W l u Y X R p b m c g c H J v a m V j d C Z x d W 9 0 O y w m c X V v d D s z M y B p b n N 1 Z m Z p Y 2 l l b n Q g b m V 0 d 2 9 y a y B p b m Z y Y X N 0 c n V j d H V y Z S B 0 b y B z d X B w b 3 J 0 I G R p Z 2 l 0 Y W w g Y 2 9 u d G V u d C Z x d W 9 0 O y w m c X V v d D s 3 M S B D b G F z c 3 J v b 2 0 g b 2 J z Z X J 2 Y X R p b 2 4 m c X V v d D s s J n F 1 b 3 Q 7 M z I g a W 5 z d W Z m a W N p Z W 5 0 I H N 0 d W R l b n Q g Y W N j Z X N z I H R v I H R l Y 2 h u b 2 x v Z 3 k g d G 8 g Z G V s a X Z l c i B k a W d p d G F s I G N v b n R l b n Q m c X V v d D s s J n F 1 b 3 Q 7 N T Q g Q 2 x h c 3 N y b 2 9 t L W J h c 2 V k I G F z c 2 V z c 2 1 l b n Q m c X V v d D s s J n F 1 b 3 Q 7 N j I g R m 9 y b W F s I G F z c 2 V z c 2 1 l b n Q v d G V z d C Z x d W 9 0 O y w m c X V v d D s 3 N i B G b 3 J t Y W w g Y X N z Z X N z b W V u d C 9 0 Z X N 0 J n F 1 b 3 Q 7 L C Z x d W 9 0 O z c w I F B v c n R m b 2 x p b y B v c i B w c m 9 q Z W N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A o M y k v U G l 2 b 3 R l Z C B D b 2 x 1 b W 4 u e 0 9 y Z 2 F u a X p h d G l v b i B O Y W 1 l I C h j b 2 R l K S w w f S Z x d W 9 0 O y w m c X V v d D t T Z W N 0 a W 9 u M S 9 U Y W J s Z T M g K D M p L 1 B p d m 9 0 Z W Q g Q 2 9 s d W 1 u L n s y N i B J Z i B 5 Z X M s I H B s Z W F z Z S B l e H B s Y W l u O i w x f S Z x d W 9 0 O y w m c X V v d D t T Z W N 0 a W 9 u M S 9 U Y W J s Z T M g K D M p L 1 B p d m 9 0 Z W Q g Q 2 9 s d W 1 u L n s x M y B F e H B s Y W l u I E 9 0 a G V y O i w y f S Z x d W 9 0 O y w m c X V v d D t T Z W N 0 a W 9 u M S 9 U Y W J s Z T M g K D M p L 1 B p d m 9 0 Z W Q g Q 2 9 s d W 1 u L n s y O C B J Z i B 5 Z X M s I H B s Z W F z Z S B s a X N 0 I H R o Z X N l I G R p Z 2 l 0 Y W w g b W F 0 Z X J p Y W x z I C h h b m Q g a W 5 k a W N h d G U g d 2 h l d G h l c i B 0 a G V 5 I G F y Z S B j b 2 1 t Z X J j a W F s I G 1 h d G V y a W F s c y B v c i B P c G V u I E V k d W N h d G l v b m F s I F J l c 2 9 1 c m N l c y k s I H R o Z S B 0 Z X h 0 Y m 9 v a 3 M g d G h l e S B y Z X B s Y W N l Z C w g Y W 5 k I H R o Z S B n c m F k Z X M g d 2 h l c m U g d G h l c 2 U g Y X J l I G l u I H V z Z T o g L D N 9 J n F 1 b 3 Q 7 L C Z x d W 9 0 O 1 N l Y 3 R p b 2 4 x L 1 R h Y m x l M y A o M y k v U G l 2 b 3 R l Z C B D b 2 x 1 b W 4 u e z k 0 I F x 1 M D A z Y 2 l c d T A w M 2 U o c G x l Y X N l I G R l c 2 N y a W J l K V x 1 M D A z Y y 9 p X H U w M D N l L D R 9 J n F 1 b 3 Q 7 L C Z x d W 9 0 O 1 N l Y 3 R p b 2 4 x L 1 R h Y m x l M y A o M y k v U G l 2 b 3 R l Z C B D b 2 x 1 b W 4 u e z g 1 I F x 1 M D A z Y 2 l c d T A w M 2 U o c G x l Y X N l I G x p c 3 Q p X H U w M D N j L 2 l c d T A w M 2 U s N X 0 m c X V v d D s s J n F 1 b 3 Q 7 U 2 V j d G l v b j E v V G F i b G U z I C g z K S 9 Q a X Z v d G V k I E N v b H V t b i 5 7 O D g g X H U w M D N j a V x 1 M D A z Z S h w b G V h c 2 U g Z G V z Y 3 J p Y m U p X H U w M D N j L 2 l c d T A w M 2 U s N n 0 m c X V v d D s s J n F 1 b 3 Q 7 U 2 V j d G l v b j E v V G F i b G U z I C g z K S 9 Q a X Z v d G V k I E N v b H V t b i 5 7 O T E g X H U w M D N j a V x 1 M D A z Z S h w b G V h c 2 U g Z G V z Y 3 J p Y m U p X H U w M D N j L 2 l c d T A w M 2 U s N 3 0 m c X V v d D s s J n F 1 b 3 Q 7 U 2 V j d G l v b j E v V G F i b G U z I C g z K S 9 Q a X Z v d G V k I E N v b H V t b i 5 7 M j Q g R X h w b G F p b i B P d G h l c i w 4 f S Z x d W 9 0 O y w m c X V v d D t T Z W N 0 a W 9 u M S 9 U Y W J s Z T M g K D M p L 1 B p d m 9 0 Z W Q g Q 2 9 s d W 1 u L n s w O C B J Z i B 5 Z X M s I G N o Z W N r I G F s b C B 0 a G U g c H J v d m l k Z X J z I G 9 m I G N 1 c n J p Y 3 V s Y X I g b W F 0 Z X J p Y W x z I H l v d S B 1 c 2 U 6 L D l 9 J n F 1 b 3 Q 7 L C Z x d W 9 0 O 1 N l Y 3 R p b 2 4 x L 1 R h Y m x l M y A o M y k v U G l 2 b 3 R l Z C B D b 2 x 1 b W 4 u e z E 0 I E N o Z W N r I G F s b C B n c m F k Z S B s Z X Z l b H M g d 2 h l c m U g d G h l c 2 U g Y 3 V y c m l j d W x h c i B t Y X R l c m l h b H M g Y X J l I G l u I H V z Z T o s M T B 9 J n F 1 b 3 Q 7 L C Z x d W 9 0 O 1 N l Y 3 R p b 2 4 x L 1 R h Y m x l M y A o M y k v U G l 2 b 3 R l Z C B D b 2 x 1 b W 4 u e z E 5 I F d o b y B w c m 9 2 a W R l c y B J b n R l c m 5 l d C B z Y W Z l d H k g Z W R 1 Y 2 F 0 a W 9 u I H R v I H R o Z S B z d H V k Z W 5 0 c z 8 g W 0 N o Z W N r I G F s b C B 0 a G F 0 I G F w c G x 5 X S w x M X 0 m c X V v d D s s J n F 1 b 3 Q 7 U 2 V j d G l v b j E v V G F i b G U z I C g z K S 9 Q a X Z v d G V k I E N v b H V t b i 5 7 M j k g S W Y g b m 8 s I G l z I G l 0 I G J l Y 2 F 1 c 2 U g K G N o Z W N r I G F s b C B 0 a G F 0 I G F w c G x 5 K T o s M T J 9 J n F 1 b 3 Q 7 L C Z x d W 9 0 O 1 N l Y 3 R p b 2 4 x L 1 R h Y m x l M y A o M y k v U G l 2 b 3 R l Z C B D b 2 x 1 b W 4 u e z M 4 I E l m I H l l c y w g Y X Q g d 2 h h d C B n c m F k Z S B s Z X Z l b H M g Y X J l I H R o Z X k g Y X N z Z X N z Z W Q / I F t j a G V j a y B h b G w g d G h h d C B h c H B s e V 0 s M T N 9 J n F 1 b 3 Q 7 L C Z x d W 9 0 O 1 N l Y 3 R p b 2 4 x L 1 R h Y m x l M y A o M y k v U G l 2 b 3 R l Z C B D b 2 x 1 b W 4 u e z U y I E l m I H l l c y w g d 2 h h d C B t Z X R o b 2 R z I G 9 m I G F z c 2 V z c 2 1 l b n Q g Z G 8 g e W 9 1 I H V z Z T 8 g W 2 N o Z W N r I G F s b C B 0 a G F 0 I G F w c G x 5 X S w x N H 0 m c X V v d D s s J n F 1 b 3 Q 7 U 2 V j d G l v b j E v V G F i b G U z I C g z K S 9 Q a X Z v d G V k I E N v b H V t b i 5 7 N j A g V 2 h h d C B t Z X R o b 2 R z I G 9 m I G F z c 2 V z c 2 1 l b n Q g Z G 8 g e W 9 1 I H V z Z T 8 g W 2 N o Z W N r I G F s b C B 0 a G F 0 I G F w c G x 5 X S w x N X 0 m c X V v d D s s J n F 1 b 3 Q 7 U 2 V j d G l v b j E v V G F i b G U z I C g z K S 9 Q a X Z v d G V k I E N v b H V t b i 5 7 N j c g V 2 h h d C B t Z X R o b 2 R z I G 9 m I G F z c 2 V z c 2 1 l b n Q g Z G 8 g e W 9 1 I H V z Z T 8 g W 2 N o Z W N r I G F s b C B 0 a G F 0 I G F w c G x 5 X S w x N n 0 m c X V v d D s s J n F 1 b 3 Q 7 U 2 V j d G l v b j E v V G F i b G U z I C g z K S 9 Q a X Z v d G V k I E N v b H V t b i 5 7 N z Q g V 2 h h d C B t Z X R o b 2 R z I G 9 m I G F z c 2 V z c 2 1 l b n Q g Z G 8 g e W 9 1 I H V z Z T 8 g W 2 N o Z W N r I G F s b C B 0 a G F 0 I G F w c G x 5 X S w x N 3 0 m c X V v d D s s J n F 1 b 3 Q 7 U 2 V j d G l v b j E v V G F i b G U z I C g z K S 9 Q a X Z v d G V k I E N v b H V t b i 5 7 N z g g X H U w M D N j Y n I v X H U w M D N l X H U w M D N j a V x 1 M D A z Z U 9 w d G l v b m F s O i B J c y B 5 b 3 V y I G R p c 3 R y a W N 0 I H V z a W 5 n I G 9 y I G N v b n N p Z G V y a W 5 n I G F u e S B v Z i B 0 a G U g Z m 9 s b G 9 3 a W 5 n I G l u I G 9 u Z S B v c i B t b 3 J l I G J 1 a W x k a W 5 n c y A o Y 2 h l Y 2 s g Y W x s I H R o Y X Q g Y X B w b H k p P 1 x 1 M D A z Y y 9 p X H U w M D N l L D E 4 f S Z x d W 9 0 O y w m c X V v d D t T Z W N 0 a W 9 u M S 9 U Y W J s Z T M g K D M p L 1 B p d m 9 0 Z W Q g Q 2 9 s d W 1 u L n s w M S B O d W 1 i Z X I g b 2 Y g R l R F I G F 0 I G R p c 3 R y a W N 0 I G F u Z C B i d W l s Z G l u Z y B s Z X Z l b C B w Y W l k I G F z I E l U I H N 1 c H B v c n Q g d G 8 g c H J v d m l k Z S B 0 Z W N o b m l j Y W w g c 3 V w c G 9 y d C B 0 b y B i d W l s Z G l u Z 3 M g Y W 5 k I G R p c 3 R y a W N 0 I G 9 m Z m l j Z T o s M T l 9 J n F 1 b 3 Q 7 L C Z x d W 9 0 O 1 N l Y 3 R p b 2 4 x L 1 R h Y m x l M y A o M y k v U G l 2 b 3 R l Z C B D b 2 x 1 b W 4 u e z M 1 I E l m I H l l c y w g c 3 B l Y 2 l m e S B 0 a G U g Y X Z l c m F n Z S B u d W 1 i Z X I g b 2 Y g e W V h c n M u L D I w f S Z x d W 9 0 O y w m c X V v d D t T Z W N 0 a W 9 u M S 9 U Y W J s Z T M g K D M p L 1 B p d m 9 0 Z W Q g Q 2 9 s d W 1 u L n s w M y B E b y B 5 b 3 U g a G F 2 Z S B k a X N 0 c m l j d C B z d G F m Z i B h c 3 N p Z 2 5 l Z C B 0 b y B w c m 9 2 a W R l I H B y b 2 Z l c 3 N p b 2 5 h b C B k Z X Z l b G 9 w b W V u d C B p b i B 0 Z W N o b m 9 s b 2 d 5 I G l u d G V n c m F 0 a W 9 u I G F z I H B h c n Q g b 2 Y g d G h l a X I g c m V n d W x h c i B G V E U / L D I x f S Z x d W 9 0 O y w m c X V v d D t T Z W N 0 a W 9 u M S 9 U Y W J s Z T M g K D M p L 1 B p d m 9 0 Z W Q g Q 2 9 s d W 1 u L n s w N y B E b 2 V z I H l v d X I g Z G l z d H J p Y 3 Q g c H J v d m l k Z S B J b n R l c m 5 l d C B T Y W Z l d H k g Z W R 1 Y 2 F 0 a W 9 u I H R v I H N 0 d W R l b n R z P y w y M n 0 m c X V v d D s s J n F 1 b 3 Q 7 U 2 V j d G l v b j E v V G F i b G U z I C g z K S 9 Q a X Z v d G V k I E N v b H V t b i 5 7 M T I g T 3 R o Z X I s M j N 9 J n F 1 b 3 Q 7 L C Z x d W 9 0 O 1 N l Y 3 R p b 2 4 x L 1 R h Y m x l M y A o M y k v U G l 2 b 3 R l Z C B D b 2 x 1 b W 4 u e z E 1 I E s t M y w y N H 0 m c X V v d D s s J n F 1 b 3 Q 7 U 2 V j d G l v b j E v V G F i b G U z I C g z K S 9 Q a X Z v d G V k I E N v b H V t b i 5 7 M T Y g N C 0 2 L D I 1 f S Z x d W 9 0 O y w m c X V v d D t T Z W N 0 a W 9 u M S 9 U Y W J s Z T M g K D M p L 1 B p d m 9 0 Z W Q g Q 2 9 s d W 1 u L n s x N y A 3 L T g s M j Z 9 J n F 1 b 3 Q 7 L C Z x d W 9 0 O 1 N l Y 3 R p b 2 4 x L 1 R h Y m x l M y A o M y k v U G l 2 b 3 R l Z C B D b 2 x 1 b W 4 u e z E 4 I D k t M T I s M j d 9 J n F 1 b 3 Q 7 L C Z x d W 9 0 O 1 N l Y 3 R p b 2 4 x L 1 R h Y m x l M y A o M y k v U G l 2 b 3 R l Z C B D b 2 x 1 b W 4 u e z I w I E N s Y X N z c m 9 v b S B 0 Z W F j a G V y c y A s M j h 9 J n F 1 b 3 Q 7 L C Z x d W 9 0 O 1 N l Y 3 R p b 2 4 x L 1 R h Y m x l M y A o M y k v U G l 2 b 3 R l Z C B D b 2 x 1 b W 4 u e z I 1 I E R v I H l v d S B h b G x v d y B z d H V k Z W 5 0 c y B v c i B z d G F m Z i B 0 b y B j b 2 5 u Z W N 0 I H B l c n N v b m F s I G R l d m l j Z X M g d G 8 g e W 9 1 c i B k a X N 0 c m l j d C B u Z X R 3 b 3 J r P y w y O X 0 m c X V v d D s s J n F 1 b 3 Q 7 U 2 V j d G l v b j E v V G F i b G U z I C g z K S 9 Q a X Z v d G V k I E N v b H V t b i 5 7 M j c g S G F z I H l v d X I g Z G l z d H J p Y 3 Q g Y W R v c H R l Z C B k a W d p d G F s I G 1 h d G V y a W F s c y B h c y B h b i B h b H R l c m 5 h d G l 2 Z S B 0 b y B y Z X B s Y W N l I H R l e H R i b 2 9 r c z 9 c d T A w M 2 N i c i 9 c d T A w M 2 U s M z B 9 J n F 1 b 3 Q 7 L C Z x d W 9 0 O 1 N l Y 3 R p b 2 4 x L 1 R h Y m x l M y A o M y k v U G l 2 b 3 R l Z C B D b 2 x 1 b W 4 u e z M 0 I E R v Z X M g e W 9 1 c i B k a X N 0 c m l j d C B m b 2 x s b 3 c g Y S B y Z X B s Y W N l b W V u d C B j e W N s Z S B m b 3 I g Y 2 9 t c H V 0 Z X J z P y w z M X 0 m c X V v d D s s J n F 1 b 3 Q 7 U 2 V j d G l v b j E v V G F i b G U z I C g z K S 9 Q a X Z v d G V k I E N v b H V t b i 5 7 M z Y g R G 9 l c y B 5 b 3 V y I G R p c 3 R y a W N 0 I G h h d m U g d G V j a G 5 v b G 9 n e S B z d G F u Z G F y Z H M g Z m 9 y I H N 0 d W R l b n R z P y w z M n 0 m c X V v d D s s J n F 1 b 3 Q 7 U 2 V j d G l v b j E v V G F i b G U z I C g z K S 9 Q a X Z v d G V k I E N v b H V t b i 5 7 M z c g S W Y g e W V z L C B h c m U g d G h l e S B y Z X F 1 a X J l Z D 8 s M z N 9 J n F 1 b 3 Q 7 L C Z x d W 9 0 O 1 N l Y 3 R p b 2 4 x L 1 R h Y m x l M y A o M y k v U G l 2 b 3 R l Z C B D b 2 x 1 b W 4 u e z Q 0 I D U s M z R 9 J n F 1 b 3 Q 7 L C Z x d W 9 0 O 1 N l Y 3 R p b 2 4 x L 1 R h Y m x l M y A o M y k v U G l 2 b 3 R l Z C B D b 2 x 1 b W 4 u e z Q 2 I D c s M z V 9 J n F 1 b 3 Q 7 L C Z x d W 9 0 O 1 N l Y 3 R p b 2 4 x L 1 R h Y m x l M y A o M y k v U G l 2 b 3 R l Z C B D b 2 x 1 b W 4 u e z Q 3 I D g s M z Z 9 J n F 1 b 3 Q 7 L C Z x d W 9 0 O 1 N l Y 3 R p b 2 4 x L 1 R h Y m x l M y A o M y k v U G l 2 b 3 R l Z C B D b 2 x 1 b W 4 u e z U w I D E x L D M 3 f S Z x d W 9 0 O y w m c X V v d D t T Z W N 0 a W 9 u M S 9 U Y W J s Z T M g K D M p L 1 B p d m 9 0 Z W Q g Q 2 9 s d W 1 u L n s 1 N S B P U 1 B J L W R l d m V s b 3 B l Z C B j b G F z c 3 J v b 2 0 t Y m F z Z W Q g Y X N z Z X N z b W V u d C w z O H 0 m c X V v d D s s J n F 1 b 3 Q 7 U 2 V j d G l v b j E v V G F i b G U z I C g z K S 9 Q a X Z v d G V k I E N v b H V t b i 5 7 N z k g X H U w M D N j a V x 1 M D A z Z V V z a W 5 n I E d v b 2 d s Z S B B c H B z I G Z v c i B F Z H V j Y X R p b 2 4 g X H U w M D N j L 2 l c d T A w M 2 U s M z l 9 J n F 1 b 3 Q 7 L C Z x d W 9 0 O 1 N l Y 3 R p b 2 4 x L 1 R h Y m x l M y A o M y k v U G l 2 b 3 R l Z C B D b 2 x 1 b W 4 u e z g z I F x 1 M D A z Y 2 l c d T A w M 2 V V c 2 l u Z y B P d G h l c i B D b G 9 1 Z C B D b 2 1 w d X R p b m c g c 2 9 s d X R p b 2 5 z I C A g X H U w M D N j L 2 l c d T A w M 2 U g L D Q w f S Z x d W 9 0 O y w m c X V v d D t T Z W N 0 a W 9 u M S 9 U Y W J s Z T M g K D M p L 1 B p d m 9 0 Z W Q g Q 2 9 s d W 1 u L n s 4 N C B c d T A w M 2 N p X H U w M D N l Q 2 9 u c 2 l k Z X J p b m c g d X N l I G 9 m I G 9 0 a G V y I E N s b 3 V k I E N v b X B 1 d G l u Z y B z b 2 x 1 d G l v b n M g X H U w M D N j L 2 l c d T A w M 2 U s N D F 9 J n F 1 b 3 Q 7 L C Z x d W 9 0 O 1 N l Y 3 R p b 2 4 x L 1 R h Y m x l M y A o M y k v U G l 2 b 3 R l Z C B D b 2 x 1 b W 4 u e z k y I F x 1 M D A z Y 2 l c d T A w M 2 V V c 2 l u Z y B C b G V u Z G V k I G x l Y X J u a W 5 n I F x 1 M D A z Y y 9 p X H U w M D N l L D Q y f S Z x d W 9 0 O y w m c X V v d D t T Z W N 0 a W 9 u M S 9 U Y W J s Z T M g K D M p L 1 B p d m 9 0 Z W Q g Q 2 9 s d W 1 u L n s 5 M y B c d T A w M 2 N p X H U w M D N l Q 2 9 u c 2 l k Z X J p b m c g d X N l I G 9 m I E J s Z W 5 k Z W Q g b G V h c m 5 p b m c g X H U w M D N j L 2 l c d T A w M 2 U s N D N 9 J n F 1 b 3 Q 7 L C Z x d W 9 0 O 1 N l Y 3 R p b 2 4 x L 1 R h Y m x l M y A o M y k v U G l 2 b 3 R l Z C B D b 2 x 1 b W 4 u e z E w I G l T Y W Z l L D Q 0 f S Z x d W 9 0 O y w m c X V v d D t T Z W N 0 a W 9 u M S 9 U Y W J s Z T M g K D M p L 1 B p d m 9 0 Z W Q g Q 2 9 s d W 1 u L n s 4 M C B c d T A w M 2 N p X H U w M D N l Q 2 9 u c 2 l k Z X J p b m c g d X N l I G 9 m I E d v b 2 d s Z S B B c H B z I G Z v c i B F Z H V j Y X R p b 2 4 g X H U w M D N j L 2 l c d T A w M 2 U s N D V 9 J n F 1 b 3 Q 7 L C Z x d W 9 0 O 1 N l Y 3 R p b 2 4 x L 1 R h Y m x l M y A o M y k v U G l 2 b 3 R l Z C B D b 2 x 1 b W 4 u e z g y I F x 1 M D A z Y 2 l c d T A w M 2 V D b 2 5 z a W R l c m l u Z y B 1 c 2 U g b 2 Y g T 2 Z m a W N l M z Y 1 X H U w M D N j L 2 l c d T A w M 2 U s N D Z 9 J n F 1 b 3 Q 7 L C Z x d W 9 0 O 1 N l Y 3 R p b 2 4 x L 1 R h Y m x l M y A o M y k v U G l 2 b 3 R l Z C B D b 2 x 1 b W 4 u e z A 0 I E R v I H l v d S B w c m 9 2 a W R l I G F u I G F k Z G l 0 a W 9 u Y W w g c 3 R p c G V u Z C B 0 b y B v b m U g b 3 I g b W 9 y Z S B k a X N 0 c m l j d C B l b X B s b 3 l l Z X M g d G 8 g c H J v d m l k Z S B w c m 9 m Z X N z a W 9 u Y W w g Z G V 2 Z W x v c G 1 l b n Q g a W 4 g d G V j a G 5 v b G 9 n e S B p b n R l Z 3 J h d G l v b j 8 s N D d 9 J n F 1 b 3 Q 7 L C Z x d W 9 0 O 1 N l Y 3 R p b 2 4 x L 1 R h Y m x l M y A o M y k v U G l 2 b 3 R l Z C B D b 2 x 1 b W 4 u e z A 2 I E R v I H l v d S B w c m 9 2 a W R l I G F k Z G l 0 a W 9 u Y W w g c 3 R p c G V u Z H M g d G 8 g Y n V p b G R p b m c t b G V 2 Z W w g Z W 1 w b G 9 5 Z W V z I H R v I H B y b 3 Z p Z G U g c H J v Z m V z c 2 l v b m F s I G R l d m V s b 3 B t Z W 5 0 I G l u I H R l Y 2 h u b 2 x v Z 3 k g a W 5 0 Z W d y Y X R p b 2 4 / L D Q 4 f S Z x d W 9 0 O y w m c X V v d D t T Z W N 0 a W 9 u M S 9 U Y W J s Z T M g K D M p L 1 B p d m 9 0 Z W Q g Q 2 9 s d W 1 u L n s x M S B D b 2 1 t b 2 4 g U 2 V u c 2 U g T W V k a W E s N D l 9 J n F 1 b 3 Q 7 L C Z x d W 9 0 O 1 N l Y 3 R p b 2 4 x L 1 R h Y m x l M y A o M y k v U G l 2 b 3 R l Z C B D b 2 x 1 b W 4 u e z I x I E x p Y n J h c m l h b n M s N T B 9 J n F 1 b 3 Q 7 L C Z x d W 9 0 O 1 N l Y 3 R p b 2 4 x L 1 R h Y m x l M y A o M y k v U G l 2 b 3 R l Z C B D b 2 x 1 b W 4 u e z I y I E N v b X B 1 d G V y I G x h Y i B z c G V j a W F s a X N 0 c y w 1 M X 0 m c X V v d D s s J n F 1 b 3 Q 7 U 2 V j d G l v b j E v V G F i b G U z I C g z K S 9 Q a X Z v d G V k I E N v b H V t b i 5 7 M z E g b W F 0 Z X J p Y W w g Z G l k I G 5 v d C B t Y X R j a C B k a X N 0 c m l j d C B u Z W V k c y w 1 M n 0 m c X V v d D s s J n F 1 b 3 Q 7 U 2 V j d G l v b j E v V G F i b G U z I C g z K S 9 Q a X Z v d G V k I E N v b H V t b i 5 7 M z k g S y w 1 M 3 0 m c X V v d D s s J n F 1 b 3 Q 7 U 2 V j d G l v b j E v V G F i b G U z I C g z K S 9 Q a X Z v d G V k I E N v b H V t b i 5 7 N D A g M S w 1 N H 0 m c X V v d D s s J n F 1 b 3 Q 7 U 2 V j d G l v b j E v V G F i b G U z I C g z K S 9 Q a X Z v d G V k I E N v b H V t b i 5 7 N D E g M i w 1 N X 0 m c X V v d D s s J n F 1 b 3 Q 7 U 2 V j d G l v b j E v V G F i b G U z I C g z K S 9 Q a X Z v d G V k I E N v b H V t b i 5 7 N D I g M y w 1 N n 0 m c X V v d D s s J n F 1 b 3 Q 7 U 2 V j d G l v b j E v V G F i b G U z I C g z K S 9 Q a X Z v d G V k I E N v b H V t b i 5 7 N D M g N C w 1 N 3 0 m c X V v d D s s J n F 1 b 3 Q 7 U 2 V j d G l v b j E v V G F i b G U z I C g z K S 9 Q a X Z v d G V k I E N v b H V t b i 5 7 N D U g N i w 1 O H 0 m c X V v d D s s J n F 1 b 3 Q 7 U 2 V j d G l v b j E v V G F i b G U z I C g z K S 9 Q a X Z v d G V k I E N v b H V t b i 5 7 N T g g R G 9 l c y B 5 b 3 V y I G R p c 3 R y a W N 0 I G h h d m U g d G V j a G 5 v b G 9 n e S B z d G F u Z G F y Z H M g Z m 9 y I H R l Y W N o Z X J z P y A s N T l 9 J n F 1 b 3 Q 7 L C Z x d W 9 0 O 1 N l Y 3 R p b 2 4 x L 1 R h Y m x l M y A o M y k v U G l 2 b 3 R l Z C B D b 2 x 1 b W 4 u e z U 5 I E l m I H l l c y w g Y X J l I H R o Z X k g c m V x d W l y Z W Q / L D Y w f S Z x d W 9 0 O y w m c X V v d D t T Z W N 0 a W 9 u M S 9 U Y W J s Z T M g K D M p L 1 B p d m 9 0 Z W Q g Q 2 9 s d W 1 u L n s 2 M S B T Z W x m L X J l c G 9 y d G l u Z y B 0 b 2 9 s L D Y x f S Z x d W 9 0 O y w m c X V v d D t T Z W N 0 a W 9 u M S 9 U Y W J s Z T M g K D M p L 1 B p d m 9 0 Z W Q g Q 2 9 s d W 1 u L n s 2 M y B Q b 3 J 0 Z m 9 s a W 8 g b 3 I g c H J v a m V j d C w 2 M n 0 m c X V v d D s s J n F 1 b 3 Q 7 U 2 V j d G l v b j E v V G F i b G U z I C g z K S 9 Q a X Z v d G V k I E N v b H V t b i 5 7 N j Q g Q 2 x h c 3 N y b 2 9 t I G 9 i c 2 V y d m F 0 a W 9 u L D Y z f S Z x d W 9 0 O y w m c X V v d D t T Z W N 0 a W 9 u M S 9 U Y W J s Z T M g K D M p L 1 B p d m 9 0 Z W Q g Q 2 9 s d W 1 u L n s 3 M i B E b 2 V z I H l v d X I g Z G l z d H J p Y 3 Q g a G F 2 Z S B 0 Z W N o b m 9 s b 2 d 5 I H N 0 Y W 5 k Y X J k c y B m b 3 I g Y W R t a W 5 p c 3 R y Y X R v c n M v Z W R 1 Y 2 F 0 a W 9 u Y W w g b G V h Z G V y c z 8 s N j R 9 J n F 1 b 3 Q 7 L C Z x d W 9 0 O 1 N l Y 3 R p b 2 4 x L 1 R h Y m x l M y A o M y k v U G l 2 b 3 R l Z C B D b 2 x 1 b W 4 u e z c z I E l m I H l l c y w g Y X J l I H R o Z X k g c m V x d W l y Z W Q / L D Y 1 f S Z x d W 9 0 O y w m c X V v d D t T Z W N 0 a W 9 u M S 9 U Y W J s Z T M g K D M p L 1 B p d m 9 0 Z W Q g Q 2 9 s d W 1 u L n s 3 N S B T Z W x m L X J l c G 9 y d G l u Z y B 0 b 2 9 s L D Y 2 f S Z x d W 9 0 O y w m c X V v d D t T Z W N 0 a W 9 u M S 9 U Y W J s Z T M g K D M p L 1 B p d m 9 0 Z W Q g Q 2 9 s d W 1 u L n s 3 N y B Q b 3 J 0 Z m 9 s a W 8 g b 3 I g c H J v a m V j d C w 2 N 3 0 m c X V v d D s s J n F 1 b 3 Q 7 U 2 V j d G l v b j E v V G F i b G U z I C g z K S 9 Q a X Z v d G V k I E N v b H V t b i 5 7 O D Y g X H U w M D N j a V x 1 M D A z Z V V z a W 5 n I E d h b W l u Z y B m b 3 I g d G V h Y 2 h p b m c g Y W 5 k I G x l Y X J u a W 5 n I F x 1 M D A z Y y 9 p X H U w M D N l L D Y 4 f S Z x d W 9 0 O y w m c X V v d D t T Z W N 0 a W 9 u M S 9 U Y W J s Z T M g K D M p L 1 B p d m 9 0 Z W Q g Q 2 9 s d W 1 u L n s 5 M C B c d T A w M 2 N p X H U w M D N l Q 2 9 u c 2 l k Z X J p b m c g d X N l I G 9 m I E Z s a X B w Z W Q g Q 2 x h c 3 N y b 2 9 t I F x 1 M D A z Y y 9 p X H U w M D N l L D Y 5 f S Z x d W 9 0 O y w m c X V v d D t T Z W N 0 a W 9 u M S 9 U Y W J s Z T M g K D M p L 1 B p d m 9 0 Z W Q g Q 2 9 s d W 1 u L n s w N S B E b y B 5 b 3 U g a G F 2 Z S B i d W l s Z G l u Z y 1 s Z X Z l b C B z d G F m Z i B h c 3 N p Z 2 5 l Z C B 0 b y B w c m 9 2 a W R l I H B y b 2 Z l c 3 N p b 2 5 h b C B k Z X Z l b G 9 w b W V u d C B p b i B 0 Z W N o b m 9 s b 2 d 5 I G l u d G V n c m F 0 a W 9 u I G F z I H B h c n Q g b 2 Y g d G h l a X I g c m V n d W x h c i B G V E U / L D c w f S Z x d W 9 0 O y w m c X V v d D t T Z W N 0 a W 9 u M S 9 U Y W J s Z T M g K D M p L 1 B p d m 9 0 Z W Q g Q 2 9 s d W 1 u L n s y M y B P d G h l c i w 3 M X 0 m c X V v d D s s J n F 1 b 3 Q 7 U 2 V j d G l v b j E v V G F i b G U z I C g z K S 9 Q a X Z v d G V k I E N v b H V t b i 5 7 N T Y g R m 9 y b W F s I G F z c 2 V z c 2 1 l b n Q v d G V z d C w 3 M n 0 m c X V v d D s s J n F 1 b 3 Q 7 U 2 V j d G l v b j E v V G F i b G U z I C g z K S 9 Q a X Z v d G V k I E N v b H V t b i 5 7 O D E g X H U w M D N j a V x 1 M D A z Z V V z a W 5 n I E 9 m Z m l j Z T M 2 N S B c d T A w M 2 M v a V x 1 M D A z Z S w 3 M 3 0 m c X V v d D s s J n F 1 b 3 Q 7 U 2 V j d G l v b j E v V G F i b G U z I C g z K S 9 Q a X Z v d G V k I E N v b H V t b i 5 7 O D c g X H U w M D N j a V x 1 M D A z Z U N v b n N p Z G V y a W 5 n I H V z Z S B v Z i B H Y W 1 p b m c g Z m 9 y I H R l Y W N o a W 5 n I G F u Z C B s Z W F y b m l u Z y B c d T A w M 2 M v a V x 1 M D A z Z S w 3 N H 0 m c X V v d D s s J n F 1 b 3 Q 7 U 2 V j d G l v b j E v V G F i b G U z I C g z K S 9 Q a X Z v d G V k I E N v b H V t b i 5 7 M D I g S W 4 g Y W R k a X R p b 2 4 g d G 8 g d G h p c y B 0 Z W N o b m l j Y W w g c 3 V w c G 9 y d C w g Z G 9 l c y B 5 b 3 V y I G R p c 3 R y a W N 0 I H B y b 3 Z p Z G U g c 3 R p c G V u Z H M g d G 8 g a W 5 k a X Z p Z H V h b H M g Y X Q g d G h l I G J 1 a W x k a W 5 n I G x l d m V s I H R v I H B y b 3 Z p Z G U g d G V j a G 5 v b G 9 n e S B z d X B w b 3 J 0 P y w 3 N X 0 m c X V v d D s s J n F 1 b 3 Q 7 U 2 V j d G l v b j E v V G F i b G U z I C g z K S 9 Q a X Z v d G V k I E N v b H V t b i 5 7 O D k g X H U w M D N j a V x 1 M D A z Z V V z a W 5 n I E Z s a X B w Z W Q g Q 2 x h c 3 N y b 2 9 t I F x 1 M D A z Y y 9 p X H U w M D N l L D c 2 f S Z x d W 9 0 O y w m c X V v d D t T Z W N 0 a W 9 u M S 9 U Y W J s Z T M g K D M p L 1 B p d m 9 0 Z W Q g Q 2 9 s d W 1 u L n s 2 N S B E b 2 V z I H l v d X I g Z G l z d H J p Y 3 Q g a G F 2 Z S B 0 Z W N o b m 9 s b 2 d 5 I H N 0 Y W 5 k Y X J k c y B m b 3 I g c G F y Y X B y b 2 Z l c 3 N p b 2 5 h b H M / L D c 3 f S Z x d W 9 0 O y w m c X V v d D t T Z W N 0 a W 9 u M S 9 U Y W J s Z T M g K D M p L 1 B p d m 9 0 Z W Q g Q 2 9 s d W 1 u L n s 1 M y B T Z W x m L X J l c G 9 y d G l u Z y B 0 b 2 9 s L D c 4 f S Z x d W 9 0 O y w m c X V v d D t T Z W N 0 a W 9 u M S 9 U Y W J s Z T M g K D M p L 1 B p d m 9 0 Z W Q g Q 2 9 s d W 1 u L n s 0 O C A 5 L D c 5 f S Z x d W 9 0 O y w m c X V v d D t T Z W N 0 a W 9 u M S 9 U Y W J s Z T M g K D M p L 1 B p d m 9 0 Z W Q g Q 2 9 s d W 1 u L n s 2 N i B J Z i B 5 Z X M s I G F y Z S B 0 a G V 5 I H J l c X V p c m V k P y w 4 M H 0 m c X V v d D s s J n F 1 b 3 Q 7 U 2 V j d G l v b j E v V G F i b G U z I C g z K S 9 Q a X Z v d G V k I E N v b H V t b i 5 7 N j g g U 2 V s Z i 1 y Z X B v c n R p b m c g d G 9 v b C w 4 M X 0 m c X V v d D s s J n F 1 b 3 Q 7 U 2 V j d G l v b j E v V G F i b G U z I C g z K S 9 Q a X Z v d G V k I E N v b H V t b i 5 7 N j k g R m 9 y b W F s I G F z c 2 V z c 2 1 l b n Q v d G V z d C w 4 M n 0 m c X V v d D s s J n F 1 b 3 Q 7 U 2 V j d G l v b j E v V G F i b G U z I C g z K S 9 Q a X Z v d G V k I E N v b H V t b i 5 7 M D k g T m V 0 U 2 1 h c n R 6 L D g z f S Z x d W 9 0 O y w m c X V v d D t T Z W N 0 a W 9 u M S 9 U Y W J s Z T M g K D M p L 1 B p d m 9 0 Z W Q g Q 2 9 s d W 1 u L n s z M C B 1 b m F 3 Y X J l I G 9 m I H R o Z S B v c H R p b 2 4 s O D R 9 J n F 1 b 3 Q 7 L C Z x d W 9 0 O 1 N l Y 3 R p b 2 4 x L 1 R h Y m x l M y A o M y k v U G l 2 b 3 R l Z C B D b 2 x 1 b W 4 u e z Q 5 I D E w L D g 1 f S Z x d W 9 0 O y w m c X V v d D t T Z W N 0 a W 9 u M S 9 U Y W J s Z T M g K D M p L 1 B p d m 9 0 Z W Q g Q 2 9 s d W 1 u L n s 1 M S A x M i w 4 N n 0 m c X V v d D s s J n F 1 b 3 Q 7 U 2 V j d G l v b j E v V G F i b G U z I C g z K S 9 Q a X Z v d G V k I E N v b H V t b i 5 7 N T c g U G 9 y d G Z v b G l v I G 9 y I G N 1 b G 1 p b m F 0 a W 5 n I H B y b 2 p l Y 3 Q s O D d 9 J n F 1 b 3 Q 7 L C Z x d W 9 0 O 1 N l Y 3 R p b 2 4 x L 1 R h Y m x l M y A o M y k v U G l 2 b 3 R l Z C B D b 2 x 1 b W 4 u e z M z I G l u c 3 V m Z m l j a W V u d C B u Z X R 3 b 3 J r I G l u Z n J h c 3 R y d W N 0 d X J l I H R v I H N 1 c H B v c n Q g Z G l n a X R h b C B j b 2 5 0 Z W 5 0 L D g 4 f S Z x d W 9 0 O y w m c X V v d D t T Z W N 0 a W 9 u M S 9 U Y W J s Z T M g K D M p L 1 B p d m 9 0 Z W Q g Q 2 9 s d W 1 u L n s 3 M S B D b G F z c 3 J v b 2 0 g b 2 J z Z X J 2 Y X R p b 2 4 s O D l 9 J n F 1 b 3 Q 7 L C Z x d W 9 0 O 1 N l Y 3 R p b 2 4 x L 1 R h Y m x l M y A o M y k v U G l 2 b 3 R l Z C B D b 2 x 1 b W 4 u e z M y I G l u c 3 V m Z m l j a W V u d C B z d H V k Z W 5 0 I G F j Y 2 V z c y B 0 b y B 0 Z W N o b m 9 s b 2 d 5 I H R v I G R l b G l 2 Z X I g Z G l n a X R h b C B j b 2 5 0 Z W 5 0 L D k w f S Z x d W 9 0 O y w m c X V v d D t T Z W N 0 a W 9 u M S 9 U Y W J s Z T M g K D M p L 1 B p d m 9 0 Z W Q g Q 2 9 s d W 1 u L n s 1 N C B D b G F z c 3 J v b 2 0 t Y m F z Z W Q g Y X N z Z X N z b W V u d C w 5 M X 0 m c X V v d D s s J n F 1 b 3 Q 7 U 2 V j d G l v b j E v V G F i b G U z I C g z K S 9 Q a X Z v d G V k I E N v b H V t b i 5 7 N j I g R m 9 y b W F s I G F z c 2 V z c 2 1 l b n Q v d G V z d C w 5 M n 0 m c X V v d D s s J n F 1 b 3 Q 7 U 2 V j d G l v b j E v V G F i b G U z I C g z K S 9 Q a X Z v d G V k I E N v b H V t b i 5 7 N z Y g R m 9 y b W F s I G F z c 2 V z c 2 1 l b n Q v d G V z d C w 5 M 3 0 m c X V v d D s s J n F 1 b 3 Q 7 U 2 V j d G l v b j E v V G F i b G U z I C g z K S 9 Q a X Z v d G V k I E N v b H V t b i 5 7 N z A g U G 9 y d G Z v b G l v I G 9 y I H B y b 2 p l Y 3 Q s O T R 9 J n F 1 b 3 Q 7 X S w m c X V v d D t D b 2 x 1 b W 5 D b 3 V u d C Z x d W 9 0 O z o 5 N S w m c X V v d D t L Z X l D b 2 x 1 b W 5 O Y W 1 l c y Z x d W 9 0 O z p b X S w m c X V v d D t D b 2 x 1 b W 5 J Z G V u d G l 0 a W V z J n F 1 b 3 Q 7 O l s m c X V v d D t T Z W N 0 a W 9 u M S 9 U Y W J s Z T M g K D M p L 1 B p d m 9 0 Z W Q g Q 2 9 s d W 1 u L n t P c m d h b m l 6 Y X R p b 2 4 g T m F t Z S A o Y 2 9 k Z S k s M H 0 m c X V v d D s s J n F 1 b 3 Q 7 U 2 V j d G l v b j E v V G F i b G U z I C g z K S 9 Q a X Z v d G V k I E N v b H V t b i 5 7 M j Y g S W Y g e W V z L C B w b G V h c 2 U g Z X h w b G F p b j o s M X 0 m c X V v d D s s J n F 1 b 3 Q 7 U 2 V j d G l v b j E v V G F i b G U z I C g z K S 9 Q a X Z v d G V k I E N v b H V t b i 5 7 M T M g R X h w b G F p b i B P d G h l c j o s M n 0 m c X V v d D s s J n F 1 b 3 Q 7 U 2 V j d G l v b j E v V G F i b G U z I C g z K S 9 Q a X Z v d G V k I E N v b H V t b i 5 7 M j g g S W Y g e W V z L C B w b G V h c 2 U g b G l z d C B 0 a G V z Z S B k a W d p d G F s I G 1 h d G V y a W F s c y A o Y W 5 k I G l u Z G l j Y X R l I H d o Z X R o Z X I g d G h l e S B h c m U g Y 2 9 t b W V y Y 2 l h b C B t Y X R l c m l h b H M g b 3 I g T 3 B l b i B F Z H V j Y X R p b 2 5 h b C B S Z X N v d X J j Z X M p L C B 0 a G U g d G V 4 d G J v b 2 t z I H R o Z X k g c m V w b G F j Z W Q s I G F u Z C B 0 a G U g Z 3 J h Z G V z I H d o Z X J l I H R o Z X N l I G F y Z S B p b i B 1 c 2 U 6 I C w z f S Z x d W 9 0 O y w m c X V v d D t T Z W N 0 a W 9 u M S 9 U Y W J s Z T M g K D M p L 1 B p d m 9 0 Z W Q g Q 2 9 s d W 1 u L n s 5 N C B c d T A w M 2 N p X H U w M D N l K H B s Z W F z Z S B k Z X N j c m l i Z S l c d T A w M 2 M v a V x 1 M D A z Z S w 0 f S Z x d W 9 0 O y w m c X V v d D t T Z W N 0 a W 9 u M S 9 U Y W J s Z T M g K D M p L 1 B p d m 9 0 Z W Q g Q 2 9 s d W 1 u L n s 4 N S B c d T A w M 2 N p X H U w M D N l K H B s Z W F z Z S B s a X N 0 K V x 1 M D A z Y y 9 p X H U w M D N l L D V 9 J n F 1 b 3 Q 7 L C Z x d W 9 0 O 1 N l Y 3 R p b 2 4 x L 1 R h Y m x l M y A o M y k v U G l 2 b 3 R l Z C B D b 2 x 1 b W 4 u e z g 4 I F x 1 M D A z Y 2 l c d T A w M 2 U o c G x l Y X N l I G R l c 2 N y a W J l K V x 1 M D A z Y y 9 p X H U w M D N l L D Z 9 J n F 1 b 3 Q 7 L C Z x d W 9 0 O 1 N l Y 3 R p b 2 4 x L 1 R h Y m x l M y A o M y k v U G l 2 b 3 R l Z C B D b 2 x 1 b W 4 u e z k x I F x 1 M D A z Y 2 l c d T A w M 2 U o c G x l Y X N l I G R l c 2 N y a W J l K V x 1 M D A z Y y 9 p X H U w M D N l L D d 9 J n F 1 b 3 Q 7 L C Z x d W 9 0 O 1 N l Y 3 R p b 2 4 x L 1 R h Y m x l M y A o M y k v U G l 2 b 3 R l Z C B D b 2 x 1 b W 4 u e z I 0 I E V 4 c G x h a W 4 g T 3 R o Z X I s O H 0 m c X V v d D s s J n F 1 b 3 Q 7 U 2 V j d G l v b j E v V G F i b G U z I C g z K S 9 Q a X Z v d G V k I E N v b H V t b i 5 7 M D g g S W Y g e W V z L C B j a G V j a y B h b G w g d G h l I H B y b 3 Z p Z G V y c y B v Z i B j d X J y a W N 1 b G F y I G 1 h d G V y a W F s c y B 5 b 3 U g d X N l O i w 5 f S Z x d W 9 0 O y w m c X V v d D t T Z W N 0 a W 9 u M S 9 U Y W J s Z T M g K D M p L 1 B p d m 9 0 Z W Q g Q 2 9 s d W 1 u L n s x N C B D a G V j a y B h b G w g Z 3 J h Z G U g b G V 2 Z W x z I H d o Z X J l I H R o Z X N l I G N 1 c n J p Y 3 V s Y X I g b W F 0 Z X J p Y W x z I G F y Z S B p b i B 1 c 2 U 6 L D E w f S Z x d W 9 0 O y w m c X V v d D t T Z W N 0 a W 9 u M S 9 U Y W J s Z T M g K D M p L 1 B p d m 9 0 Z W Q g Q 2 9 s d W 1 u L n s x O S B X a G 8 g c H J v d m l k Z X M g S W 5 0 Z X J u Z X Q g c 2 F m Z X R 5 I G V k d W N h d G l v b i B 0 b y B 0 a G U g c 3 R 1 Z G V u d H M / I F t D a G V j a y B h b G w g d G h h d C B h c H B s e V 0 s M T F 9 J n F 1 b 3 Q 7 L C Z x d W 9 0 O 1 N l Y 3 R p b 2 4 x L 1 R h Y m x l M y A o M y k v U G l 2 b 3 R l Z C B D b 2 x 1 b W 4 u e z I 5 I E l m I G 5 v L C B p c y B p d C B i Z W N h d X N l I C h j a G V j a y B h b G w g d G h h d C B h c H B s e S k 6 L D E y f S Z x d W 9 0 O y w m c X V v d D t T Z W N 0 a W 9 u M S 9 U Y W J s Z T M g K D M p L 1 B p d m 9 0 Z W Q g Q 2 9 s d W 1 u L n s z O C B J Z i B 5 Z X M s I G F 0 I H d o Y X Q g Z 3 J h Z G U g b G V 2 Z W x z I G F y Z S B 0 a G V 5 I G F z c 2 V z c 2 V k P y B b Y 2 h l Y 2 s g Y W x s I H R o Y X Q g Y X B w b H l d L D E z f S Z x d W 9 0 O y w m c X V v d D t T Z W N 0 a W 9 u M S 9 U Y W J s Z T M g K D M p L 1 B p d m 9 0 Z W Q g Q 2 9 s d W 1 u L n s 1 M i B J Z i B 5 Z X M s I H d o Y X Q g b W V 0 a G 9 k c y B v Z i B h c 3 N l c 3 N t Z W 5 0 I G R v I H l v d S B 1 c 2 U / I F t j a G V j a y B h b G w g d G h h d C B h c H B s e V 0 s M T R 9 J n F 1 b 3 Q 7 L C Z x d W 9 0 O 1 N l Y 3 R p b 2 4 x L 1 R h Y m x l M y A o M y k v U G l 2 b 3 R l Z C B D b 2 x 1 b W 4 u e z Y w I F d o Y X Q g b W V 0 a G 9 k c y B v Z i B h c 3 N l c 3 N t Z W 5 0 I G R v I H l v d S B 1 c 2 U / I F t j a G V j a y B h b G w g d G h h d C B h c H B s e V 0 s M T V 9 J n F 1 b 3 Q 7 L C Z x d W 9 0 O 1 N l Y 3 R p b 2 4 x L 1 R h Y m x l M y A o M y k v U G l 2 b 3 R l Z C B D b 2 x 1 b W 4 u e z Y 3 I F d o Y X Q g b W V 0 a G 9 k c y B v Z i B h c 3 N l c 3 N t Z W 5 0 I G R v I H l v d S B 1 c 2 U / I F t j a G V j a y B h b G w g d G h h d C B h c H B s e V 0 s M T Z 9 J n F 1 b 3 Q 7 L C Z x d W 9 0 O 1 N l Y 3 R p b 2 4 x L 1 R h Y m x l M y A o M y k v U G l 2 b 3 R l Z C B D b 2 x 1 b W 4 u e z c 0 I F d o Y X Q g b W V 0 a G 9 k c y B v Z i B h c 3 N l c 3 N t Z W 5 0 I G R v I H l v d S B 1 c 2 U / I F t j a G V j a y B h b G w g d G h h d C B h c H B s e V 0 s M T d 9 J n F 1 b 3 Q 7 L C Z x d W 9 0 O 1 N l Y 3 R p b 2 4 x L 1 R h Y m x l M y A o M y k v U G l 2 b 3 R l Z C B D b 2 x 1 b W 4 u e z c 4 I F x 1 M D A z Y 2 J y L 1 x 1 M D A z Z V x 1 M D A z Y 2 l c d T A w M 2 V P c H R p b 2 5 h b D o g S X M g e W 9 1 c i B k a X N 0 c m l j d C B 1 c 2 l u Z y B v c i B j b 2 5 z a W R l c m l u Z y B h b n k g b 2 Y g d G h l I G Z v b G x v d 2 l u Z y B p b i B v b m U g b 3 I g b W 9 y Z S B i d W l s Z G l u Z 3 M g K G N o Z W N r I G F s b C B 0 a G F 0 I G F w c G x 5 K T 9 c d T A w M 2 M v a V x 1 M D A z Z S w x O H 0 m c X V v d D s s J n F 1 b 3 Q 7 U 2 V j d G l v b j E v V G F i b G U z I C g z K S 9 Q a X Z v d G V k I E N v b H V t b i 5 7 M D E g T n V t Y m V y I G 9 m I E Z U R S B h d C B k a X N 0 c m l j d C B h b m Q g Y n V p b G R p b m c g b G V 2 Z W w g c G F p Z C B h c y B J V C B z d X B w b 3 J 0 I H R v I H B y b 3 Z p Z G U g d G V j a G 5 p Y 2 F s I H N 1 c H B v c n Q g d G 8 g Y n V p b G R p b m d z I G F u Z C B k a X N 0 c m l j d C B v Z m Z p Y 2 U 6 L D E 5 f S Z x d W 9 0 O y w m c X V v d D t T Z W N 0 a W 9 u M S 9 U Y W J s Z T M g K D M p L 1 B p d m 9 0 Z W Q g Q 2 9 s d W 1 u L n s z N S B J Z i B 5 Z X M s I H N w Z W N p Z n k g d G h l I G F 2 Z X J h Z 2 U g b n V t Y m V y I G 9 m I H l l Y X J z L i w y M H 0 m c X V v d D s s J n F 1 b 3 Q 7 U 2 V j d G l v b j E v V G F i b G U z I C g z K S 9 Q a X Z v d G V k I E N v b H V t b i 5 7 M D M g R G 8 g e W 9 1 I G h h d m U g Z G l z d H J p Y 3 Q g c 3 R h Z m Y g Y X N z a W d u Z W Q g d G 8 g c H J v d m l k Z S B w c m 9 m Z X N z a W 9 u Y W w g Z G V 2 Z W x v c G 1 l b n Q g a W 4 g d G V j a G 5 v b G 9 n e S B p b n R l Z 3 J h d G l v b i B h c y B w Y X J 0 I G 9 m I H R o Z W l y I H J l Z 3 V s Y X I g R l R F P y w y M X 0 m c X V v d D s s J n F 1 b 3 Q 7 U 2 V j d G l v b j E v V G F i b G U z I C g z K S 9 Q a X Z v d G V k I E N v b H V t b i 5 7 M D c g R G 9 l c y B 5 b 3 V y I G R p c 3 R y a W N 0 I H B y b 3 Z p Z G U g S W 5 0 Z X J u Z X Q g U 2 F m Z X R 5 I G V k d W N h d G l v b i B 0 b y B z d H V k Z W 5 0 c z 8 s M j J 9 J n F 1 b 3 Q 7 L C Z x d W 9 0 O 1 N l Y 3 R p b 2 4 x L 1 R h Y m x l M y A o M y k v U G l 2 b 3 R l Z C B D b 2 x 1 b W 4 u e z E y I E 9 0 a G V y L D I z f S Z x d W 9 0 O y w m c X V v d D t T Z W N 0 a W 9 u M S 9 U Y W J s Z T M g K D M p L 1 B p d m 9 0 Z W Q g Q 2 9 s d W 1 u L n s x N S B L L T M s M j R 9 J n F 1 b 3 Q 7 L C Z x d W 9 0 O 1 N l Y 3 R p b 2 4 x L 1 R h Y m x l M y A o M y k v U G l 2 b 3 R l Z C B D b 2 x 1 b W 4 u e z E 2 I D Q t N i w y N X 0 m c X V v d D s s J n F 1 b 3 Q 7 U 2 V j d G l v b j E v V G F i b G U z I C g z K S 9 Q a X Z v d G V k I E N v b H V t b i 5 7 M T c g N y 0 4 L D I 2 f S Z x d W 9 0 O y w m c X V v d D t T Z W N 0 a W 9 u M S 9 U Y W J s Z T M g K D M p L 1 B p d m 9 0 Z W Q g Q 2 9 s d W 1 u L n s x O C A 5 L T E y L D I 3 f S Z x d W 9 0 O y w m c X V v d D t T Z W N 0 a W 9 u M S 9 U Y W J s Z T M g K D M p L 1 B p d m 9 0 Z W Q g Q 2 9 s d W 1 u L n s y M C B D b G F z c 3 J v b 2 0 g d G V h Y 2 h l c n M g L D I 4 f S Z x d W 9 0 O y w m c X V v d D t T Z W N 0 a W 9 u M S 9 U Y W J s Z T M g K D M p L 1 B p d m 9 0 Z W Q g Q 2 9 s d W 1 u L n s y N S B E b y B 5 b 3 U g Y W x s b 3 c g c 3 R 1 Z G V u d H M g b 3 I g c 3 R h Z m Y g d G 8 g Y 2 9 u b m V j d C B w Z X J z b 2 5 h b C B k Z X Z p Y 2 V z I H R v I H l v d X I g Z G l z d H J p Y 3 Q g b m V 0 d 2 9 y a z 8 s M j l 9 J n F 1 b 3 Q 7 L C Z x d W 9 0 O 1 N l Y 3 R p b 2 4 x L 1 R h Y m x l M y A o M y k v U G l 2 b 3 R l Z C B D b 2 x 1 b W 4 u e z I 3 I E h h c y B 5 b 3 V y I G R p c 3 R y a W N 0 I G F k b 3 B 0 Z W Q g Z G l n a X R h b C B t Y X R l c m l h b H M g Y X M g Y W 4 g Y W x 0 Z X J u Y X R p d m U g d G 8 g c m V w b G F j Z S B 0 Z X h 0 Y m 9 v a 3 M / X H U w M D N j Y n I v X H U w M D N l L D M w f S Z x d W 9 0 O y w m c X V v d D t T Z W N 0 a W 9 u M S 9 U Y W J s Z T M g K D M p L 1 B p d m 9 0 Z W Q g Q 2 9 s d W 1 u L n s z N C B E b 2 V z I H l v d X I g Z G l z d H J p Y 3 Q g Z m 9 s b G 9 3 I G E g c m V w b G F j Z W 1 l b n Q g Y 3 l j b G U g Z m 9 y I G N v b X B 1 d G V y c z 8 s M z F 9 J n F 1 b 3 Q 7 L C Z x d W 9 0 O 1 N l Y 3 R p b 2 4 x L 1 R h Y m x l M y A o M y k v U G l 2 b 3 R l Z C B D b 2 x 1 b W 4 u e z M 2 I E R v Z X M g e W 9 1 c i B k a X N 0 c m l j d C B o Y X Z l I H R l Y 2 h u b 2 x v Z 3 k g c 3 R h b m R h c m R z I G Z v c i B z d H V k Z W 5 0 c z 8 s M z J 9 J n F 1 b 3 Q 7 L C Z x d W 9 0 O 1 N l Y 3 R p b 2 4 x L 1 R h Y m x l M y A o M y k v U G l 2 b 3 R l Z C B D b 2 x 1 b W 4 u e z M 3 I E l m I H l l c y w g Y X J l I H R o Z X k g c m V x d W l y Z W Q / L D M z f S Z x d W 9 0 O y w m c X V v d D t T Z W N 0 a W 9 u M S 9 U Y W J s Z T M g K D M p L 1 B p d m 9 0 Z W Q g Q 2 9 s d W 1 u L n s 0 N C A 1 L D M 0 f S Z x d W 9 0 O y w m c X V v d D t T Z W N 0 a W 9 u M S 9 U Y W J s Z T M g K D M p L 1 B p d m 9 0 Z W Q g Q 2 9 s d W 1 u L n s 0 N i A 3 L D M 1 f S Z x d W 9 0 O y w m c X V v d D t T Z W N 0 a W 9 u M S 9 U Y W J s Z T M g K D M p L 1 B p d m 9 0 Z W Q g Q 2 9 s d W 1 u L n s 0 N y A 4 L D M 2 f S Z x d W 9 0 O y w m c X V v d D t T Z W N 0 a W 9 u M S 9 U Y W J s Z T M g K D M p L 1 B p d m 9 0 Z W Q g Q 2 9 s d W 1 u L n s 1 M C A x M S w z N 3 0 m c X V v d D s s J n F 1 b 3 Q 7 U 2 V j d G l v b j E v V G F i b G U z I C g z K S 9 Q a X Z v d G V k I E N v b H V t b i 5 7 N T U g T 1 N Q S S 1 k Z X Z l b G 9 w Z W Q g Y 2 x h c 3 N y b 2 9 t L W J h c 2 V k I G F z c 2 V z c 2 1 l b n Q s M z h 9 J n F 1 b 3 Q 7 L C Z x d W 9 0 O 1 N l Y 3 R p b 2 4 x L 1 R h Y m x l M y A o M y k v U G l 2 b 3 R l Z C B D b 2 x 1 b W 4 u e z c 5 I F x 1 M D A z Y 2 l c d T A w M 2 V V c 2 l u Z y B H b 2 9 n b G U g Q X B w c y B m b 3 I g R W R 1 Y 2 F 0 a W 9 u I F x 1 M D A z Y y 9 p X H U w M D N l L D M 5 f S Z x d W 9 0 O y w m c X V v d D t T Z W N 0 a W 9 u M S 9 U Y W J s Z T M g K D M p L 1 B p d m 9 0 Z W Q g Q 2 9 s d W 1 u L n s 4 M y B c d T A w M 2 N p X H U w M D N l V X N p b m c g T 3 R o Z X I g Q 2 x v d W Q g Q 2 9 t c H V 0 a W 5 n I H N v b H V 0 a W 9 u c y A g I F x 1 M D A z Y y 9 p X H U w M D N l I C w 0 M H 0 m c X V v d D s s J n F 1 b 3 Q 7 U 2 V j d G l v b j E v V G F i b G U z I C g z K S 9 Q a X Z v d G V k I E N v b H V t b i 5 7 O D Q g X H U w M D N j a V x 1 M D A z Z U N v b n N p Z G V y a W 5 n I H V z Z S B v Z i B v d G h l c i B D b G 9 1 Z C B D b 2 1 w d X R p b m c g c 2 9 s d X R p b 2 5 z I F x 1 M D A z Y y 9 p X H U w M D N l L D Q x f S Z x d W 9 0 O y w m c X V v d D t T Z W N 0 a W 9 u M S 9 U Y W J s Z T M g K D M p L 1 B p d m 9 0 Z W Q g Q 2 9 s d W 1 u L n s 5 M i B c d T A w M 2 N p X H U w M D N l V X N p b m c g Q m x l b m R l Z C B s Z W F y b m l u Z y B c d T A w M 2 M v a V x 1 M D A z Z S w 0 M n 0 m c X V v d D s s J n F 1 b 3 Q 7 U 2 V j d G l v b j E v V G F i b G U z I C g z K S 9 Q a X Z v d G V k I E N v b H V t b i 5 7 O T M g X H U w M D N j a V x 1 M D A z Z U N v b n N p Z G V y a W 5 n I H V z Z S B v Z i B C b G V u Z G V k I G x l Y X J u a W 5 n I F x 1 M D A z Y y 9 p X H U w M D N l L D Q z f S Z x d W 9 0 O y w m c X V v d D t T Z W N 0 a W 9 u M S 9 U Y W J s Z T M g K D M p L 1 B p d m 9 0 Z W Q g Q 2 9 s d W 1 u L n s x M C B p U 2 F m Z S w 0 N H 0 m c X V v d D s s J n F 1 b 3 Q 7 U 2 V j d G l v b j E v V G F i b G U z I C g z K S 9 Q a X Z v d G V k I E N v b H V t b i 5 7 O D A g X H U w M D N j a V x 1 M D A z Z U N v b n N p Z G V y a W 5 n I H V z Z S B v Z i B H b 2 9 n b G U g Q X B w c y B m b 3 I g R W R 1 Y 2 F 0 a W 9 u I F x 1 M D A z Y y 9 p X H U w M D N l L D Q 1 f S Z x d W 9 0 O y w m c X V v d D t T Z W N 0 a W 9 u M S 9 U Y W J s Z T M g K D M p L 1 B p d m 9 0 Z W Q g Q 2 9 s d W 1 u L n s 4 M i B c d T A w M 2 N p X H U w M D N l Q 2 9 u c 2 l k Z X J p b m c g d X N l I G 9 m I E 9 m Z m l j Z T M 2 N V x 1 M D A z Y y 9 p X H U w M D N l L D Q 2 f S Z x d W 9 0 O y w m c X V v d D t T Z W N 0 a W 9 u M S 9 U Y W J s Z T M g K D M p L 1 B p d m 9 0 Z W Q g Q 2 9 s d W 1 u L n s w N C B E b y B 5 b 3 U g c H J v d m l k Z S B h b i B h Z G R p d G l v b m F s I H N 0 a X B l b m Q g d G 8 g b 2 5 l I G 9 y I G 1 v c m U g Z G l z d H J p Y 3 Q g Z W 1 w b G 9 5 Z W V z I H R v I H B y b 3 Z p Z G U g c H J v Z m V z c 2 l v b m F s I G R l d m V s b 3 B t Z W 5 0 I G l u I H R l Y 2 h u b 2 x v Z 3 k g a W 5 0 Z W d y Y X R p b 2 4 / L D Q 3 f S Z x d W 9 0 O y w m c X V v d D t T Z W N 0 a W 9 u M S 9 U Y W J s Z T M g K D M p L 1 B p d m 9 0 Z W Q g Q 2 9 s d W 1 u L n s w N i B E b y B 5 b 3 U g c H J v d m l k Z S B h Z G R p d G l v b m F s I H N 0 a X B l b m R z I H R v I G J 1 a W x k a W 5 n L W x l d m V s I G V t c G x v e W V l c y B 0 b y B w c m 9 2 a W R l I H B y b 2 Z l c 3 N p b 2 5 h b C B k Z X Z l b G 9 w b W V u d C B p b i B 0 Z W N o b m 9 s b 2 d 5 I G l u d G V n c m F 0 a W 9 u P y w 0 O H 0 m c X V v d D s s J n F 1 b 3 Q 7 U 2 V j d G l v b j E v V G F i b G U z I C g z K S 9 Q a X Z v d G V k I E N v b H V t b i 5 7 M T E g Q 2 9 t b W 9 u I F N l b n N l I E 1 l Z G l h L D Q 5 f S Z x d W 9 0 O y w m c X V v d D t T Z W N 0 a W 9 u M S 9 U Y W J s Z T M g K D M p L 1 B p d m 9 0 Z W Q g Q 2 9 s d W 1 u L n s y M S B M a W J y Y X J p Y W 5 z L D U w f S Z x d W 9 0 O y w m c X V v d D t T Z W N 0 a W 9 u M S 9 U Y W J s Z T M g K D M p L 1 B p d m 9 0 Z W Q g Q 2 9 s d W 1 u L n s y M i B D b 2 1 w d X R l c i B s Y W I g c 3 B l Y 2 l h b G l z d H M s N T F 9 J n F 1 b 3 Q 7 L C Z x d W 9 0 O 1 N l Y 3 R p b 2 4 x L 1 R h Y m x l M y A o M y k v U G l 2 b 3 R l Z C B D b 2 x 1 b W 4 u e z M x I G 1 h d G V y a W F s I G R p Z C B u b 3 Q g b W F 0 Y 2 g g Z G l z d H J p Y 3 Q g b m V l Z H M s N T J 9 J n F 1 b 3 Q 7 L C Z x d W 9 0 O 1 N l Y 3 R p b 2 4 x L 1 R h Y m x l M y A o M y k v U G l 2 b 3 R l Z C B D b 2 x 1 b W 4 u e z M 5 I E s s N T N 9 J n F 1 b 3 Q 7 L C Z x d W 9 0 O 1 N l Y 3 R p b 2 4 x L 1 R h Y m x l M y A o M y k v U G l 2 b 3 R l Z C B D b 2 x 1 b W 4 u e z Q w I D E s N T R 9 J n F 1 b 3 Q 7 L C Z x d W 9 0 O 1 N l Y 3 R p b 2 4 x L 1 R h Y m x l M y A o M y k v U G l 2 b 3 R l Z C B D b 2 x 1 b W 4 u e z Q x I D I s N T V 9 J n F 1 b 3 Q 7 L C Z x d W 9 0 O 1 N l Y 3 R p b 2 4 x L 1 R h Y m x l M y A o M y k v U G l 2 b 3 R l Z C B D b 2 x 1 b W 4 u e z Q y I D M s N T Z 9 J n F 1 b 3 Q 7 L C Z x d W 9 0 O 1 N l Y 3 R p b 2 4 x L 1 R h Y m x l M y A o M y k v U G l 2 b 3 R l Z C B D b 2 x 1 b W 4 u e z Q z I D Q s N T d 9 J n F 1 b 3 Q 7 L C Z x d W 9 0 O 1 N l Y 3 R p b 2 4 x L 1 R h Y m x l M y A o M y k v U G l 2 b 3 R l Z C B D b 2 x 1 b W 4 u e z Q 1 I D Y s N T h 9 J n F 1 b 3 Q 7 L C Z x d W 9 0 O 1 N l Y 3 R p b 2 4 x L 1 R h Y m x l M y A o M y k v U G l 2 b 3 R l Z C B D b 2 x 1 b W 4 u e z U 4 I E R v Z X M g e W 9 1 c i B k a X N 0 c m l j d C B o Y X Z l I H R l Y 2 h u b 2 x v Z 3 k g c 3 R h b m R h c m R z I G Z v c i B 0 Z W F j a G V y c z 8 g L D U 5 f S Z x d W 9 0 O y w m c X V v d D t T Z W N 0 a W 9 u M S 9 U Y W J s Z T M g K D M p L 1 B p d m 9 0 Z W Q g Q 2 9 s d W 1 u L n s 1 O S B J Z i B 5 Z X M s I G F y Z S B 0 a G V 5 I H J l c X V p c m V k P y w 2 M H 0 m c X V v d D s s J n F 1 b 3 Q 7 U 2 V j d G l v b j E v V G F i b G U z I C g z K S 9 Q a X Z v d G V k I E N v b H V t b i 5 7 N j E g U 2 V s Z i 1 y Z X B v c n R p b m c g d G 9 v b C w 2 M X 0 m c X V v d D s s J n F 1 b 3 Q 7 U 2 V j d G l v b j E v V G F i b G U z I C g z K S 9 Q a X Z v d G V k I E N v b H V t b i 5 7 N j M g U G 9 y d G Z v b G l v I G 9 y I H B y b 2 p l Y 3 Q s N j J 9 J n F 1 b 3 Q 7 L C Z x d W 9 0 O 1 N l Y 3 R p b 2 4 x L 1 R h Y m x l M y A o M y k v U G l 2 b 3 R l Z C B D b 2 x 1 b W 4 u e z Y 0 I E N s Y X N z c m 9 v b S B v Y n N l c n Z h d G l v b i w 2 M 3 0 m c X V v d D s s J n F 1 b 3 Q 7 U 2 V j d G l v b j E v V G F i b G U z I C g z K S 9 Q a X Z v d G V k I E N v b H V t b i 5 7 N z I g R G 9 l c y B 5 b 3 V y I G R p c 3 R y a W N 0 I G h h d m U g d G V j a G 5 v b G 9 n e S B z d G F u Z G F y Z H M g Z m 9 y I G F k b W l u a X N 0 c m F 0 b 3 J z L 2 V k d W N h d G l v b m F s I G x l Y W R l c n M / L D Y 0 f S Z x d W 9 0 O y w m c X V v d D t T Z W N 0 a W 9 u M S 9 U Y W J s Z T M g K D M p L 1 B p d m 9 0 Z W Q g Q 2 9 s d W 1 u L n s 3 M y B J Z i B 5 Z X M s I G F y Z S B 0 a G V 5 I H J l c X V p c m V k P y w 2 N X 0 m c X V v d D s s J n F 1 b 3 Q 7 U 2 V j d G l v b j E v V G F i b G U z I C g z K S 9 Q a X Z v d G V k I E N v b H V t b i 5 7 N z U g U 2 V s Z i 1 y Z X B v c n R p b m c g d G 9 v b C w 2 N n 0 m c X V v d D s s J n F 1 b 3 Q 7 U 2 V j d G l v b j E v V G F i b G U z I C g z K S 9 Q a X Z v d G V k I E N v b H V t b i 5 7 N z c g U G 9 y d G Z v b G l v I G 9 y I H B y b 2 p l Y 3 Q s N j d 9 J n F 1 b 3 Q 7 L C Z x d W 9 0 O 1 N l Y 3 R p b 2 4 x L 1 R h Y m x l M y A o M y k v U G l 2 b 3 R l Z C B D b 2 x 1 b W 4 u e z g 2 I F x 1 M D A z Y 2 l c d T A w M 2 V V c 2 l u Z y B H Y W 1 p b m c g Z m 9 y I H R l Y W N o a W 5 n I G F u Z C B s Z W F y b m l u Z y B c d T A w M 2 M v a V x 1 M D A z Z S w 2 O H 0 m c X V v d D s s J n F 1 b 3 Q 7 U 2 V j d G l v b j E v V G F i b G U z I C g z K S 9 Q a X Z v d G V k I E N v b H V t b i 5 7 O T A g X H U w M D N j a V x 1 M D A z Z U N v b n N p Z G V y a W 5 n I H V z Z S B v Z i B G b G l w c G V k I E N s Y X N z c m 9 v b S B c d T A w M 2 M v a V x 1 M D A z Z S w 2 O X 0 m c X V v d D s s J n F 1 b 3 Q 7 U 2 V j d G l v b j E v V G F i b G U z I C g z K S 9 Q a X Z v d G V k I E N v b H V t b i 5 7 M D U g R G 8 g e W 9 1 I G h h d m U g Y n V p b G R p b m c t b G V 2 Z W w g c 3 R h Z m Y g Y X N z a W d u Z W Q g d G 8 g c H J v d m l k Z S B w c m 9 m Z X N z a W 9 u Y W w g Z G V 2 Z W x v c G 1 l b n Q g a W 4 g d G V j a G 5 v b G 9 n e S B p b n R l Z 3 J h d G l v b i B h c y B w Y X J 0 I G 9 m I H R o Z W l y I H J l Z 3 V s Y X I g R l R F P y w 3 M H 0 m c X V v d D s s J n F 1 b 3 Q 7 U 2 V j d G l v b j E v V G F i b G U z I C g z K S 9 Q a X Z v d G V k I E N v b H V t b i 5 7 M j M g T 3 R o Z X I s N z F 9 J n F 1 b 3 Q 7 L C Z x d W 9 0 O 1 N l Y 3 R p b 2 4 x L 1 R h Y m x l M y A o M y k v U G l 2 b 3 R l Z C B D b 2 x 1 b W 4 u e z U 2 I E Z v c m 1 h b C B h c 3 N l c 3 N t Z W 5 0 L 3 R l c 3 Q s N z J 9 J n F 1 b 3 Q 7 L C Z x d W 9 0 O 1 N l Y 3 R p b 2 4 x L 1 R h Y m x l M y A o M y k v U G l 2 b 3 R l Z C B D b 2 x 1 b W 4 u e z g x I F x 1 M D A z Y 2 l c d T A w M 2 V V c 2 l u Z y B P Z m Z p Y 2 U z N j U g X H U w M D N j L 2 l c d T A w M 2 U s N z N 9 J n F 1 b 3 Q 7 L C Z x d W 9 0 O 1 N l Y 3 R p b 2 4 x L 1 R h Y m x l M y A o M y k v U G l 2 b 3 R l Z C B D b 2 x 1 b W 4 u e z g 3 I F x 1 M D A z Y 2 l c d T A w M 2 V D b 2 5 z a W R l c m l u Z y B 1 c 2 U g b 2 Y g R 2 F t a W 5 n I G Z v c i B 0 Z W F j a G l u Z y B h b m Q g b G V h c m 5 p b m c g X H U w M D N j L 2 l c d T A w M 2 U s N z R 9 J n F 1 b 3 Q 7 L C Z x d W 9 0 O 1 N l Y 3 R p b 2 4 x L 1 R h Y m x l M y A o M y k v U G l 2 b 3 R l Z C B D b 2 x 1 b W 4 u e z A y I E l u I G F k Z G l 0 a W 9 u I H R v I H R o a X M g d G V j a G 5 p Y 2 F s I H N 1 c H B v c n Q s I G R v Z X M g e W 9 1 c i B k a X N 0 c m l j d C B w c m 9 2 a W R l I H N 0 a X B l b m R z I H R v I G l u Z G l 2 a W R 1 Y W x z I G F 0 I H R o Z S B i d W l s Z G l u Z y B s Z X Z l b C B 0 b y B w c m 9 2 a W R l I H R l Y 2 h u b 2 x v Z 3 k g c 3 V w c G 9 y d D 8 s N z V 9 J n F 1 b 3 Q 7 L C Z x d W 9 0 O 1 N l Y 3 R p b 2 4 x L 1 R h Y m x l M y A o M y k v U G l 2 b 3 R l Z C B D b 2 x 1 b W 4 u e z g 5 I F x 1 M D A z Y 2 l c d T A w M 2 V V c 2 l u Z y B G b G l w c G V k I E N s Y X N z c m 9 v b S B c d T A w M 2 M v a V x 1 M D A z Z S w 3 N n 0 m c X V v d D s s J n F 1 b 3 Q 7 U 2 V j d G l v b j E v V G F i b G U z I C g z K S 9 Q a X Z v d G V k I E N v b H V t b i 5 7 N j U g R G 9 l c y B 5 b 3 V y I G R p c 3 R y a W N 0 I G h h d m U g d G V j a G 5 v b G 9 n e S B z d G F u Z G F y Z H M g Z m 9 y I H B h c m F w c m 9 m Z X N z a W 9 u Y W x z P y w 3 N 3 0 m c X V v d D s s J n F 1 b 3 Q 7 U 2 V j d G l v b j E v V G F i b G U z I C g z K S 9 Q a X Z v d G V k I E N v b H V t b i 5 7 N T M g U 2 V s Z i 1 y Z X B v c n R p b m c g d G 9 v b C w 3 O H 0 m c X V v d D s s J n F 1 b 3 Q 7 U 2 V j d G l v b j E v V G F i b G U z I C g z K S 9 Q a X Z v d G V k I E N v b H V t b i 5 7 N D g g O S w 3 O X 0 m c X V v d D s s J n F 1 b 3 Q 7 U 2 V j d G l v b j E v V G F i b G U z I C g z K S 9 Q a X Z v d G V k I E N v b H V t b i 5 7 N j Y g S W Y g e W V z L C B h c m U g d G h l e S B y Z X F 1 a X J l Z D 8 s O D B 9 J n F 1 b 3 Q 7 L C Z x d W 9 0 O 1 N l Y 3 R p b 2 4 x L 1 R h Y m x l M y A o M y k v U G l 2 b 3 R l Z C B D b 2 x 1 b W 4 u e z Y 4 I F N l b G Y t c m V w b 3 J 0 a W 5 n I H R v b 2 w s O D F 9 J n F 1 b 3 Q 7 L C Z x d W 9 0 O 1 N l Y 3 R p b 2 4 x L 1 R h Y m x l M y A o M y k v U G l 2 b 3 R l Z C B D b 2 x 1 b W 4 u e z Y 5 I E Z v c m 1 h b C B h c 3 N l c 3 N t Z W 5 0 L 3 R l c 3 Q s O D J 9 J n F 1 b 3 Q 7 L C Z x d W 9 0 O 1 N l Y 3 R p b 2 4 x L 1 R h Y m x l M y A o M y k v U G l 2 b 3 R l Z C B D b 2 x 1 b W 4 u e z A 5 I E 5 l d F N t Y X J 0 e i w 4 M 3 0 m c X V v d D s s J n F 1 b 3 Q 7 U 2 V j d G l v b j E v V G F i b G U z I C g z K S 9 Q a X Z v d G V k I E N v b H V t b i 5 7 M z A g d W 5 h d 2 F y Z S B v Z i B 0 a G U g b 3 B 0 a W 9 u L D g 0 f S Z x d W 9 0 O y w m c X V v d D t T Z W N 0 a W 9 u M S 9 U Y W J s Z T M g K D M p L 1 B p d m 9 0 Z W Q g Q 2 9 s d W 1 u L n s 0 O S A x M C w 4 N X 0 m c X V v d D s s J n F 1 b 3 Q 7 U 2 V j d G l v b j E v V G F i b G U z I C g z K S 9 Q a X Z v d G V k I E N v b H V t b i 5 7 N T E g M T I s O D Z 9 J n F 1 b 3 Q 7 L C Z x d W 9 0 O 1 N l Y 3 R p b 2 4 x L 1 R h Y m x l M y A o M y k v U G l 2 b 3 R l Z C B D b 2 x 1 b W 4 u e z U 3 I F B v c n R m b 2 x p b y B v c i B j d W x t a W 5 h d G l u Z y B w c m 9 q Z W N 0 L D g 3 f S Z x d W 9 0 O y w m c X V v d D t T Z W N 0 a W 9 u M S 9 U Y W J s Z T M g K D M p L 1 B p d m 9 0 Z W Q g Q 2 9 s d W 1 u L n s z M y B p b n N 1 Z m Z p Y 2 l l b n Q g b m V 0 d 2 9 y a y B p b m Z y Y X N 0 c n V j d H V y Z S B 0 b y B z d X B w b 3 J 0 I G R p Z 2 l 0 Y W w g Y 2 9 u d G V u d C w 4 O H 0 m c X V v d D s s J n F 1 b 3 Q 7 U 2 V j d G l v b j E v V G F i b G U z I C g z K S 9 Q a X Z v d G V k I E N v b H V t b i 5 7 N z E g Q 2 x h c 3 N y b 2 9 t I G 9 i c 2 V y d m F 0 a W 9 u L D g 5 f S Z x d W 9 0 O y w m c X V v d D t T Z W N 0 a W 9 u M S 9 U Y W J s Z T M g K D M p L 1 B p d m 9 0 Z W Q g Q 2 9 s d W 1 u L n s z M i B p b n N 1 Z m Z p Y 2 l l b n Q g c 3 R 1 Z G V u d C B h Y 2 N l c 3 M g d G 8 g d G V j a G 5 v b G 9 n e S B 0 b y B k Z W x p d m V y I G R p Z 2 l 0 Y W w g Y 2 9 u d G V u d C w 5 M H 0 m c X V v d D s s J n F 1 b 3 Q 7 U 2 V j d G l v b j E v V G F i b G U z I C g z K S 9 Q a X Z v d G V k I E N v b H V t b i 5 7 N T Q g Q 2 x h c 3 N y b 2 9 t L W J h c 2 V k I G F z c 2 V z c 2 1 l b n Q s O T F 9 J n F 1 b 3 Q 7 L C Z x d W 9 0 O 1 N l Y 3 R p b 2 4 x L 1 R h Y m x l M y A o M y k v U G l 2 b 3 R l Z C B D b 2 x 1 b W 4 u e z Y y I E Z v c m 1 h b C B h c 3 N l c 3 N t Z W 5 0 L 3 R l c 3 Q s O T J 9 J n F 1 b 3 Q 7 L C Z x d W 9 0 O 1 N l Y 3 R p b 2 4 x L 1 R h Y m x l M y A o M y k v U G l 2 b 3 R l Z C B D b 2 x 1 b W 4 u e z c 2 I E Z v c m 1 h b C B h c 3 N l c 3 N t Z W 5 0 L 3 R l c 3 Q s O T N 9 J n F 1 b 3 Q 7 L C Z x d W 9 0 O 1 N l Y 3 R p b 2 4 x L 1 R h Y m x l M y A o M y k v U G l 2 b 3 R l Z C B D b 2 x 1 b W 4 u e z c w I F B v c n R m b 2 x p b y B v c i B w c m 9 q Z W N 0 L D k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z K S 9 Q a X Z v d G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R O G / w R 2 B G n P c H f B A y 1 b Y A A A A A A g A A A A A A A 2 Y A A M A A A A A Q A A A A 6 c O F N U n K l j D A g f a q 7 + R S 2 Q A A A A A E g A A A o A A A A B A A A A C m h K u 0 a v 2 b E q v L b k Y V + f 3 e U A A A A P 6 a 9 c 6 C C Q s l u S j L R O 6 z h m H U z R O V 3 n y 1 8 T c E U A j 8 i q 1 w u 3 K a b L k G 8 E w f r B h B a W 9 j B s g 4 W u b 0 W l d f u 8 o V 0 3 8 P z X 8 c 1 p S y n o j 5 m j + 3 O h d f E X r H F A A A A J S y x Z F M / z y M N 7 o 8 b z + z w A N c f 9 M T < / D a t a M a s h u p > 
</file>

<file path=customXml/itemProps1.xml><?xml version="1.0" encoding="utf-8"?>
<ds:datastoreItem xmlns:ds="http://schemas.openxmlformats.org/officeDocument/2006/customXml" ds:itemID="{44E99E47-2BD9-4E13-A629-68230CF4F7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Winkler</dc:creator>
  <cp:lastModifiedBy>Dennis Small</cp:lastModifiedBy>
  <dcterms:created xsi:type="dcterms:W3CDTF">2018-04-25T18:12:59Z</dcterms:created>
  <dcterms:modified xsi:type="dcterms:W3CDTF">2021-01-12T19:33:28Z</dcterms:modified>
</cp:coreProperties>
</file>