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arrie.Hert\Desktop\Gideon Docs to Post\"/>
    </mc:Choice>
  </mc:AlternateContent>
  <xr:revisionPtr revIDLastSave="0" documentId="13_ncr:1_{79D77ED8-9E5B-4B28-B99F-646E19BBC2C6}" xr6:coauthVersionLast="47" xr6:coauthVersionMax="47" xr10:uidLastSave="{00000000-0000-0000-0000-000000000000}"/>
  <bookViews>
    <workbookView xWindow="-120" yWindow="-120" windowWidth="29040" windowHeight="15720" xr2:uid="{4D89BA87-8022-485D-BD1B-35856888DB4F}"/>
  </bookViews>
  <sheets>
    <sheet name="District" sheetId="41" r:id="rId1"/>
    <sheet name="Assumptions " sheetId="12" state="hidden" r:id="rId2"/>
    <sheet name="State Reservations" sheetId="19" state="hidden" r:id="rId3"/>
    <sheet name="Basic HH" sheetId="36" state="hidden" r:id="rId4"/>
    <sheet name="Conc. HH" sheetId="37" state="hidden" r:id="rId5"/>
    <sheet name="Targeted HH" sheetId="38" state="hidden" r:id="rId6"/>
    <sheet name="EFIG HH" sheetId="39" state="hidden" r:id="rId7"/>
    <sheet name="Model allocations" sheetId="29" state="hidden" r:id="rId8"/>
    <sheet name="Initial adjusted allocations" sheetId="28" state="hidden" r:id="rId9"/>
    <sheet name="Initial adjusted formula count" sheetId="26" state="hidden" r:id="rId10"/>
    <sheet name="New or Expanded HH check" sheetId="30" state="hidden" r:id="rId11"/>
    <sheet name="Multipliers" sheetId="27" state="hidden" r:id="rId12"/>
    <sheet name="LEA Split Calc" sheetId="1" state="hidden" r:id="rId13"/>
    <sheet name="Prior Year data" sheetId="34" state="hidden" r:id="rId14"/>
    <sheet name="Conc eligibility year" sheetId="35" state="hidden" r:id="rId15"/>
  </sheets>
  <definedNames>
    <definedName name="_xlnm._FilterDatabase" localSheetId="4" hidden="1">'Conc. HH'!$A$3:$Y$320</definedName>
    <definedName name="_xlnm._FilterDatabase" localSheetId="6" hidden="1">'EFIG HH'!$A$3:$Y$320</definedName>
    <definedName name="_xlnm._FilterDatabase" localSheetId="2" hidden="1">'State Reservations'!$A$3:$AF$320</definedName>
    <definedName name="_xlnm._FilterDatabase" localSheetId="5" hidden="1">'Targeted HH'!$A$3:$Y$320</definedName>
    <definedName name="ExternalData_1" localSheetId="12" hidden="1">'LEA Split Calc'!$A$1:$S$22</definedName>
    <definedName name="ExternalData_1" localSheetId="13" hidden="1">'Prior Year data'!$A$1:$O$318</definedName>
    <definedName name="ExternalData_2" localSheetId="1" hidden="1">'Assumptions '!$C$1:$I$2</definedName>
    <definedName name="ExternalData_2" localSheetId="8" hidden="1">'Initial adjusted allocations'!$A$1:$L$318</definedName>
    <definedName name="ExternalData_2" localSheetId="9" hidden="1">'Initial adjusted formula count'!$A$1:$P$318</definedName>
    <definedName name="ExternalData_2" localSheetId="7" hidden="1">'Model allocations'!$A$1:$L$318</definedName>
    <definedName name="ExternalData_2" localSheetId="11" hidden="1">Multipliers!$A$1:$I$33</definedName>
    <definedName name="ExternalData_2" localSheetId="10" hidden="1">'New or Expanded HH check'!$A$1:$Y$22</definedName>
    <definedName name="ExternalData_3" localSheetId="1" hidden="1">'Assumptions '!$B$1:$B$2</definedName>
    <definedName name="ExternalData_4" localSheetId="14" hidden="1">'Conc eligibility year'!$A$1:$E$319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RPL_6d942e16-22db-4ffa-b3c4-78e5f77f3d97" name="FRPL" connection="Query - FRPL"/>
          <x15:modelTable id="Charter_TribalSending Districts_adc0af90-1cf7-4afd-a1f7-505f4e6cd83a" name="Charter_TribalSending Districts" connection="Query - Charter_TribalSending Districts"/>
          <x15:modelTable id="Split Calc_247957c6-f80a-4cf9-bf62-830dee17adae" name="Split Calc" connection="Query - Split Calc"/>
          <x15:modelTable id="CharterOnly_d4b28db4-5955-4821-8a91-08565041fbb0" name="CharterOnly" connection="Query - CharterOnly"/>
          <x15:modelTable id="SendingOnly_528991c0-22cf-4f9a-9107-21e30a0d6359" name="SendingOnly" connection="Query - SendingOnly"/>
          <x15:modelTable id="Multipliers_4e1de182-67bc-47e3-aae0-31c9d5aa929f" name="Multipliers" connection="Query - Multipliers"/>
          <x15:modelTable id="DOE Allocation_e200dc55-e835-485f-b9ac-864e5e086a2b" name="DOE Allocation" connection="Query - DOE Allocation"/>
          <x15:modelTable id="CCDDD LEAid_58419713-ea03-4455-98bb-37219434a69b" name="CCDDD LEAid" connection="Query - CCDDD/LEAid"/>
          <x15:modelTable id="DOE Formula counts_3f105ae7-fe37-4b9a-aa63-69b768cb6cdc" name="DOE Formula counts" connection="Query - DOE Formula counts"/>
          <x15:modelTable id="Prior Year adjusted allocations_8130c18f-6f17-4ed2-bd14-597e9d2fc0dd" name="Prior Year adjusted allocations" connection="Query - Prior Year adjusted allocations"/>
          <x15:modelTable id="Prior Year Adjusted Formula counts_2a578e4d-5345-4ca2-b6b0-12d6cdb6e79b" name="Prior Year Adjusted Formula counts" connection="Query - Prior Year Adjusted Formula counts"/>
          <x15:modelTable id="sumif_c9c16be1-9469-4623-9b4e-bcb323cce144" name="sumif" connection="Query - sumif"/>
          <x15:modelTable id="Assumptions-3561391d-e14b-4875-aca7-0b3dbc1c38d4" name="Assumptions" connection="Query - Assumptions"/>
          <x15:modelTable id="Prior Year Net to district_e2fd19b8-9aaf-4528-8cfa-ac06a0304cee" name="Prior Year Net to district" connection="Query - Prior Year Net to district"/>
          <x15:modelTable id="Title_ac699485-87d4-4f30-80af-b906945ae25f" name="Title" connection="Query - Title"/>
          <x15:modelTable id="Conc lookback_c1a88fb1-7a73-4a63-a3e5-6635b945637e" name="Conc lookback" connection="Query - Conc lookback"/>
          <x15:modelTable id="Initial adjusted formula count_5c95ab43-6e12-485c-9022-cfe2a271a234" name="Initial adjusted formula count" connection="Query - Initial adjusted formula count"/>
          <x15:modelTable id="Amount per Formula student_cd424f64-269e-4ef2-8e08-c65c399ef622" name="Amount per Formula student" connection="Query - Amount per Formula student"/>
          <x15:modelTable id="Initial adjusted allocations_d90531cd-ec6c-4788-99a2-22ac57ce40b2" name="Initial adjusted allocations" connection="Query - Initial adjusted allocations"/>
          <x15:modelTable id="Conc eligibility year_a502da48-851e-4952-a9c6-9e398a791bc0" name="Conc eligibility year" connection="Query - Conc eligibility year"/>
          <x15:modelTable id="New or Expanded HH check_32464d03-e565-4412-900d-3f03e1cce755" name="New or Expanded HH check" connection="Query - New or Expanded HH check"/>
          <x15:modelTable id="Model allocations_60a0f989-7d5d-495c-9d42-568553c317c8" name="Model allocations" connection="Query - Model allocation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19" l="1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259" i="19"/>
  <c r="D260" i="19"/>
  <c r="D261" i="19"/>
  <c r="D262" i="19"/>
  <c r="D263" i="19"/>
  <c r="D264" i="19"/>
  <c r="D265" i="19"/>
  <c r="D266" i="19"/>
  <c r="D267" i="19"/>
  <c r="D268" i="19"/>
  <c r="D269" i="19"/>
  <c r="D270" i="19"/>
  <c r="D271" i="19"/>
  <c r="D272" i="19"/>
  <c r="D273" i="19"/>
  <c r="D274" i="19"/>
  <c r="D275" i="19"/>
  <c r="D276" i="19"/>
  <c r="D277" i="19"/>
  <c r="D278" i="19"/>
  <c r="D279" i="19"/>
  <c r="D280" i="19"/>
  <c r="D281" i="19"/>
  <c r="D282" i="19"/>
  <c r="D283" i="19"/>
  <c r="D284" i="19"/>
  <c r="D285" i="19"/>
  <c r="D286" i="19"/>
  <c r="D287" i="19"/>
  <c r="D288" i="19"/>
  <c r="D289" i="19"/>
  <c r="D290" i="19"/>
  <c r="D291" i="19"/>
  <c r="D292" i="19"/>
  <c r="D293" i="19"/>
  <c r="D294" i="19"/>
  <c r="D295" i="19"/>
  <c r="D296" i="19"/>
  <c r="D297" i="19"/>
  <c r="D298" i="19"/>
  <c r="D299" i="19"/>
  <c r="D300" i="19"/>
  <c r="D301" i="19"/>
  <c r="D302" i="19"/>
  <c r="D303" i="19"/>
  <c r="D304" i="19"/>
  <c r="D305" i="19"/>
  <c r="D306" i="19"/>
  <c r="D307" i="19"/>
  <c r="D308" i="19"/>
  <c r="D309" i="19"/>
  <c r="D310" i="19"/>
  <c r="D311" i="19"/>
  <c r="D312" i="19"/>
  <c r="D313" i="19"/>
  <c r="D314" i="19"/>
  <c r="D315" i="19"/>
  <c r="D316" i="19"/>
  <c r="D317" i="19"/>
  <c r="D318" i="19"/>
  <c r="D319" i="19"/>
  <c r="D320" i="19"/>
  <c r="D4" i="19"/>
  <c r="AG5" i="19" l="1"/>
  <c r="AG6" i="19"/>
  <c r="AG7" i="19"/>
  <c r="AG8" i="19"/>
  <c r="AG9" i="19"/>
  <c r="AG10" i="19"/>
  <c r="AG11" i="19"/>
  <c r="AG12" i="19"/>
  <c r="AG13" i="19"/>
  <c r="C4" i="41" s="1"/>
  <c r="AG14" i="19"/>
  <c r="AG15" i="19"/>
  <c r="AG16" i="19"/>
  <c r="AG17" i="19"/>
  <c r="AG18" i="19"/>
  <c r="AG19" i="19"/>
  <c r="AG20" i="19"/>
  <c r="AG21" i="19"/>
  <c r="AG22" i="19"/>
  <c r="AG23" i="19"/>
  <c r="AG24" i="19"/>
  <c r="AG25" i="19"/>
  <c r="AG26" i="19"/>
  <c r="AG27" i="19"/>
  <c r="AG28" i="19"/>
  <c r="AG29" i="19"/>
  <c r="AG30" i="19"/>
  <c r="AG31" i="19"/>
  <c r="AG32" i="19"/>
  <c r="AG33" i="19"/>
  <c r="AG34" i="19"/>
  <c r="AG35" i="19"/>
  <c r="AG36" i="19"/>
  <c r="AG37" i="19"/>
  <c r="AG38" i="19"/>
  <c r="AG39" i="19"/>
  <c r="AG40" i="19"/>
  <c r="AG41" i="19"/>
  <c r="AG42" i="19"/>
  <c r="AG43" i="19"/>
  <c r="AG44" i="19"/>
  <c r="AG45" i="19"/>
  <c r="AG46" i="19"/>
  <c r="AG47" i="19"/>
  <c r="AG48" i="19"/>
  <c r="AG49" i="19"/>
  <c r="AG50" i="19"/>
  <c r="AG51" i="19"/>
  <c r="AG52" i="19"/>
  <c r="AG53" i="19"/>
  <c r="AG54" i="19"/>
  <c r="AG55" i="19"/>
  <c r="AG56" i="19"/>
  <c r="AG57" i="19"/>
  <c r="AG58" i="19"/>
  <c r="AG59" i="19"/>
  <c r="AG60" i="19"/>
  <c r="AG61" i="19"/>
  <c r="AG62" i="19"/>
  <c r="AG63" i="19"/>
  <c r="AG64" i="19"/>
  <c r="AG65" i="19"/>
  <c r="AG66" i="19"/>
  <c r="AG67" i="19"/>
  <c r="AG68" i="19"/>
  <c r="AG69" i="19"/>
  <c r="AG70" i="19"/>
  <c r="AG71" i="19"/>
  <c r="AG72" i="19"/>
  <c r="AG73" i="19"/>
  <c r="AG74" i="19"/>
  <c r="AG75" i="19"/>
  <c r="AG76" i="19"/>
  <c r="AG77" i="19"/>
  <c r="AG78" i="19"/>
  <c r="AG79" i="19"/>
  <c r="AG80" i="19"/>
  <c r="AG81" i="19"/>
  <c r="AG82" i="19"/>
  <c r="AG83" i="19"/>
  <c r="AG84" i="19"/>
  <c r="AG85" i="19"/>
  <c r="AG86" i="19"/>
  <c r="AG87" i="19"/>
  <c r="AG88" i="19"/>
  <c r="AG89" i="19"/>
  <c r="AG90" i="19"/>
  <c r="AG91" i="19"/>
  <c r="AG92" i="19"/>
  <c r="AG93" i="19"/>
  <c r="AG94" i="19"/>
  <c r="AG95" i="19"/>
  <c r="AG96" i="19"/>
  <c r="AG97" i="19"/>
  <c r="AG98" i="19"/>
  <c r="AG99" i="19"/>
  <c r="AG100" i="19"/>
  <c r="AG101" i="19"/>
  <c r="AG102" i="19"/>
  <c r="AG103" i="19"/>
  <c r="AG104" i="19"/>
  <c r="AG105" i="19"/>
  <c r="AG106" i="19"/>
  <c r="AG107" i="19"/>
  <c r="AG108" i="19"/>
  <c r="AG109" i="19"/>
  <c r="AG110" i="19"/>
  <c r="AG111" i="19"/>
  <c r="AG112" i="19"/>
  <c r="AG113" i="19"/>
  <c r="AG114" i="19"/>
  <c r="AG115" i="19"/>
  <c r="AG116" i="19"/>
  <c r="AG117" i="19"/>
  <c r="AG118" i="19"/>
  <c r="AG119" i="19"/>
  <c r="AG120" i="19"/>
  <c r="AG121" i="19"/>
  <c r="AG122" i="19"/>
  <c r="AG123" i="19"/>
  <c r="AG124" i="19"/>
  <c r="AG125" i="19"/>
  <c r="AG126" i="19"/>
  <c r="AG127" i="19"/>
  <c r="AG128" i="19"/>
  <c r="AG129" i="19"/>
  <c r="AG130" i="19"/>
  <c r="AG131" i="19"/>
  <c r="AG132" i="19"/>
  <c r="AG133" i="19"/>
  <c r="AG134" i="19"/>
  <c r="AG135" i="19"/>
  <c r="AG136" i="19"/>
  <c r="AG137" i="19"/>
  <c r="AG138" i="19"/>
  <c r="AG139" i="19"/>
  <c r="AG140" i="19"/>
  <c r="AG141" i="19"/>
  <c r="AG142" i="19"/>
  <c r="AG143" i="19"/>
  <c r="AG144" i="19"/>
  <c r="AG145" i="19"/>
  <c r="AG146" i="19"/>
  <c r="AG147" i="19"/>
  <c r="AG148" i="19"/>
  <c r="AG149" i="19"/>
  <c r="AG150" i="19"/>
  <c r="AG151" i="19"/>
  <c r="AG152" i="19"/>
  <c r="AG153" i="19"/>
  <c r="AG154" i="19"/>
  <c r="AG155" i="19"/>
  <c r="AG156" i="19"/>
  <c r="AG157" i="19"/>
  <c r="AG158" i="19"/>
  <c r="AG159" i="19"/>
  <c r="AG160" i="19"/>
  <c r="AG161" i="19"/>
  <c r="AG162" i="19"/>
  <c r="AG163" i="19"/>
  <c r="AG164" i="19"/>
  <c r="AG165" i="19"/>
  <c r="AG166" i="19"/>
  <c r="AG167" i="19"/>
  <c r="AG168" i="19"/>
  <c r="AG169" i="19"/>
  <c r="AG170" i="19"/>
  <c r="AG171" i="19"/>
  <c r="AG172" i="19"/>
  <c r="AG173" i="19"/>
  <c r="AG174" i="19"/>
  <c r="AG175" i="19"/>
  <c r="AG176" i="19"/>
  <c r="AG177" i="19"/>
  <c r="AG178" i="19"/>
  <c r="AG179" i="19"/>
  <c r="AG180" i="19"/>
  <c r="AG181" i="19"/>
  <c r="AG182" i="19"/>
  <c r="AG183" i="19"/>
  <c r="AG184" i="19"/>
  <c r="AG185" i="19"/>
  <c r="AG186" i="19"/>
  <c r="AG187" i="19"/>
  <c r="AG188" i="19"/>
  <c r="AG189" i="19"/>
  <c r="AG190" i="19"/>
  <c r="AG191" i="19"/>
  <c r="AG192" i="19"/>
  <c r="AG193" i="19"/>
  <c r="AG194" i="19"/>
  <c r="AG195" i="19"/>
  <c r="AG196" i="19"/>
  <c r="AG197" i="19"/>
  <c r="AG198" i="19"/>
  <c r="AG199" i="19"/>
  <c r="AG200" i="19"/>
  <c r="AG201" i="19"/>
  <c r="AG202" i="19"/>
  <c r="AG203" i="19"/>
  <c r="AG204" i="19"/>
  <c r="AG205" i="19"/>
  <c r="AG206" i="19"/>
  <c r="AG207" i="19"/>
  <c r="AG208" i="19"/>
  <c r="AG209" i="19"/>
  <c r="AG210" i="19"/>
  <c r="AG211" i="19"/>
  <c r="AG212" i="19"/>
  <c r="AG213" i="19"/>
  <c r="AG214" i="19"/>
  <c r="AG215" i="19"/>
  <c r="AG216" i="19"/>
  <c r="AG217" i="19"/>
  <c r="AG218" i="19"/>
  <c r="AG219" i="19"/>
  <c r="AG220" i="19"/>
  <c r="AG221" i="19"/>
  <c r="AG222" i="19"/>
  <c r="AG223" i="19"/>
  <c r="AG224" i="19"/>
  <c r="AG225" i="19"/>
  <c r="AG226" i="19"/>
  <c r="AG227" i="19"/>
  <c r="AG228" i="19"/>
  <c r="AG229" i="19"/>
  <c r="AG230" i="19"/>
  <c r="AG231" i="19"/>
  <c r="AG232" i="19"/>
  <c r="AG233" i="19"/>
  <c r="AG234" i="19"/>
  <c r="AG235" i="19"/>
  <c r="AG236" i="19"/>
  <c r="AG237" i="19"/>
  <c r="AG238" i="19"/>
  <c r="AG239" i="19"/>
  <c r="AG240" i="19"/>
  <c r="AG241" i="19"/>
  <c r="AG242" i="19"/>
  <c r="AG243" i="19"/>
  <c r="AG244" i="19"/>
  <c r="AG245" i="19"/>
  <c r="AG246" i="19"/>
  <c r="AG247" i="19"/>
  <c r="AG248" i="19"/>
  <c r="AG249" i="19"/>
  <c r="AG250" i="19"/>
  <c r="AG251" i="19"/>
  <c r="AG252" i="19"/>
  <c r="AG253" i="19"/>
  <c r="AG254" i="19"/>
  <c r="AG255" i="19"/>
  <c r="AG256" i="19"/>
  <c r="AG257" i="19"/>
  <c r="AG258" i="19"/>
  <c r="AG259" i="19"/>
  <c r="AG260" i="19"/>
  <c r="AG261" i="19"/>
  <c r="AG262" i="19"/>
  <c r="AG263" i="19"/>
  <c r="AG264" i="19"/>
  <c r="AG265" i="19"/>
  <c r="AG266" i="19"/>
  <c r="AG267" i="19"/>
  <c r="AG268" i="19"/>
  <c r="AG269" i="19"/>
  <c r="AG270" i="19"/>
  <c r="AG271" i="19"/>
  <c r="AG272" i="19"/>
  <c r="AG273" i="19"/>
  <c r="AG274" i="19"/>
  <c r="AG275" i="19"/>
  <c r="AG276" i="19"/>
  <c r="AG277" i="19"/>
  <c r="AG278" i="19"/>
  <c r="AG279" i="19"/>
  <c r="AG280" i="19"/>
  <c r="AG281" i="19"/>
  <c r="AG282" i="19"/>
  <c r="AG283" i="19"/>
  <c r="AG284" i="19"/>
  <c r="AG285" i="19"/>
  <c r="AG286" i="19"/>
  <c r="AG287" i="19"/>
  <c r="AG288" i="19"/>
  <c r="AG289" i="19"/>
  <c r="AG290" i="19"/>
  <c r="AG291" i="19"/>
  <c r="AG292" i="19"/>
  <c r="AG293" i="19"/>
  <c r="AG294" i="19"/>
  <c r="AG295" i="19"/>
  <c r="AG296" i="19"/>
  <c r="AG297" i="19"/>
  <c r="AG298" i="19"/>
  <c r="AG299" i="19"/>
  <c r="AG300" i="19"/>
  <c r="AG301" i="19"/>
  <c r="AG302" i="19"/>
  <c r="AG303" i="19"/>
  <c r="AG304" i="19"/>
  <c r="AG305" i="19"/>
  <c r="AG306" i="19"/>
  <c r="AG307" i="19"/>
  <c r="AG308" i="19"/>
  <c r="AG309" i="19"/>
  <c r="AG310" i="19"/>
  <c r="AG311" i="19"/>
  <c r="AG312" i="19"/>
  <c r="AG313" i="19"/>
  <c r="AG314" i="19"/>
  <c r="AG315" i="19"/>
  <c r="AG316" i="19"/>
  <c r="AG317" i="19"/>
  <c r="AG318" i="19"/>
  <c r="AG319" i="19"/>
  <c r="AG320" i="19"/>
  <c r="AG4" i="19"/>
  <c r="C3" i="41"/>
  <c r="C6" i="41" a="1"/>
  <c r="C6" i="41" s="1"/>
  <c r="D9" i="41" l="1"/>
  <c r="D18" i="41"/>
  <c r="D7" i="41"/>
  <c r="D24" i="41"/>
  <c r="D22" i="41"/>
  <c r="D21" i="41"/>
  <c r="D19" i="41"/>
  <c r="D8" i="41"/>
  <c r="D11" i="41"/>
  <c r="D12" i="41"/>
  <c r="D13" i="41"/>
  <c r="D14" i="41"/>
  <c r="D16" i="41"/>
  <c r="C7" i="41"/>
  <c r="C8" i="41"/>
  <c r="C9" i="41" l="1"/>
  <c r="AD106" i="19" l="1"/>
  <c r="AD231" i="19"/>
  <c r="D319" i="39"/>
  <c r="E319" i="39"/>
  <c r="G319" i="39" s="1"/>
  <c r="F319" i="39"/>
  <c r="D320" i="39"/>
  <c r="E320" i="39"/>
  <c r="G320" i="39" s="1"/>
  <c r="F320" i="39"/>
  <c r="H320" i="39" s="1"/>
  <c r="D319" i="38"/>
  <c r="E319" i="38"/>
  <c r="G319" i="38" s="1"/>
  <c r="F319" i="38"/>
  <c r="D320" i="38"/>
  <c r="E320" i="38"/>
  <c r="G320" i="38" s="1"/>
  <c r="F320" i="38"/>
  <c r="H320" i="38" s="1"/>
  <c r="D319" i="37"/>
  <c r="E319" i="37"/>
  <c r="G319" i="37" s="1"/>
  <c r="F319" i="37"/>
  <c r="D320" i="37"/>
  <c r="E320" i="37"/>
  <c r="G320" i="37" s="1"/>
  <c r="F320" i="37"/>
  <c r="F319" i="36"/>
  <c r="F320" i="36"/>
  <c r="H320" i="36" s="1"/>
  <c r="E319" i="36"/>
  <c r="G319" i="36" s="1"/>
  <c r="E320" i="36"/>
  <c r="G320" i="36" s="1"/>
  <c r="D319" i="36"/>
  <c r="D320" i="36"/>
  <c r="H319" i="39" l="1"/>
  <c r="I319" i="39" s="1"/>
  <c r="H319" i="36"/>
  <c r="I319" i="36" s="1"/>
  <c r="I320" i="36"/>
  <c r="I320" i="39"/>
  <c r="H319" i="38"/>
  <c r="I319" i="38" s="1"/>
  <c r="I320" i="38"/>
  <c r="H320" i="37"/>
  <c r="I320" i="37" s="1"/>
  <c r="H319" i="37"/>
  <c r="I319" i="37" s="1"/>
  <c r="J319" i="36" l="1"/>
  <c r="J320" i="36"/>
  <c r="J320" i="39"/>
  <c r="J319" i="39"/>
  <c r="J319" i="38"/>
  <c r="J320" i="38"/>
  <c r="J320" i="37"/>
  <c r="J319" i="37"/>
  <c r="F5" i="37"/>
  <c r="F6" i="37"/>
  <c r="F7" i="37"/>
  <c r="F8" i="37"/>
  <c r="F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F111" i="37"/>
  <c r="F112" i="37"/>
  <c r="F113" i="37"/>
  <c r="F114" i="37"/>
  <c r="F115" i="37"/>
  <c r="F116" i="37"/>
  <c r="F117" i="37"/>
  <c r="F118" i="37"/>
  <c r="F119" i="37"/>
  <c r="F120" i="37"/>
  <c r="F121" i="37"/>
  <c r="F122" i="37"/>
  <c r="F123" i="37"/>
  <c r="F124" i="37"/>
  <c r="F125" i="37"/>
  <c r="F126" i="37"/>
  <c r="F127" i="37"/>
  <c r="F128" i="37"/>
  <c r="F129" i="37"/>
  <c r="F130" i="37"/>
  <c r="F131" i="37"/>
  <c r="F132" i="37"/>
  <c r="F133" i="37"/>
  <c r="F134" i="37"/>
  <c r="F135" i="37"/>
  <c r="F136" i="37"/>
  <c r="F137" i="37"/>
  <c r="F138" i="37"/>
  <c r="F139" i="37"/>
  <c r="F140" i="37"/>
  <c r="F141" i="37"/>
  <c r="F142" i="37"/>
  <c r="F143" i="37"/>
  <c r="F144" i="37"/>
  <c r="F145" i="37"/>
  <c r="F146" i="37"/>
  <c r="F147" i="37"/>
  <c r="F148" i="37"/>
  <c r="F149" i="37"/>
  <c r="F150" i="37"/>
  <c r="F151" i="37"/>
  <c r="F152" i="37"/>
  <c r="F153" i="37"/>
  <c r="F154" i="37"/>
  <c r="F155" i="37"/>
  <c r="F156" i="37"/>
  <c r="F157" i="37"/>
  <c r="F158" i="37"/>
  <c r="F159" i="37"/>
  <c r="F160" i="37"/>
  <c r="F161" i="37"/>
  <c r="F162" i="37"/>
  <c r="F163" i="37"/>
  <c r="F164" i="37"/>
  <c r="F165" i="37"/>
  <c r="F166" i="37"/>
  <c r="F167" i="37"/>
  <c r="F168" i="37"/>
  <c r="F169" i="37"/>
  <c r="F170" i="37"/>
  <c r="F171" i="37"/>
  <c r="F172" i="37"/>
  <c r="F173" i="37"/>
  <c r="F174" i="37"/>
  <c r="F175" i="37"/>
  <c r="F176" i="37"/>
  <c r="F177" i="37"/>
  <c r="F178" i="37"/>
  <c r="F179" i="37"/>
  <c r="F180" i="37"/>
  <c r="F181" i="37"/>
  <c r="F182" i="37"/>
  <c r="F183" i="37"/>
  <c r="F184" i="37"/>
  <c r="F185" i="37"/>
  <c r="F186" i="37"/>
  <c r="F187" i="37"/>
  <c r="F188" i="37"/>
  <c r="F189" i="37"/>
  <c r="F190" i="37"/>
  <c r="F191" i="37"/>
  <c r="F192" i="37"/>
  <c r="F193" i="37"/>
  <c r="F194" i="37"/>
  <c r="F195" i="37"/>
  <c r="F196" i="37"/>
  <c r="F197" i="37"/>
  <c r="F198" i="37"/>
  <c r="F199" i="37"/>
  <c r="F200" i="37"/>
  <c r="F201" i="37"/>
  <c r="F202" i="37"/>
  <c r="F203" i="37"/>
  <c r="F204" i="37"/>
  <c r="F205" i="37"/>
  <c r="F206" i="37"/>
  <c r="F207" i="37"/>
  <c r="F208" i="37"/>
  <c r="F209" i="37"/>
  <c r="F210" i="37"/>
  <c r="F211" i="37"/>
  <c r="F212" i="37"/>
  <c r="F213" i="37"/>
  <c r="F214" i="37"/>
  <c r="F215" i="37"/>
  <c r="F216" i="37"/>
  <c r="F217" i="37"/>
  <c r="F218" i="37"/>
  <c r="F219" i="37"/>
  <c r="F220" i="37"/>
  <c r="F221" i="37"/>
  <c r="F222" i="37"/>
  <c r="F223" i="37"/>
  <c r="F224" i="37"/>
  <c r="F225" i="37"/>
  <c r="F226" i="37"/>
  <c r="F227" i="37"/>
  <c r="F228" i="37"/>
  <c r="F229" i="37"/>
  <c r="F230" i="37"/>
  <c r="F231" i="37"/>
  <c r="F232" i="37"/>
  <c r="F233" i="37"/>
  <c r="F234" i="37"/>
  <c r="F235" i="37"/>
  <c r="F236" i="37"/>
  <c r="F237" i="37"/>
  <c r="F238" i="37"/>
  <c r="F239" i="37"/>
  <c r="F240" i="37"/>
  <c r="F241" i="37"/>
  <c r="F242" i="37"/>
  <c r="F243" i="37"/>
  <c r="F244" i="37"/>
  <c r="F245" i="37"/>
  <c r="F246" i="37"/>
  <c r="F247" i="37"/>
  <c r="F248" i="37"/>
  <c r="F249" i="37"/>
  <c r="F250" i="37"/>
  <c r="F251" i="37"/>
  <c r="F252" i="37"/>
  <c r="F253" i="37"/>
  <c r="F254" i="37"/>
  <c r="F255" i="37"/>
  <c r="F256" i="37"/>
  <c r="F257" i="37"/>
  <c r="F258" i="37"/>
  <c r="F259" i="37"/>
  <c r="F260" i="37"/>
  <c r="F261" i="37"/>
  <c r="F262" i="37"/>
  <c r="F263" i="37"/>
  <c r="F264" i="37"/>
  <c r="F265" i="37"/>
  <c r="F266" i="37"/>
  <c r="F267" i="37"/>
  <c r="F268" i="37"/>
  <c r="F269" i="37"/>
  <c r="F270" i="37"/>
  <c r="F271" i="37"/>
  <c r="F272" i="37"/>
  <c r="F273" i="37"/>
  <c r="F274" i="37"/>
  <c r="F275" i="37"/>
  <c r="F276" i="37"/>
  <c r="F277" i="37"/>
  <c r="F278" i="37"/>
  <c r="F279" i="37"/>
  <c r="F280" i="37"/>
  <c r="F281" i="37"/>
  <c r="F282" i="37"/>
  <c r="F283" i="37"/>
  <c r="F284" i="37"/>
  <c r="F285" i="37"/>
  <c r="F286" i="37"/>
  <c r="F287" i="37"/>
  <c r="F288" i="37"/>
  <c r="F289" i="37"/>
  <c r="F290" i="37"/>
  <c r="F291" i="37"/>
  <c r="F292" i="37"/>
  <c r="F293" i="37"/>
  <c r="F294" i="37"/>
  <c r="F295" i="37"/>
  <c r="F296" i="37"/>
  <c r="F297" i="37"/>
  <c r="F298" i="37"/>
  <c r="F299" i="37"/>
  <c r="F300" i="37"/>
  <c r="F301" i="37"/>
  <c r="F302" i="37"/>
  <c r="F303" i="37"/>
  <c r="F304" i="37"/>
  <c r="F305" i="37"/>
  <c r="F306" i="37"/>
  <c r="F307" i="37"/>
  <c r="F308" i="37"/>
  <c r="F309" i="37"/>
  <c r="F310" i="37"/>
  <c r="F311" i="37"/>
  <c r="F312" i="37"/>
  <c r="F313" i="37"/>
  <c r="F314" i="37"/>
  <c r="F315" i="37"/>
  <c r="F316" i="37"/>
  <c r="F317" i="37"/>
  <c r="F318" i="37"/>
  <c r="F4" i="37"/>
  <c r="D5" i="37"/>
  <c r="D6" i="37"/>
  <c r="D7" i="37"/>
  <c r="D8" i="37"/>
  <c r="D9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6" i="37"/>
  <c r="D47" i="37"/>
  <c r="D48" i="37"/>
  <c r="D49" i="37"/>
  <c r="D50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D104" i="37"/>
  <c r="D105" i="37"/>
  <c r="D106" i="37"/>
  <c r="D107" i="37"/>
  <c r="D108" i="37"/>
  <c r="D109" i="37"/>
  <c r="D110" i="37"/>
  <c r="D111" i="37"/>
  <c r="D112" i="37"/>
  <c r="D113" i="37"/>
  <c r="D114" i="37"/>
  <c r="D115" i="37"/>
  <c r="D116" i="37"/>
  <c r="D117" i="37"/>
  <c r="D118" i="37"/>
  <c r="D119" i="37"/>
  <c r="D120" i="37"/>
  <c r="D121" i="37"/>
  <c r="D122" i="37"/>
  <c r="D123" i="37"/>
  <c r="D124" i="37"/>
  <c r="D125" i="37"/>
  <c r="D126" i="37"/>
  <c r="D127" i="37"/>
  <c r="D128" i="37"/>
  <c r="D129" i="37"/>
  <c r="D130" i="37"/>
  <c r="D131" i="37"/>
  <c r="D132" i="37"/>
  <c r="D133" i="37"/>
  <c r="D134" i="37"/>
  <c r="D135" i="37"/>
  <c r="D136" i="37"/>
  <c r="D137" i="37"/>
  <c r="D138" i="37"/>
  <c r="D139" i="37"/>
  <c r="D140" i="37"/>
  <c r="D141" i="37"/>
  <c r="D142" i="37"/>
  <c r="D143" i="37"/>
  <c r="D144" i="37"/>
  <c r="D145" i="37"/>
  <c r="D146" i="37"/>
  <c r="D147" i="37"/>
  <c r="D148" i="37"/>
  <c r="D149" i="37"/>
  <c r="D150" i="37"/>
  <c r="D151" i="37"/>
  <c r="D152" i="37"/>
  <c r="D153" i="37"/>
  <c r="D154" i="37"/>
  <c r="D155" i="37"/>
  <c r="D156" i="37"/>
  <c r="D157" i="37"/>
  <c r="D158" i="37"/>
  <c r="D159" i="37"/>
  <c r="D160" i="37"/>
  <c r="D161" i="37"/>
  <c r="D162" i="37"/>
  <c r="D163" i="37"/>
  <c r="D164" i="37"/>
  <c r="D165" i="37"/>
  <c r="D166" i="37"/>
  <c r="D167" i="37"/>
  <c r="D168" i="37"/>
  <c r="D169" i="37"/>
  <c r="D170" i="37"/>
  <c r="D171" i="37"/>
  <c r="D172" i="37"/>
  <c r="D173" i="37"/>
  <c r="D174" i="37"/>
  <c r="D175" i="37"/>
  <c r="D176" i="37"/>
  <c r="D177" i="37"/>
  <c r="D178" i="37"/>
  <c r="D179" i="37"/>
  <c r="D180" i="37"/>
  <c r="D181" i="37"/>
  <c r="D182" i="37"/>
  <c r="D183" i="37"/>
  <c r="D184" i="37"/>
  <c r="D185" i="37"/>
  <c r="D186" i="37"/>
  <c r="D187" i="37"/>
  <c r="D188" i="37"/>
  <c r="D189" i="37"/>
  <c r="D190" i="37"/>
  <c r="D191" i="37"/>
  <c r="D192" i="37"/>
  <c r="D193" i="37"/>
  <c r="D194" i="37"/>
  <c r="D195" i="37"/>
  <c r="D196" i="37"/>
  <c r="D197" i="37"/>
  <c r="D198" i="37"/>
  <c r="D199" i="37"/>
  <c r="D200" i="37"/>
  <c r="D201" i="37"/>
  <c r="D202" i="37"/>
  <c r="D203" i="37"/>
  <c r="D204" i="37"/>
  <c r="D205" i="37"/>
  <c r="D206" i="37"/>
  <c r="D207" i="37"/>
  <c r="D208" i="37"/>
  <c r="D209" i="37"/>
  <c r="D210" i="37"/>
  <c r="D211" i="37"/>
  <c r="D212" i="37"/>
  <c r="D213" i="37"/>
  <c r="D214" i="37"/>
  <c r="D215" i="37"/>
  <c r="D216" i="37"/>
  <c r="D217" i="37"/>
  <c r="D218" i="37"/>
  <c r="D219" i="37"/>
  <c r="D220" i="37"/>
  <c r="D221" i="37"/>
  <c r="D222" i="37"/>
  <c r="D223" i="37"/>
  <c r="D224" i="37"/>
  <c r="D225" i="37"/>
  <c r="D226" i="37"/>
  <c r="D227" i="37"/>
  <c r="D228" i="37"/>
  <c r="D229" i="37"/>
  <c r="D230" i="37"/>
  <c r="D231" i="37"/>
  <c r="D232" i="37"/>
  <c r="D233" i="37"/>
  <c r="D234" i="37"/>
  <c r="D235" i="37"/>
  <c r="D236" i="37"/>
  <c r="D237" i="37"/>
  <c r="D238" i="37"/>
  <c r="D239" i="37"/>
  <c r="D240" i="37"/>
  <c r="D241" i="37"/>
  <c r="D242" i="37"/>
  <c r="D243" i="37"/>
  <c r="D244" i="37"/>
  <c r="D245" i="37"/>
  <c r="D246" i="37"/>
  <c r="D247" i="37"/>
  <c r="D248" i="37"/>
  <c r="D249" i="37"/>
  <c r="D250" i="37"/>
  <c r="D251" i="37"/>
  <c r="D252" i="37"/>
  <c r="D253" i="37"/>
  <c r="D254" i="37"/>
  <c r="D255" i="37"/>
  <c r="D256" i="37"/>
  <c r="D257" i="37"/>
  <c r="D258" i="37"/>
  <c r="D259" i="37"/>
  <c r="D260" i="37"/>
  <c r="D261" i="37"/>
  <c r="D262" i="37"/>
  <c r="D263" i="37"/>
  <c r="D264" i="37"/>
  <c r="D265" i="37"/>
  <c r="D266" i="37"/>
  <c r="D267" i="37"/>
  <c r="D268" i="37"/>
  <c r="D269" i="37"/>
  <c r="D270" i="37"/>
  <c r="D271" i="37"/>
  <c r="D272" i="37"/>
  <c r="D273" i="37"/>
  <c r="D274" i="37"/>
  <c r="D275" i="37"/>
  <c r="D276" i="37"/>
  <c r="D277" i="37"/>
  <c r="D278" i="37"/>
  <c r="D279" i="37"/>
  <c r="D280" i="37"/>
  <c r="D281" i="37"/>
  <c r="D282" i="37"/>
  <c r="D283" i="37"/>
  <c r="D284" i="37"/>
  <c r="D285" i="37"/>
  <c r="D286" i="37"/>
  <c r="D287" i="37"/>
  <c r="D288" i="37"/>
  <c r="D289" i="37"/>
  <c r="D290" i="37"/>
  <c r="D291" i="37"/>
  <c r="D292" i="37"/>
  <c r="D293" i="37"/>
  <c r="D294" i="37"/>
  <c r="D295" i="37"/>
  <c r="D296" i="37"/>
  <c r="D297" i="37"/>
  <c r="D298" i="37"/>
  <c r="D299" i="37"/>
  <c r="D300" i="37"/>
  <c r="D301" i="37"/>
  <c r="D302" i="37"/>
  <c r="D303" i="37"/>
  <c r="D304" i="37"/>
  <c r="D305" i="37"/>
  <c r="D306" i="37"/>
  <c r="D307" i="37"/>
  <c r="D308" i="37"/>
  <c r="D309" i="37"/>
  <c r="D310" i="37"/>
  <c r="D311" i="37"/>
  <c r="D312" i="37"/>
  <c r="D313" i="37"/>
  <c r="D314" i="37"/>
  <c r="D315" i="37"/>
  <c r="D316" i="37"/>
  <c r="D317" i="37"/>
  <c r="D318" i="37"/>
  <c r="D4" i="37"/>
  <c r="Y1" i="38" a="1"/>
  <c r="Y1" i="38" s="1"/>
  <c r="Y1" i="39" a="1"/>
  <c r="Y1" i="39" s="1"/>
  <c r="B4" i="12" a="1"/>
  <c r="B4" i="12" s="1"/>
  <c r="E5" i="39" l="1"/>
  <c r="G5" i="39" s="1"/>
  <c r="E6" i="39"/>
  <c r="G6" i="39" s="1"/>
  <c r="E7" i="39"/>
  <c r="G7" i="39" s="1"/>
  <c r="E8" i="39"/>
  <c r="G8" i="39" s="1"/>
  <c r="E9" i="39"/>
  <c r="G9" i="39" s="1"/>
  <c r="E10" i="39"/>
  <c r="G10" i="39" s="1"/>
  <c r="E11" i="39"/>
  <c r="G11" i="39" s="1"/>
  <c r="E12" i="39"/>
  <c r="G12" i="39" s="1"/>
  <c r="E13" i="39"/>
  <c r="G13" i="39" s="1"/>
  <c r="E14" i="39"/>
  <c r="G14" i="39" s="1"/>
  <c r="E15" i="39"/>
  <c r="G15" i="39" s="1"/>
  <c r="E16" i="39"/>
  <c r="G16" i="39" s="1"/>
  <c r="E17" i="39"/>
  <c r="G17" i="39" s="1"/>
  <c r="E18" i="39"/>
  <c r="G18" i="39" s="1"/>
  <c r="E19" i="39"/>
  <c r="G19" i="39" s="1"/>
  <c r="E20" i="39"/>
  <c r="G20" i="39" s="1"/>
  <c r="E21" i="39"/>
  <c r="G21" i="39" s="1"/>
  <c r="E22" i="39"/>
  <c r="G22" i="39" s="1"/>
  <c r="E23" i="39"/>
  <c r="G23" i="39" s="1"/>
  <c r="E24" i="39"/>
  <c r="G24" i="39" s="1"/>
  <c r="E25" i="39"/>
  <c r="G25" i="39" s="1"/>
  <c r="E26" i="39"/>
  <c r="G26" i="39" s="1"/>
  <c r="E27" i="39"/>
  <c r="G27" i="39" s="1"/>
  <c r="E28" i="39"/>
  <c r="G28" i="39" s="1"/>
  <c r="E29" i="39"/>
  <c r="G29" i="39" s="1"/>
  <c r="E30" i="39"/>
  <c r="G30" i="39" s="1"/>
  <c r="E31" i="39"/>
  <c r="G31" i="39" s="1"/>
  <c r="E32" i="39"/>
  <c r="G32" i="39" s="1"/>
  <c r="E33" i="39"/>
  <c r="G33" i="39" s="1"/>
  <c r="E34" i="39"/>
  <c r="G34" i="39" s="1"/>
  <c r="E35" i="39"/>
  <c r="G35" i="39" s="1"/>
  <c r="E36" i="39"/>
  <c r="G36" i="39" s="1"/>
  <c r="E37" i="39"/>
  <c r="G37" i="39" s="1"/>
  <c r="E38" i="39"/>
  <c r="G38" i="39" s="1"/>
  <c r="E39" i="39"/>
  <c r="G39" i="39" s="1"/>
  <c r="E40" i="39"/>
  <c r="G40" i="39" s="1"/>
  <c r="E41" i="39"/>
  <c r="G41" i="39" s="1"/>
  <c r="E42" i="39"/>
  <c r="G42" i="39" s="1"/>
  <c r="E43" i="39"/>
  <c r="G43" i="39" s="1"/>
  <c r="E44" i="39"/>
  <c r="G44" i="39" s="1"/>
  <c r="E45" i="39"/>
  <c r="G45" i="39" s="1"/>
  <c r="E46" i="39"/>
  <c r="G46" i="39" s="1"/>
  <c r="E47" i="39"/>
  <c r="G47" i="39" s="1"/>
  <c r="E48" i="39"/>
  <c r="G48" i="39" s="1"/>
  <c r="E49" i="39"/>
  <c r="G49" i="39" s="1"/>
  <c r="E50" i="39"/>
  <c r="G50" i="39" s="1"/>
  <c r="E51" i="39"/>
  <c r="G51" i="39" s="1"/>
  <c r="E52" i="39"/>
  <c r="G52" i="39" s="1"/>
  <c r="E53" i="39"/>
  <c r="G53" i="39" s="1"/>
  <c r="E54" i="39"/>
  <c r="G54" i="39" s="1"/>
  <c r="E55" i="39"/>
  <c r="G55" i="39" s="1"/>
  <c r="E56" i="39"/>
  <c r="G56" i="39" s="1"/>
  <c r="E57" i="39"/>
  <c r="G57" i="39" s="1"/>
  <c r="E58" i="39"/>
  <c r="G58" i="39" s="1"/>
  <c r="E59" i="39"/>
  <c r="G59" i="39" s="1"/>
  <c r="E60" i="39"/>
  <c r="G60" i="39" s="1"/>
  <c r="E61" i="39"/>
  <c r="G61" i="39" s="1"/>
  <c r="E62" i="39"/>
  <c r="G62" i="39" s="1"/>
  <c r="E63" i="39"/>
  <c r="G63" i="39" s="1"/>
  <c r="E64" i="39"/>
  <c r="G64" i="39" s="1"/>
  <c r="E65" i="39"/>
  <c r="G65" i="39" s="1"/>
  <c r="E66" i="39"/>
  <c r="G66" i="39" s="1"/>
  <c r="E67" i="39"/>
  <c r="G67" i="39" s="1"/>
  <c r="E68" i="39"/>
  <c r="G68" i="39" s="1"/>
  <c r="E69" i="39"/>
  <c r="G69" i="39" s="1"/>
  <c r="E70" i="39"/>
  <c r="G70" i="39" s="1"/>
  <c r="E71" i="39"/>
  <c r="G71" i="39" s="1"/>
  <c r="E72" i="39"/>
  <c r="G72" i="39" s="1"/>
  <c r="E73" i="39"/>
  <c r="G73" i="39" s="1"/>
  <c r="E74" i="39"/>
  <c r="G74" i="39" s="1"/>
  <c r="E75" i="39"/>
  <c r="G75" i="39" s="1"/>
  <c r="E76" i="39"/>
  <c r="G76" i="39" s="1"/>
  <c r="E77" i="39"/>
  <c r="G77" i="39" s="1"/>
  <c r="E78" i="39"/>
  <c r="G78" i="39" s="1"/>
  <c r="E79" i="39"/>
  <c r="G79" i="39" s="1"/>
  <c r="E80" i="39"/>
  <c r="G80" i="39" s="1"/>
  <c r="E81" i="39"/>
  <c r="G81" i="39" s="1"/>
  <c r="E82" i="39"/>
  <c r="G82" i="39" s="1"/>
  <c r="E83" i="39"/>
  <c r="G83" i="39" s="1"/>
  <c r="E84" i="39"/>
  <c r="G84" i="39" s="1"/>
  <c r="E85" i="39"/>
  <c r="G85" i="39" s="1"/>
  <c r="E86" i="39"/>
  <c r="G86" i="39" s="1"/>
  <c r="E87" i="39"/>
  <c r="G87" i="39" s="1"/>
  <c r="E88" i="39"/>
  <c r="G88" i="39" s="1"/>
  <c r="E89" i="39"/>
  <c r="G89" i="39" s="1"/>
  <c r="E90" i="39"/>
  <c r="G90" i="39" s="1"/>
  <c r="E91" i="39"/>
  <c r="G91" i="39" s="1"/>
  <c r="E92" i="39"/>
  <c r="G92" i="39" s="1"/>
  <c r="E93" i="39"/>
  <c r="G93" i="39" s="1"/>
  <c r="E94" i="39"/>
  <c r="G94" i="39" s="1"/>
  <c r="E95" i="39"/>
  <c r="G95" i="39" s="1"/>
  <c r="E96" i="39"/>
  <c r="G96" i="39" s="1"/>
  <c r="E97" i="39"/>
  <c r="G97" i="39" s="1"/>
  <c r="E98" i="39"/>
  <c r="G98" i="39" s="1"/>
  <c r="E99" i="39"/>
  <c r="G99" i="39" s="1"/>
  <c r="E100" i="39"/>
  <c r="G100" i="39" s="1"/>
  <c r="E101" i="39"/>
  <c r="G101" i="39" s="1"/>
  <c r="E102" i="39"/>
  <c r="G102" i="39" s="1"/>
  <c r="E103" i="39"/>
  <c r="G103" i="39" s="1"/>
  <c r="E104" i="39"/>
  <c r="G104" i="39" s="1"/>
  <c r="E105" i="39"/>
  <c r="G105" i="39" s="1"/>
  <c r="E106" i="39"/>
  <c r="G106" i="39" s="1"/>
  <c r="E107" i="39"/>
  <c r="G107" i="39" s="1"/>
  <c r="E108" i="39"/>
  <c r="G108" i="39" s="1"/>
  <c r="E109" i="39"/>
  <c r="G109" i="39" s="1"/>
  <c r="E110" i="39"/>
  <c r="G110" i="39" s="1"/>
  <c r="E111" i="39"/>
  <c r="G111" i="39" s="1"/>
  <c r="E112" i="39"/>
  <c r="G112" i="39" s="1"/>
  <c r="E113" i="39"/>
  <c r="G113" i="39" s="1"/>
  <c r="E114" i="39"/>
  <c r="G114" i="39" s="1"/>
  <c r="E115" i="39"/>
  <c r="G115" i="39" s="1"/>
  <c r="E116" i="39"/>
  <c r="G116" i="39" s="1"/>
  <c r="E117" i="39"/>
  <c r="G117" i="39" s="1"/>
  <c r="E118" i="39"/>
  <c r="G118" i="39" s="1"/>
  <c r="E119" i="39"/>
  <c r="G119" i="39" s="1"/>
  <c r="E120" i="39"/>
  <c r="G120" i="39" s="1"/>
  <c r="E121" i="39"/>
  <c r="G121" i="39" s="1"/>
  <c r="E122" i="39"/>
  <c r="G122" i="39" s="1"/>
  <c r="E123" i="39"/>
  <c r="G123" i="39" s="1"/>
  <c r="E124" i="39"/>
  <c r="G124" i="39" s="1"/>
  <c r="E125" i="39"/>
  <c r="G125" i="39" s="1"/>
  <c r="E126" i="39"/>
  <c r="G126" i="39" s="1"/>
  <c r="E127" i="39"/>
  <c r="G127" i="39" s="1"/>
  <c r="E128" i="39"/>
  <c r="G128" i="39" s="1"/>
  <c r="E129" i="39"/>
  <c r="G129" i="39" s="1"/>
  <c r="E130" i="39"/>
  <c r="G130" i="39" s="1"/>
  <c r="E131" i="39"/>
  <c r="G131" i="39" s="1"/>
  <c r="E132" i="39"/>
  <c r="G132" i="39" s="1"/>
  <c r="E133" i="39"/>
  <c r="G133" i="39" s="1"/>
  <c r="E134" i="39"/>
  <c r="G134" i="39" s="1"/>
  <c r="E135" i="39"/>
  <c r="G135" i="39" s="1"/>
  <c r="E136" i="39"/>
  <c r="G136" i="39" s="1"/>
  <c r="E137" i="39"/>
  <c r="G137" i="39" s="1"/>
  <c r="E138" i="39"/>
  <c r="G138" i="39" s="1"/>
  <c r="E139" i="39"/>
  <c r="G139" i="39" s="1"/>
  <c r="E140" i="39"/>
  <c r="G140" i="39" s="1"/>
  <c r="E141" i="39"/>
  <c r="G141" i="39" s="1"/>
  <c r="E142" i="39"/>
  <c r="G142" i="39" s="1"/>
  <c r="E143" i="39"/>
  <c r="G143" i="39" s="1"/>
  <c r="E144" i="39"/>
  <c r="G144" i="39" s="1"/>
  <c r="E145" i="39"/>
  <c r="G145" i="39" s="1"/>
  <c r="E146" i="39"/>
  <c r="G146" i="39" s="1"/>
  <c r="E147" i="39"/>
  <c r="G147" i="39" s="1"/>
  <c r="E148" i="39"/>
  <c r="G148" i="39" s="1"/>
  <c r="E149" i="39"/>
  <c r="G149" i="39" s="1"/>
  <c r="E150" i="39"/>
  <c r="G150" i="39" s="1"/>
  <c r="E151" i="39"/>
  <c r="G151" i="39" s="1"/>
  <c r="E152" i="39"/>
  <c r="G152" i="39" s="1"/>
  <c r="E153" i="39"/>
  <c r="G153" i="39" s="1"/>
  <c r="E154" i="39"/>
  <c r="G154" i="39" s="1"/>
  <c r="E155" i="39"/>
  <c r="G155" i="39" s="1"/>
  <c r="E156" i="39"/>
  <c r="G156" i="39" s="1"/>
  <c r="E157" i="39"/>
  <c r="G157" i="39" s="1"/>
  <c r="E158" i="39"/>
  <c r="G158" i="39" s="1"/>
  <c r="E159" i="39"/>
  <c r="G159" i="39" s="1"/>
  <c r="E160" i="39"/>
  <c r="G160" i="39" s="1"/>
  <c r="E161" i="39"/>
  <c r="G161" i="39" s="1"/>
  <c r="E162" i="39"/>
  <c r="G162" i="39" s="1"/>
  <c r="E163" i="39"/>
  <c r="G163" i="39" s="1"/>
  <c r="E164" i="39"/>
  <c r="G164" i="39" s="1"/>
  <c r="E165" i="39"/>
  <c r="G165" i="39" s="1"/>
  <c r="E166" i="39"/>
  <c r="G166" i="39" s="1"/>
  <c r="E167" i="39"/>
  <c r="G167" i="39" s="1"/>
  <c r="E168" i="39"/>
  <c r="G168" i="39" s="1"/>
  <c r="E169" i="39"/>
  <c r="G169" i="39" s="1"/>
  <c r="E170" i="39"/>
  <c r="G170" i="39" s="1"/>
  <c r="E171" i="39"/>
  <c r="G171" i="39" s="1"/>
  <c r="E172" i="39"/>
  <c r="G172" i="39" s="1"/>
  <c r="E173" i="39"/>
  <c r="G173" i="39" s="1"/>
  <c r="E174" i="39"/>
  <c r="G174" i="39" s="1"/>
  <c r="E175" i="39"/>
  <c r="G175" i="39" s="1"/>
  <c r="E176" i="39"/>
  <c r="G176" i="39" s="1"/>
  <c r="E177" i="39"/>
  <c r="G177" i="39" s="1"/>
  <c r="E178" i="39"/>
  <c r="G178" i="39" s="1"/>
  <c r="E179" i="39"/>
  <c r="G179" i="39" s="1"/>
  <c r="E180" i="39"/>
  <c r="G180" i="39" s="1"/>
  <c r="E181" i="39"/>
  <c r="G181" i="39" s="1"/>
  <c r="E182" i="39"/>
  <c r="G182" i="39" s="1"/>
  <c r="E183" i="39"/>
  <c r="G183" i="39" s="1"/>
  <c r="E184" i="39"/>
  <c r="G184" i="39" s="1"/>
  <c r="E185" i="39"/>
  <c r="G185" i="39" s="1"/>
  <c r="E186" i="39"/>
  <c r="G186" i="39" s="1"/>
  <c r="E187" i="39"/>
  <c r="G187" i="39" s="1"/>
  <c r="E188" i="39"/>
  <c r="G188" i="39" s="1"/>
  <c r="E189" i="39"/>
  <c r="G189" i="39" s="1"/>
  <c r="E190" i="39"/>
  <c r="G190" i="39" s="1"/>
  <c r="E191" i="39"/>
  <c r="G191" i="39" s="1"/>
  <c r="E192" i="39"/>
  <c r="G192" i="39" s="1"/>
  <c r="E193" i="39"/>
  <c r="G193" i="39" s="1"/>
  <c r="E194" i="39"/>
  <c r="G194" i="39" s="1"/>
  <c r="E195" i="39"/>
  <c r="G195" i="39" s="1"/>
  <c r="E196" i="39"/>
  <c r="G196" i="39" s="1"/>
  <c r="E197" i="39"/>
  <c r="G197" i="39" s="1"/>
  <c r="E198" i="39"/>
  <c r="G198" i="39" s="1"/>
  <c r="E199" i="39"/>
  <c r="G199" i="39" s="1"/>
  <c r="E200" i="39"/>
  <c r="G200" i="39" s="1"/>
  <c r="E201" i="39"/>
  <c r="G201" i="39" s="1"/>
  <c r="E202" i="39"/>
  <c r="G202" i="39" s="1"/>
  <c r="E203" i="39"/>
  <c r="G203" i="39" s="1"/>
  <c r="E204" i="39"/>
  <c r="G204" i="39" s="1"/>
  <c r="E205" i="39"/>
  <c r="G205" i="39" s="1"/>
  <c r="E206" i="39"/>
  <c r="G206" i="39" s="1"/>
  <c r="E207" i="39"/>
  <c r="G207" i="39" s="1"/>
  <c r="E208" i="39"/>
  <c r="G208" i="39" s="1"/>
  <c r="E209" i="39"/>
  <c r="G209" i="39" s="1"/>
  <c r="E210" i="39"/>
  <c r="G210" i="39" s="1"/>
  <c r="E211" i="39"/>
  <c r="G211" i="39" s="1"/>
  <c r="E212" i="39"/>
  <c r="G212" i="39" s="1"/>
  <c r="E213" i="39"/>
  <c r="G213" i="39" s="1"/>
  <c r="E214" i="39"/>
  <c r="G214" i="39" s="1"/>
  <c r="E215" i="39"/>
  <c r="G215" i="39" s="1"/>
  <c r="E216" i="39"/>
  <c r="G216" i="39" s="1"/>
  <c r="E217" i="39"/>
  <c r="G217" i="39" s="1"/>
  <c r="E218" i="39"/>
  <c r="G218" i="39" s="1"/>
  <c r="E219" i="39"/>
  <c r="G219" i="39" s="1"/>
  <c r="E220" i="39"/>
  <c r="G220" i="39" s="1"/>
  <c r="E221" i="39"/>
  <c r="G221" i="39" s="1"/>
  <c r="E222" i="39"/>
  <c r="G222" i="39" s="1"/>
  <c r="E223" i="39"/>
  <c r="G223" i="39" s="1"/>
  <c r="E224" i="39"/>
  <c r="G224" i="39" s="1"/>
  <c r="E225" i="39"/>
  <c r="G225" i="39" s="1"/>
  <c r="E226" i="39"/>
  <c r="G226" i="39" s="1"/>
  <c r="E227" i="39"/>
  <c r="G227" i="39" s="1"/>
  <c r="E228" i="39"/>
  <c r="G228" i="39" s="1"/>
  <c r="E229" i="39"/>
  <c r="G229" i="39" s="1"/>
  <c r="E230" i="39"/>
  <c r="G230" i="39" s="1"/>
  <c r="E231" i="39"/>
  <c r="G231" i="39" s="1"/>
  <c r="E232" i="39"/>
  <c r="G232" i="39" s="1"/>
  <c r="E233" i="39"/>
  <c r="G233" i="39" s="1"/>
  <c r="E234" i="39"/>
  <c r="G234" i="39" s="1"/>
  <c r="E235" i="39"/>
  <c r="G235" i="39" s="1"/>
  <c r="E236" i="39"/>
  <c r="G236" i="39" s="1"/>
  <c r="E237" i="39"/>
  <c r="G237" i="39" s="1"/>
  <c r="E238" i="39"/>
  <c r="G238" i="39" s="1"/>
  <c r="E239" i="39"/>
  <c r="G239" i="39" s="1"/>
  <c r="E240" i="39"/>
  <c r="G240" i="39" s="1"/>
  <c r="E241" i="39"/>
  <c r="G241" i="39" s="1"/>
  <c r="E242" i="39"/>
  <c r="G242" i="39" s="1"/>
  <c r="E243" i="39"/>
  <c r="G243" i="39" s="1"/>
  <c r="E244" i="39"/>
  <c r="G244" i="39" s="1"/>
  <c r="E245" i="39"/>
  <c r="G245" i="39" s="1"/>
  <c r="E246" i="39"/>
  <c r="G246" i="39" s="1"/>
  <c r="E247" i="39"/>
  <c r="G247" i="39" s="1"/>
  <c r="E248" i="39"/>
  <c r="G248" i="39" s="1"/>
  <c r="E249" i="39"/>
  <c r="G249" i="39" s="1"/>
  <c r="E250" i="39"/>
  <c r="G250" i="39" s="1"/>
  <c r="E251" i="39"/>
  <c r="G251" i="39" s="1"/>
  <c r="E252" i="39"/>
  <c r="G252" i="39" s="1"/>
  <c r="E253" i="39"/>
  <c r="G253" i="39" s="1"/>
  <c r="E254" i="39"/>
  <c r="G254" i="39" s="1"/>
  <c r="E255" i="39"/>
  <c r="G255" i="39" s="1"/>
  <c r="E256" i="39"/>
  <c r="G256" i="39" s="1"/>
  <c r="E257" i="39"/>
  <c r="G257" i="39" s="1"/>
  <c r="E258" i="39"/>
  <c r="G258" i="39" s="1"/>
  <c r="E259" i="39"/>
  <c r="G259" i="39" s="1"/>
  <c r="E260" i="39"/>
  <c r="G260" i="39" s="1"/>
  <c r="E261" i="39"/>
  <c r="G261" i="39" s="1"/>
  <c r="E262" i="39"/>
  <c r="G262" i="39" s="1"/>
  <c r="E263" i="39"/>
  <c r="G263" i="39" s="1"/>
  <c r="E264" i="39"/>
  <c r="G264" i="39" s="1"/>
  <c r="E265" i="39"/>
  <c r="G265" i="39" s="1"/>
  <c r="E266" i="39"/>
  <c r="G266" i="39" s="1"/>
  <c r="E267" i="39"/>
  <c r="G267" i="39" s="1"/>
  <c r="E268" i="39"/>
  <c r="G268" i="39" s="1"/>
  <c r="E269" i="39"/>
  <c r="G269" i="39" s="1"/>
  <c r="E270" i="39"/>
  <c r="G270" i="39" s="1"/>
  <c r="E271" i="39"/>
  <c r="G271" i="39" s="1"/>
  <c r="E272" i="39"/>
  <c r="G272" i="39" s="1"/>
  <c r="E273" i="39"/>
  <c r="G273" i="39" s="1"/>
  <c r="E274" i="39"/>
  <c r="G274" i="39" s="1"/>
  <c r="E275" i="39"/>
  <c r="G275" i="39" s="1"/>
  <c r="E276" i="39"/>
  <c r="G276" i="39" s="1"/>
  <c r="E277" i="39"/>
  <c r="G277" i="39" s="1"/>
  <c r="E278" i="39"/>
  <c r="G278" i="39" s="1"/>
  <c r="E279" i="39"/>
  <c r="G279" i="39" s="1"/>
  <c r="E280" i="39"/>
  <c r="G280" i="39" s="1"/>
  <c r="E281" i="39"/>
  <c r="G281" i="39" s="1"/>
  <c r="E282" i="39"/>
  <c r="G282" i="39" s="1"/>
  <c r="E283" i="39"/>
  <c r="G283" i="39" s="1"/>
  <c r="E284" i="39"/>
  <c r="G284" i="39" s="1"/>
  <c r="E285" i="39"/>
  <c r="G285" i="39" s="1"/>
  <c r="E286" i="39"/>
  <c r="G286" i="39" s="1"/>
  <c r="E287" i="39"/>
  <c r="G287" i="39" s="1"/>
  <c r="E288" i="39"/>
  <c r="G288" i="39" s="1"/>
  <c r="E289" i="39"/>
  <c r="G289" i="39" s="1"/>
  <c r="E290" i="39"/>
  <c r="G290" i="39" s="1"/>
  <c r="E291" i="39"/>
  <c r="G291" i="39" s="1"/>
  <c r="E292" i="39"/>
  <c r="G292" i="39" s="1"/>
  <c r="E293" i="39"/>
  <c r="G293" i="39" s="1"/>
  <c r="E294" i="39"/>
  <c r="G294" i="39" s="1"/>
  <c r="E295" i="39"/>
  <c r="G295" i="39" s="1"/>
  <c r="E296" i="39"/>
  <c r="G296" i="39" s="1"/>
  <c r="E297" i="39"/>
  <c r="G297" i="39" s="1"/>
  <c r="E298" i="39"/>
  <c r="G298" i="39" s="1"/>
  <c r="E299" i="39"/>
  <c r="G299" i="39" s="1"/>
  <c r="E300" i="39"/>
  <c r="G300" i="39" s="1"/>
  <c r="E301" i="39"/>
  <c r="G301" i="39" s="1"/>
  <c r="E302" i="39"/>
  <c r="G302" i="39" s="1"/>
  <c r="E303" i="39"/>
  <c r="G303" i="39" s="1"/>
  <c r="E304" i="39"/>
  <c r="G304" i="39" s="1"/>
  <c r="E305" i="39"/>
  <c r="G305" i="39" s="1"/>
  <c r="E306" i="39"/>
  <c r="G306" i="39" s="1"/>
  <c r="E307" i="39"/>
  <c r="G307" i="39" s="1"/>
  <c r="E308" i="39"/>
  <c r="G308" i="39" s="1"/>
  <c r="E309" i="39"/>
  <c r="G309" i="39" s="1"/>
  <c r="E310" i="39"/>
  <c r="G310" i="39" s="1"/>
  <c r="E311" i="39"/>
  <c r="G311" i="39" s="1"/>
  <c r="E312" i="39"/>
  <c r="G312" i="39" s="1"/>
  <c r="E313" i="39"/>
  <c r="G313" i="39" s="1"/>
  <c r="E314" i="39"/>
  <c r="G314" i="39" s="1"/>
  <c r="E315" i="39"/>
  <c r="G315" i="39" s="1"/>
  <c r="E316" i="39"/>
  <c r="G316" i="39" s="1"/>
  <c r="E317" i="39"/>
  <c r="G317" i="39" s="1"/>
  <c r="E318" i="39"/>
  <c r="G318" i="39" s="1"/>
  <c r="E4" i="39"/>
  <c r="G4" i="39" s="1"/>
  <c r="E5" i="36"/>
  <c r="G5" i="36" s="1"/>
  <c r="E6" i="36"/>
  <c r="G6" i="36" s="1"/>
  <c r="E7" i="36"/>
  <c r="G7" i="36" s="1"/>
  <c r="E8" i="36"/>
  <c r="G8" i="36" s="1"/>
  <c r="E9" i="36"/>
  <c r="G9" i="36" s="1"/>
  <c r="E10" i="36"/>
  <c r="G10" i="36" s="1"/>
  <c r="E11" i="36"/>
  <c r="G11" i="36" s="1"/>
  <c r="E12" i="36"/>
  <c r="G12" i="36" s="1"/>
  <c r="E13" i="36"/>
  <c r="G13" i="36" s="1"/>
  <c r="E14" i="36"/>
  <c r="G14" i="36" s="1"/>
  <c r="E15" i="36"/>
  <c r="G15" i="36" s="1"/>
  <c r="E16" i="36"/>
  <c r="G16" i="36" s="1"/>
  <c r="E17" i="36"/>
  <c r="G17" i="36" s="1"/>
  <c r="E18" i="36"/>
  <c r="G18" i="36" s="1"/>
  <c r="E19" i="36"/>
  <c r="G19" i="36" s="1"/>
  <c r="E20" i="36"/>
  <c r="G20" i="36" s="1"/>
  <c r="E21" i="36"/>
  <c r="G21" i="36" s="1"/>
  <c r="E22" i="36"/>
  <c r="G22" i="36" s="1"/>
  <c r="E23" i="36"/>
  <c r="G23" i="36" s="1"/>
  <c r="E24" i="36"/>
  <c r="G24" i="36" s="1"/>
  <c r="E25" i="36"/>
  <c r="G25" i="36" s="1"/>
  <c r="E26" i="36"/>
  <c r="G26" i="36" s="1"/>
  <c r="E27" i="36"/>
  <c r="G27" i="36" s="1"/>
  <c r="E28" i="36"/>
  <c r="G28" i="36" s="1"/>
  <c r="E29" i="36"/>
  <c r="G29" i="36" s="1"/>
  <c r="E30" i="36"/>
  <c r="G30" i="36" s="1"/>
  <c r="E31" i="36"/>
  <c r="G31" i="36" s="1"/>
  <c r="E32" i="36"/>
  <c r="G32" i="36" s="1"/>
  <c r="E33" i="36"/>
  <c r="G33" i="36" s="1"/>
  <c r="E34" i="36"/>
  <c r="G34" i="36" s="1"/>
  <c r="E35" i="36"/>
  <c r="G35" i="36" s="1"/>
  <c r="E36" i="36"/>
  <c r="G36" i="36" s="1"/>
  <c r="E37" i="36"/>
  <c r="G37" i="36" s="1"/>
  <c r="E38" i="36"/>
  <c r="G38" i="36" s="1"/>
  <c r="E39" i="36"/>
  <c r="G39" i="36" s="1"/>
  <c r="E40" i="36"/>
  <c r="G40" i="36" s="1"/>
  <c r="E41" i="36"/>
  <c r="G41" i="36" s="1"/>
  <c r="E42" i="36"/>
  <c r="G42" i="36" s="1"/>
  <c r="E43" i="36"/>
  <c r="G43" i="36" s="1"/>
  <c r="E44" i="36"/>
  <c r="G44" i="36" s="1"/>
  <c r="E45" i="36"/>
  <c r="G45" i="36" s="1"/>
  <c r="E46" i="36"/>
  <c r="G46" i="36" s="1"/>
  <c r="E47" i="36"/>
  <c r="G47" i="36" s="1"/>
  <c r="E48" i="36"/>
  <c r="G48" i="36" s="1"/>
  <c r="E49" i="36"/>
  <c r="G49" i="36" s="1"/>
  <c r="E50" i="36"/>
  <c r="G50" i="36" s="1"/>
  <c r="E51" i="36"/>
  <c r="G51" i="36" s="1"/>
  <c r="E52" i="36"/>
  <c r="G52" i="36" s="1"/>
  <c r="E53" i="36"/>
  <c r="G53" i="36" s="1"/>
  <c r="E54" i="36"/>
  <c r="G54" i="36" s="1"/>
  <c r="E55" i="36"/>
  <c r="G55" i="36" s="1"/>
  <c r="E56" i="36"/>
  <c r="G56" i="36" s="1"/>
  <c r="E57" i="36"/>
  <c r="G57" i="36" s="1"/>
  <c r="E58" i="36"/>
  <c r="G58" i="36" s="1"/>
  <c r="E59" i="36"/>
  <c r="G59" i="36" s="1"/>
  <c r="E60" i="36"/>
  <c r="G60" i="36" s="1"/>
  <c r="E61" i="36"/>
  <c r="G61" i="36" s="1"/>
  <c r="E62" i="36"/>
  <c r="G62" i="36" s="1"/>
  <c r="E63" i="36"/>
  <c r="G63" i="36" s="1"/>
  <c r="E64" i="36"/>
  <c r="G64" i="36" s="1"/>
  <c r="E65" i="36"/>
  <c r="G65" i="36" s="1"/>
  <c r="E66" i="36"/>
  <c r="G66" i="36" s="1"/>
  <c r="E67" i="36"/>
  <c r="G67" i="36" s="1"/>
  <c r="E68" i="36"/>
  <c r="G68" i="36" s="1"/>
  <c r="E69" i="36"/>
  <c r="G69" i="36" s="1"/>
  <c r="E70" i="36"/>
  <c r="G70" i="36" s="1"/>
  <c r="E71" i="36"/>
  <c r="G71" i="36" s="1"/>
  <c r="E72" i="36"/>
  <c r="G72" i="36" s="1"/>
  <c r="E73" i="36"/>
  <c r="G73" i="36" s="1"/>
  <c r="E74" i="36"/>
  <c r="G74" i="36" s="1"/>
  <c r="E75" i="36"/>
  <c r="G75" i="36" s="1"/>
  <c r="E76" i="36"/>
  <c r="G76" i="36" s="1"/>
  <c r="E77" i="36"/>
  <c r="G77" i="36" s="1"/>
  <c r="E78" i="36"/>
  <c r="G78" i="36" s="1"/>
  <c r="E79" i="36"/>
  <c r="G79" i="36" s="1"/>
  <c r="E80" i="36"/>
  <c r="G80" i="36" s="1"/>
  <c r="E81" i="36"/>
  <c r="G81" i="36" s="1"/>
  <c r="E82" i="36"/>
  <c r="G82" i="36" s="1"/>
  <c r="E83" i="36"/>
  <c r="G83" i="36" s="1"/>
  <c r="E84" i="36"/>
  <c r="G84" i="36" s="1"/>
  <c r="E85" i="36"/>
  <c r="G85" i="36" s="1"/>
  <c r="E86" i="36"/>
  <c r="G86" i="36" s="1"/>
  <c r="E87" i="36"/>
  <c r="G87" i="36" s="1"/>
  <c r="E88" i="36"/>
  <c r="G88" i="36" s="1"/>
  <c r="E89" i="36"/>
  <c r="G89" i="36" s="1"/>
  <c r="E90" i="36"/>
  <c r="G90" i="36" s="1"/>
  <c r="E91" i="36"/>
  <c r="G91" i="36" s="1"/>
  <c r="E92" i="36"/>
  <c r="G92" i="36" s="1"/>
  <c r="E93" i="36"/>
  <c r="G93" i="36" s="1"/>
  <c r="E94" i="36"/>
  <c r="G94" i="36" s="1"/>
  <c r="E95" i="36"/>
  <c r="G95" i="36" s="1"/>
  <c r="E96" i="36"/>
  <c r="G96" i="36" s="1"/>
  <c r="E97" i="36"/>
  <c r="G97" i="36" s="1"/>
  <c r="E98" i="36"/>
  <c r="G98" i="36" s="1"/>
  <c r="E99" i="36"/>
  <c r="G99" i="36" s="1"/>
  <c r="E100" i="36"/>
  <c r="G100" i="36" s="1"/>
  <c r="E101" i="36"/>
  <c r="G101" i="36" s="1"/>
  <c r="E102" i="36"/>
  <c r="G102" i="36" s="1"/>
  <c r="E103" i="36"/>
  <c r="G103" i="36" s="1"/>
  <c r="E104" i="36"/>
  <c r="G104" i="36" s="1"/>
  <c r="E105" i="36"/>
  <c r="G105" i="36" s="1"/>
  <c r="E106" i="36"/>
  <c r="G106" i="36" s="1"/>
  <c r="E107" i="36"/>
  <c r="G107" i="36" s="1"/>
  <c r="E108" i="36"/>
  <c r="G108" i="36" s="1"/>
  <c r="E109" i="36"/>
  <c r="G109" i="36" s="1"/>
  <c r="E110" i="36"/>
  <c r="G110" i="36" s="1"/>
  <c r="E111" i="36"/>
  <c r="G111" i="36" s="1"/>
  <c r="E112" i="36"/>
  <c r="G112" i="36" s="1"/>
  <c r="E113" i="36"/>
  <c r="G113" i="36" s="1"/>
  <c r="E114" i="36"/>
  <c r="G114" i="36" s="1"/>
  <c r="E115" i="36"/>
  <c r="G115" i="36" s="1"/>
  <c r="E116" i="36"/>
  <c r="G116" i="36" s="1"/>
  <c r="E117" i="36"/>
  <c r="G117" i="36" s="1"/>
  <c r="E118" i="36"/>
  <c r="G118" i="36" s="1"/>
  <c r="E119" i="36"/>
  <c r="G119" i="36" s="1"/>
  <c r="E120" i="36"/>
  <c r="G120" i="36" s="1"/>
  <c r="E121" i="36"/>
  <c r="G121" i="36" s="1"/>
  <c r="E122" i="36"/>
  <c r="G122" i="36" s="1"/>
  <c r="E123" i="36"/>
  <c r="G123" i="36" s="1"/>
  <c r="E124" i="36"/>
  <c r="G124" i="36" s="1"/>
  <c r="E125" i="36"/>
  <c r="G125" i="36" s="1"/>
  <c r="E126" i="36"/>
  <c r="G126" i="36" s="1"/>
  <c r="E127" i="36"/>
  <c r="G127" i="36" s="1"/>
  <c r="E128" i="36"/>
  <c r="G128" i="36" s="1"/>
  <c r="E129" i="36"/>
  <c r="G129" i="36" s="1"/>
  <c r="E130" i="36"/>
  <c r="G130" i="36" s="1"/>
  <c r="E131" i="36"/>
  <c r="G131" i="36" s="1"/>
  <c r="E132" i="36"/>
  <c r="G132" i="36" s="1"/>
  <c r="E133" i="36"/>
  <c r="G133" i="36" s="1"/>
  <c r="E134" i="36"/>
  <c r="G134" i="36" s="1"/>
  <c r="E135" i="36"/>
  <c r="G135" i="36" s="1"/>
  <c r="E136" i="36"/>
  <c r="G136" i="36" s="1"/>
  <c r="E137" i="36"/>
  <c r="G137" i="36" s="1"/>
  <c r="E138" i="36"/>
  <c r="G138" i="36" s="1"/>
  <c r="E139" i="36"/>
  <c r="G139" i="36" s="1"/>
  <c r="E140" i="36"/>
  <c r="G140" i="36" s="1"/>
  <c r="E141" i="36"/>
  <c r="G141" i="36" s="1"/>
  <c r="E142" i="36"/>
  <c r="G142" i="36" s="1"/>
  <c r="E143" i="36"/>
  <c r="G143" i="36" s="1"/>
  <c r="E144" i="36"/>
  <c r="G144" i="36" s="1"/>
  <c r="E145" i="36"/>
  <c r="G145" i="36" s="1"/>
  <c r="E146" i="36"/>
  <c r="G146" i="36" s="1"/>
  <c r="E147" i="36"/>
  <c r="G147" i="36" s="1"/>
  <c r="E148" i="36"/>
  <c r="G148" i="36" s="1"/>
  <c r="E149" i="36"/>
  <c r="G149" i="36" s="1"/>
  <c r="E150" i="36"/>
  <c r="G150" i="36" s="1"/>
  <c r="E151" i="36"/>
  <c r="G151" i="36" s="1"/>
  <c r="E152" i="36"/>
  <c r="G152" i="36" s="1"/>
  <c r="E153" i="36"/>
  <c r="G153" i="36" s="1"/>
  <c r="E154" i="36"/>
  <c r="G154" i="36" s="1"/>
  <c r="E155" i="36"/>
  <c r="G155" i="36" s="1"/>
  <c r="E156" i="36"/>
  <c r="G156" i="36" s="1"/>
  <c r="E157" i="36"/>
  <c r="G157" i="36" s="1"/>
  <c r="E158" i="36"/>
  <c r="G158" i="36" s="1"/>
  <c r="E159" i="36"/>
  <c r="G159" i="36" s="1"/>
  <c r="E160" i="36"/>
  <c r="G160" i="36" s="1"/>
  <c r="E161" i="36"/>
  <c r="G161" i="36" s="1"/>
  <c r="E162" i="36"/>
  <c r="G162" i="36" s="1"/>
  <c r="E163" i="36"/>
  <c r="G163" i="36" s="1"/>
  <c r="E164" i="36"/>
  <c r="G164" i="36" s="1"/>
  <c r="E165" i="36"/>
  <c r="G165" i="36" s="1"/>
  <c r="E166" i="36"/>
  <c r="G166" i="36" s="1"/>
  <c r="E167" i="36"/>
  <c r="G167" i="36" s="1"/>
  <c r="E168" i="36"/>
  <c r="G168" i="36" s="1"/>
  <c r="E169" i="36"/>
  <c r="G169" i="36" s="1"/>
  <c r="E170" i="36"/>
  <c r="G170" i="36" s="1"/>
  <c r="E171" i="36"/>
  <c r="G171" i="36" s="1"/>
  <c r="E172" i="36"/>
  <c r="G172" i="36" s="1"/>
  <c r="E173" i="36"/>
  <c r="G173" i="36" s="1"/>
  <c r="E174" i="36"/>
  <c r="G174" i="36" s="1"/>
  <c r="E175" i="36"/>
  <c r="G175" i="36" s="1"/>
  <c r="E176" i="36"/>
  <c r="G176" i="36" s="1"/>
  <c r="E177" i="36"/>
  <c r="G177" i="36" s="1"/>
  <c r="E178" i="36"/>
  <c r="G178" i="36" s="1"/>
  <c r="E179" i="36"/>
  <c r="G179" i="36" s="1"/>
  <c r="E180" i="36"/>
  <c r="G180" i="36" s="1"/>
  <c r="E181" i="36"/>
  <c r="G181" i="36" s="1"/>
  <c r="E182" i="36"/>
  <c r="G182" i="36" s="1"/>
  <c r="E183" i="36"/>
  <c r="G183" i="36" s="1"/>
  <c r="E184" i="36"/>
  <c r="G184" i="36" s="1"/>
  <c r="E185" i="36"/>
  <c r="G185" i="36" s="1"/>
  <c r="E186" i="36"/>
  <c r="G186" i="36" s="1"/>
  <c r="E187" i="36"/>
  <c r="G187" i="36" s="1"/>
  <c r="E188" i="36"/>
  <c r="G188" i="36" s="1"/>
  <c r="E189" i="36"/>
  <c r="G189" i="36" s="1"/>
  <c r="E190" i="36"/>
  <c r="G190" i="36" s="1"/>
  <c r="E191" i="36"/>
  <c r="G191" i="36" s="1"/>
  <c r="E192" i="36"/>
  <c r="G192" i="36" s="1"/>
  <c r="E193" i="36"/>
  <c r="G193" i="36" s="1"/>
  <c r="E194" i="36"/>
  <c r="G194" i="36" s="1"/>
  <c r="E195" i="36"/>
  <c r="G195" i="36" s="1"/>
  <c r="E196" i="36"/>
  <c r="G196" i="36" s="1"/>
  <c r="E197" i="36"/>
  <c r="G197" i="36" s="1"/>
  <c r="E198" i="36"/>
  <c r="G198" i="36" s="1"/>
  <c r="E199" i="36"/>
  <c r="G199" i="36" s="1"/>
  <c r="E200" i="36"/>
  <c r="G200" i="36" s="1"/>
  <c r="E201" i="36"/>
  <c r="G201" i="36" s="1"/>
  <c r="E202" i="36"/>
  <c r="G202" i="36" s="1"/>
  <c r="E203" i="36"/>
  <c r="G203" i="36" s="1"/>
  <c r="E204" i="36"/>
  <c r="G204" i="36" s="1"/>
  <c r="E205" i="36"/>
  <c r="G205" i="36" s="1"/>
  <c r="E206" i="36"/>
  <c r="G206" i="36" s="1"/>
  <c r="E207" i="36"/>
  <c r="G207" i="36" s="1"/>
  <c r="E208" i="36"/>
  <c r="G208" i="36" s="1"/>
  <c r="E209" i="36"/>
  <c r="G209" i="36" s="1"/>
  <c r="E210" i="36"/>
  <c r="G210" i="36" s="1"/>
  <c r="E211" i="36"/>
  <c r="G211" i="36" s="1"/>
  <c r="E212" i="36"/>
  <c r="G212" i="36" s="1"/>
  <c r="E213" i="36"/>
  <c r="G213" i="36" s="1"/>
  <c r="E214" i="36"/>
  <c r="G214" i="36" s="1"/>
  <c r="E215" i="36"/>
  <c r="G215" i="36" s="1"/>
  <c r="E216" i="36"/>
  <c r="G216" i="36" s="1"/>
  <c r="E217" i="36"/>
  <c r="G217" i="36" s="1"/>
  <c r="E218" i="36"/>
  <c r="G218" i="36" s="1"/>
  <c r="E219" i="36"/>
  <c r="G219" i="36" s="1"/>
  <c r="E220" i="36"/>
  <c r="G220" i="36" s="1"/>
  <c r="E221" i="36"/>
  <c r="G221" i="36" s="1"/>
  <c r="E222" i="36"/>
  <c r="G222" i="36" s="1"/>
  <c r="E223" i="36"/>
  <c r="G223" i="36" s="1"/>
  <c r="E224" i="36"/>
  <c r="G224" i="36" s="1"/>
  <c r="E225" i="36"/>
  <c r="G225" i="36" s="1"/>
  <c r="E226" i="36"/>
  <c r="G226" i="36" s="1"/>
  <c r="E227" i="36"/>
  <c r="G227" i="36" s="1"/>
  <c r="E228" i="36"/>
  <c r="G228" i="36" s="1"/>
  <c r="E229" i="36"/>
  <c r="G229" i="36" s="1"/>
  <c r="E230" i="36"/>
  <c r="G230" i="36" s="1"/>
  <c r="E231" i="36"/>
  <c r="G231" i="36" s="1"/>
  <c r="E232" i="36"/>
  <c r="G232" i="36" s="1"/>
  <c r="E233" i="36"/>
  <c r="G233" i="36" s="1"/>
  <c r="E234" i="36"/>
  <c r="G234" i="36" s="1"/>
  <c r="E235" i="36"/>
  <c r="G235" i="36" s="1"/>
  <c r="E236" i="36"/>
  <c r="G236" i="36" s="1"/>
  <c r="E237" i="36"/>
  <c r="G237" i="36" s="1"/>
  <c r="E238" i="36"/>
  <c r="G238" i="36" s="1"/>
  <c r="E239" i="36"/>
  <c r="G239" i="36" s="1"/>
  <c r="E240" i="36"/>
  <c r="G240" i="36" s="1"/>
  <c r="E241" i="36"/>
  <c r="G241" i="36" s="1"/>
  <c r="E242" i="36"/>
  <c r="G242" i="36" s="1"/>
  <c r="E243" i="36"/>
  <c r="G243" i="36" s="1"/>
  <c r="E244" i="36"/>
  <c r="G244" i="36" s="1"/>
  <c r="E245" i="36"/>
  <c r="G245" i="36" s="1"/>
  <c r="E246" i="36"/>
  <c r="G246" i="36" s="1"/>
  <c r="E247" i="36"/>
  <c r="G247" i="36" s="1"/>
  <c r="E248" i="36"/>
  <c r="G248" i="36" s="1"/>
  <c r="E249" i="36"/>
  <c r="G249" i="36" s="1"/>
  <c r="E250" i="36"/>
  <c r="G250" i="36" s="1"/>
  <c r="E251" i="36"/>
  <c r="G251" i="36" s="1"/>
  <c r="E252" i="36"/>
  <c r="G252" i="36" s="1"/>
  <c r="E253" i="36"/>
  <c r="G253" i="36" s="1"/>
  <c r="E254" i="36"/>
  <c r="G254" i="36" s="1"/>
  <c r="E255" i="36"/>
  <c r="G255" i="36" s="1"/>
  <c r="E256" i="36"/>
  <c r="G256" i="36" s="1"/>
  <c r="E257" i="36"/>
  <c r="G257" i="36" s="1"/>
  <c r="E258" i="36"/>
  <c r="G258" i="36" s="1"/>
  <c r="E259" i="36"/>
  <c r="G259" i="36" s="1"/>
  <c r="E260" i="36"/>
  <c r="G260" i="36" s="1"/>
  <c r="E261" i="36"/>
  <c r="G261" i="36" s="1"/>
  <c r="E262" i="36"/>
  <c r="G262" i="36" s="1"/>
  <c r="E263" i="36"/>
  <c r="G263" i="36" s="1"/>
  <c r="E264" i="36"/>
  <c r="G264" i="36" s="1"/>
  <c r="E265" i="36"/>
  <c r="G265" i="36" s="1"/>
  <c r="E266" i="36"/>
  <c r="G266" i="36" s="1"/>
  <c r="E267" i="36"/>
  <c r="G267" i="36" s="1"/>
  <c r="E268" i="36"/>
  <c r="G268" i="36" s="1"/>
  <c r="E269" i="36"/>
  <c r="G269" i="36" s="1"/>
  <c r="E270" i="36"/>
  <c r="G270" i="36" s="1"/>
  <c r="E271" i="36"/>
  <c r="G271" i="36" s="1"/>
  <c r="E272" i="36"/>
  <c r="G272" i="36" s="1"/>
  <c r="E273" i="36"/>
  <c r="G273" i="36" s="1"/>
  <c r="E274" i="36"/>
  <c r="G274" i="36" s="1"/>
  <c r="E275" i="36"/>
  <c r="G275" i="36" s="1"/>
  <c r="E276" i="36"/>
  <c r="G276" i="36" s="1"/>
  <c r="E277" i="36"/>
  <c r="G277" i="36" s="1"/>
  <c r="E278" i="36"/>
  <c r="G278" i="36" s="1"/>
  <c r="E279" i="36"/>
  <c r="G279" i="36" s="1"/>
  <c r="E280" i="36"/>
  <c r="G280" i="36" s="1"/>
  <c r="E281" i="36"/>
  <c r="G281" i="36" s="1"/>
  <c r="E282" i="36"/>
  <c r="G282" i="36" s="1"/>
  <c r="E283" i="36"/>
  <c r="G283" i="36" s="1"/>
  <c r="E284" i="36"/>
  <c r="G284" i="36" s="1"/>
  <c r="E285" i="36"/>
  <c r="G285" i="36" s="1"/>
  <c r="E286" i="36"/>
  <c r="G286" i="36" s="1"/>
  <c r="E287" i="36"/>
  <c r="G287" i="36" s="1"/>
  <c r="E288" i="36"/>
  <c r="G288" i="36" s="1"/>
  <c r="E289" i="36"/>
  <c r="G289" i="36" s="1"/>
  <c r="E290" i="36"/>
  <c r="G290" i="36" s="1"/>
  <c r="E291" i="36"/>
  <c r="G291" i="36" s="1"/>
  <c r="E292" i="36"/>
  <c r="G292" i="36" s="1"/>
  <c r="E293" i="36"/>
  <c r="G293" i="36" s="1"/>
  <c r="E294" i="36"/>
  <c r="G294" i="36" s="1"/>
  <c r="E295" i="36"/>
  <c r="G295" i="36" s="1"/>
  <c r="E296" i="36"/>
  <c r="G296" i="36" s="1"/>
  <c r="E297" i="36"/>
  <c r="G297" i="36" s="1"/>
  <c r="E298" i="36"/>
  <c r="G298" i="36" s="1"/>
  <c r="E299" i="36"/>
  <c r="G299" i="36" s="1"/>
  <c r="E300" i="36"/>
  <c r="G300" i="36" s="1"/>
  <c r="E301" i="36"/>
  <c r="G301" i="36" s="1"/>
  <c r="E302" i="36"/>
  <c r="G302" i="36" s="1"/>
  <c r="E303" i="36"/>
  <c r="G303" i="36" s="1"/>
  <c r="E304" i="36"/>
  <c r="G304" i="36" s="1"/>
  <c r="E305" i="36"/>
  <c r="G305" i="36" s="1"/>
  <c r="E306" i="36"/>
  <c r="G306" i="36" s="1"/>
  <c r="E307" i="36"/>
  <c r="G307" i="36" s="1"/>
  <c r="E308" i="36"/>
  <c r="G308" i="36" s="1"/>
  <c r="E309" i="36"/>
  <c r="G309" i="36" s="1"/>
  <c r="E310" i="36"/>
  <c r="G310" i="36" s="1"/>
  <c r="E311" i="36"/>
  <c r="G311" i="36" s="1"/>
  <c r="E312" i="36"/>
  <c r="G312" i="36" s="1"/>
  <c r="E313" i="36"/>
  <c r="G313" i="36" s="1"/>
  <c r="E314" i="36"/>
  <c r="G314" i="36" s="1"/>
  <c r="E315" i="36"/>
  <c r="G315" i="36" s="1"/>
  <c r="E316" i="36"/>
  <c r="G316" i="36" s="1"/>
  <c r="E317" i="36"/>
  <c r="G317" i="36" s="1"/>
  <c r="E318" i="36"/>
  <c r="G318" i="36" s="1"/>
  <c r="E4" i="36"/>
  <c r="G4" i="36" s="1"/>
  <c r="F5" i="39"/>
  <c r="F6" i="39"/>
  <c r="F7" i="39"/>
  <c r="F8" i="39"/>
  <c r="F9" i="39"/>
  <c r="F10" i="39"/>
  <c r="F11" i="39"/>
  <c r="H11" i="39" s="1"/>
  <c r="I11" i="39" s="1"/>
  <c r="F12" i="39"/>
  <c r="F13" i="39"/>
  <c r="F14" i="39"/>
  <c r="F15" i="39"/>
  <c r="H15" i="39" s="1"/>
  <c r="I15" i="39" s="1"/>
  <c r="F16" i="39"/>
  <c r="F17" i="39"/>
  <c r="F18" i="39"/>
  <c r="F19" i="39"/>
  <c r="F20" i="39"/>
  <c r="F21" i="39"/>
  <c r="F22" i="39"/>
  <c r="F23" i="39"/>
  <c r="F24" i="39"/>
  <c r="F25" i="39"/>
  <c r="H25" i="39" s="1"/>
  <c r="I25" i="39" s="1"/>
  <c r="J25" i="39" s="1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H58" i="39" s="1"/>
  <c r="I58" i="39" s="1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H109" i="39" s="1"/>
  <c r="F110" i="39"/>
  <c r="F111" i="39"/>
  <c r="F112" i="39"/>
  <c r="F113" i="39"/>
  <c r="F114" i="39"/>
  <c r="F115" i="39"/>
  <c r="F116" i="39"/>
  <c r="F117" i="39"/>
  <c r="F118" i="39"/>
  <c r="F119" i="39"/>
  <c r="F120" i="39"/>
  <c r="F121" i="39"/>
  <c r="F122" i="39"/>
  <c r="F123" i="39"/>
  <c r="F124" i="39"/>
  <c r="F125" i="39"/>
  <c r="H125" i="39" s="1"/>
  <c r="I125" i="39" s="1"/>
  <c r="F126" i="39"/>
  <c r="F127" i="39"/>
  <c r="H127" i="39" s="1"/>
  <c r="F128" i="39"/>
  <c r="F129" i="39"/>
  <c r="F130" i="39"/>
  <c r="F131" i="39"/>
  <c r="F132" i="39"/>
  <c r="F133" i="39"/>
  <c r="F134" i="39"/>
  <c r="F135" i="39"/>
  <c r="F136" i="39"/>
  <c r="F137" i="39"/>
  <c r="F138" i="39"/>
  <c r="F139" i="39"/>
  <c r="F140" i="39"/>
  <c r="F141" i="39"/>
  <c r="F142" i="39"/>
  <c r="F143" i="39"/>
  <c r="F144" i="39"/>
  <c r="F145" i="39"/>
  <c r="H145" i="39" s="1"/>
  <c r="I145" i="39" s="1"/>
  <c r="F146" i="39"/>
  <c r="F147" i="39"/>
  <c r="F148" i="39"/>
  <c r="F149" i="39"/>
  <c r="F150" i="39"/>
  <c r="F151" i="39"/>
  <c r="F152" i="39"/>
  <c r="F153" i="39"/>
  <c r="F154" i="39"/>
  <c r="F155" i="39"/>
  <c r="F156" i="39"/>
  <c r="H156" i="39" s="1"/>
  <c r="F157" i="39"/>
  <c r="F158" i="39"/>
  <c r="F159" i="39"/>
  <c r="F160" i="39"/>
  <c r="F161" i="39"/>
  <c r="F162" i="39"/>
  <c r="F163" i="39"/>
  <c r="F164" i="39"/>
  <c r="F165" i="39"/>
  <c r="F166" i="39"/>
  <c r="F167" i="39"/>
  <c r="F168" i="39"/>
  <c r="F169" i="39"/>
  <c r="F170" i="39"/>
  <c r="F171" i="39"/>
  <c r="F172" i="39"/>
  <c r="F173" i="39"/>
  <c r="H173" i="39" s="1"/>
  <c r="I173" i="39" s="1"/>
  <c r="F174" i="39"/>
  <c r="F175" i="39"/>
  <c r="F176" i="39"/>
  <c r="F177" i="39"/>
  <c r="F178" i="39"/>
  <c r="F179" i="39"/>
  <c r="F180" i="39"/>
  <c r="F181" i="39"/>
  <c r="F182" i="39"/>
  <c r="F183" i="39"/>
  <c r="F184" i="39"/>
  <c r="F185" i="39"/>
  <c r="F186" i="39"/>
  <c r="F187" i="39"/>
  <c r="F188" i="39"/>
  <c r="F189" i="39"/>
  <c r="F190" i="39"/>
  <c r="F191" i="39"/>
  <c r="F192" i="39"/>
  <c r="F193" i="39"/>
  <c r="F194" i="39"/>
  <c r="F195" i="39"/>
  <c r="F196" i="39"/>
  <c r="F197" i="39"/>
  <c r="F198" i="39"/>
  <c r="F199" i="39"/>
  <c r="F200" i="39"/>
  <c r="F201" i="39"/>
  <c r="F202" i="39"/>
  <c r="F203" i="39"/>
  <c r="F204" i="39"/>
  <c r="F205" i="39"/>
  <c r="F206" i="39"/>
  <c r="F207" i="39"/>
  <c r="F208" i="39"/>
  <c r="F209" i="39"/>
  <c r="F210" i="39"/>
  <c r="F211" i="39"/>
  <c r="F212" i="39"/>
  <c r="F213" i="39"/>
  <c r="F214" i="39"/>
  <c r="F215" i="39"/>
  <c r="F216" i="39"/>
  <c r="F217" i="39"/>
  <c r="F218" i="39"/>
  <c r="F219" i="39"/>
  <c r="F220" i="39"/>
  <c r="F221" i="39"/>
  <c r="F222" i="39"/>
  <c r="F223" i="39"/>
  <c r="F224" i="39"/>
  <c r="F225" i="39"/>
  <c r="F226" i="39"/>
  <c r="F227" i="39"/>
  <c r="F228" i="39"/>
  <c r="F229" i="39"/>
  <c r="F230" i="39"/>
  <c r="F231" i="39"/>
  <c r="F232" i="39"/>
  <c r="F233" i="39"/>
  <c r="F234" i="39"/>
  <c r="H234" i="39" s="1"/>
  <c r="I234" i="39" s="1"/>
  <c r="F235" i="39"/>
  <c r="F236" i="39"/>
  <c r="F237" i="39"/>
  <c r="F238" i="39"/>
  <c r="F239" i="39"/>
  <c r="F240" i="39"/>
  <c r="F241" i="39"/>
  <c r="F242" i="39"/>
  <c r="F243" i="39"/>
  <c r="F244" i="39"/>
  <c r="F245" i="39"/>
  <c r="F246" i="39"/>
  <c r="F247" i="39"/>
  <c r="F248" i="39"/>
  <c r="F249" i="39"/>
  <c r="F250" i="39"/>
  <c r="F251" i="39"/>
  <c r="F252" i="39"/>
  <c r="F253" i="39"/>
  <c r="F254" i="39"/>
  <c r="F255" i="39"/>
  <c r="F256" i="39"/>
  <c r="F257" i="39"/>
  <c r="H257" i="39" s="1"/>
  <c r="I257" i="39" s="1"/>
  <c r="F258" i="39"/>
  <c r="F259" i="39"/>
  <c r="F260" i="39"/>
  <c r="F261" i="39"/>
  <c r="F262" i="39"/>
  <c r="F263" i="39"/>
  <c r="F264" i="39"/>
  <c r="F265" i="39"/>
  <c r="F266" i="39"/>
  <c r="F267" i="39"/>
  <c r="F268" i="39"/>
  <c r="F269" i="39"/>
  <c r="F270" i="39"/>
  <c r="F271" i="39"/>
  <c r="F272" i="39"/>
  <c r="F273" i="39"/>
  <c r="F274" i="39"/>
  <c r="F275" i="39"/>
  <c r="F276" i="39"/>
  <c r="F277" i="39"/>
  <c r="F278" i="39"/>
  <c r="F279" i="39"/>
  <c r="F280" i="39"/>
  <c r="F281" i="39"/>
  <c r="F282" i="39"/>
  <c r="F283" i="39"/>
  <c r="F284" i="39"/>
  <c r="F285" i="39"/>
  <c r="F286" i="39"/>
  <c r="F287" i="39"/>
  <c r="F288" i="39"/>
  <c r="F289" i="39"/>
  <c r="F290" i="39"/>
  <c r="F291" i="39"/>
  <c r="F292" i="39"/>
  <c r="F293" i="39"/>
  <c r="F294" i="39"/>
  <c r="F295" i="39"/>
  <c r="F296" i="39"/>
  <c r="F297" i="39"/>
  <c r="F298" i="39"/>
  <c r="F299" i="39"/>
  <c r="F300" i="39"/>
  <c r="F301" i="39"/>
  <c r="F302" i="39"/>
  <c r="F303" i="39"/>
  <c r="F304" i="39"/>
  <c r="F305" i="39"/>
  <c r="F306" i="39"/>
  <c r="F307" i="39"/>
  <c r="F308" i="39"/>
  <c r="F309" i="39"/>
  <c r="F310" i="39"/>
  <c r="F311" i="39"/>
  <c r="F312" i="39"/>
  <c r="F313" i="39"/>
  <c r="F314" i="39"/>
  <c r="F315" i="39"/>
  <c r="F316" i="39"/>
  <c r="F317" i="39"/>
  <c r="F318" i="39"/>
  <c r="F4" i="39"/>
  <c r="D5" i="39"/>
  <c r="D6" i="39"/>
  <c r="D7" i="39"/>
  <c r="D8" i="39"/>
  <c r="D9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D103" i="39"/>
  <c r="D104" i="39"/>
  <c r="D105" i="39"/>
  <c r="D106" i="39"/>
  <c r="D107" i="39"/>
  <c r="D108" i="39"/>
  <c r="D109" i="39"/>
  <c r="D110" i="39"/>
  <c r="D111" i="39"/>
  <c r="D112" i="39"/>
  <c r="D113" i="39"/>
  <c r="D114" i="39"/>
  <c r="D115" i="39"/>
  <c r="D116" i="39"/>
  <c r="D117" i="39"/>
  <c r="D118" i="39"/>
  <c r="D119" i="39"/>
  <c r="D120" i="39"/>
  <c r="D121" i="39"/>
  <c r="D122" i="39"/>
  <c r="D123" i="39"/>
  <c r="D124" i="39"/>
  <c r="D125" i="39"/>
  <c r="D126" i="39"/>
  <c r="D127" i="39"/>
  <c r="D128" i="39"/>
  <c r="D129" i="39"/>
  <c r="D130" i="39"/>
  <c r="D131" i="39"/>
  <c r="D132" i="39"/>
  <c r="D133" i="39"/>
  <c r="D134" i="39"/>
  <c r="D135" i="39"/>
  <c r="D136" i="39"/>
  <c r="D137" i="39"/>
  <c r="D138" i="39"/>
  <c r="D139" i="39"/>
  <c r="D140" i="39"/>
  <c r="D141" i="39"/>
  <c r="D142" i="39"/>
  <c r="D143" i="39"/>
  <c r="D144" i="39"/>
  <c r="D145" i="39"/>
  <c r="D146" i="39"/>
  <c r="D147" i="39"/>
  <c r="D148" i="39"/>
  <c r="D149" i="39"/>
  <c r="D150" i="39"/>
  <c r="D151" i="39"/>
  <c r="D152" i="39"/>
  <c r="D153" i="39"/>
  <c r="D154" i="39"/>
  <c r="D155" i="39"/>
  <c r="D156" i="39"/>
  <c r="D157" i="39"/>
  <c r="D158" i="39"/>
  <c r="D159" i="39"/>
  <c r="D160" i="39"/>
  <c r="D161" i="39"/>
  <c r="D162" i="39"/>
  <c r="D163" i="39"/>
  <c r="D164" i="39"/>
  <c r="D165" i="39"/>
  <c r="D166" i="39"/>
  <c r="D167" i="39"/>
  <c r="D168" i="39"/>
  <c r="D169" i="39"/>
  <c r="D170" i="39"/>
  <c r="D171" i="39"/>
  <c r="D172" i="39"/>
  <c r="D173" i="39"/>
  <c r="D174" i="39"/>
  <c r="D175" i="39"/>
  <c r="D176" i="39"/>
  <c r="D177" i="39"/>
  <c r="D178" i="39"/>
  <c r="D179" i="39"/>
  <c r="D180" i="39"/>
  <c r="D181" i="39"/>
  <c r="D182" i="39"/>
  <c r="D183" i="39"/>
  <c r="D184" i="39"/>
  <c r="D185" i="39"/>
  <c r="D186" i="39"/>
  <c r="D187" i="39"/>
  <c r="D188" i="39"/>
  <c r="D189" i="39"/>
  <c r="D190" i="39"/>
  <c r="D191" i="39"/>
  <c r="D192" i="39"/>
  <c r="D193" i="39"/>
  <c r="D194" i="39"/>
  <c r="D195" i="39"/>
  <c r="D196" i="39"/>
  <c r="D197" i="39"/>
  <c r="D198" i="39"/>
  <c r="D199" i="39"/>
  <c r="D200" i="39"/>
  <c r="D201" i="39"/>
  <c r="D202" i="39"/>
  <c r="D203" i="39"/>
  <c r="D204" i="39"/>
  <c r="D205" i="39"/>
  <c r="D206" i="39"/>
  <c r="D207" i="39"/>
  <c r="D208" i="39"/>
  <c r="D209" i="39"/>
  <c r="D210" i="39"/>
  <c r="D211" i="39"/>
  <c r="D212" i="39"/>
  <c r="D213" i="39"/>
  <c r="D214" i="39"/>
  <c r="D215" i="39"/>
  <c r="D216" i="39"/>
  <c r="D217" i="39"/>
  <c r="D218" i="39"/>
  <c r="D219" i="39"/>
  <c r="D220" i="39"/>
  <c r="D221" i="39"/>
  <c r="D222" i="39"/>
  <c r="D223" i="39"/>
  <c r="D224" i="39"/>
  <c r="D225" i="39"/>
  <c r="D226" i="39"/>
  <c r="D227" i="39"/>
  <c r="D228" i="39"/>
  <c r="D229" i="39"/>
  <c r="D230" i="39"/>
  <c r="D231" i="39"/>
  <c r="D232" i="39"/>
  <c r="D233" i="39"/>
  <c r="D234" i="39"/>
  <c r="D235" i="39"/>
  <c r="D236" i="39"/>
  <c r="D237" i="39"/>
  <c r="D238" i="39"/>
  <c r="D239" i="39"/>
  <c r="D240" i="39"/>
  <c r="D241" i="39"/>
  <c r="D242" i="39"/>
  <c r="D243" i="39"/>
  <c r="D244" i="39"/>
  <c r="D245" i="39"/>
  <c r="D246" i="39"/>
  <c r="D247" i="39"/>
  <c r="D248" i="39"/>
  <c r="D249" i="39"/>
  <c r="D250" i="39"/>
  <c r="D251" i="39"/>
  <c r="D252" i="39"/>
  <c r="D253" i="39"/>
  <c r="D254" i="39"/>
  <c r="D255" i="39"/>
  <c r="D256" i="39"/>
  <c r="D257" i="39"/>
  <c r="D258" i="39"/>
  <c r="D259" i="39"/>
  <c r="D260" i="39"/>
  <c r="D261" i="39"/>
  <c r="D262" i="39"/>
  <c r="D263" i="39"/>
  <c r="D264" i="39"/>
  <c r="D265" i="39"/>
  <c r="D266" i="39"/>
  <c r="D267" i="39"/>
  <c r="D268" i="39"/>
  <c r="D269" i="39"/>
  <c r="D270" i="39"/>
  <c r="D271" i="39"/>
  <c r="D272" i="39"/>
  <c r="D273" i="39"/>
  <c r="D274" i="39"/>
  <c r="D275" i="39"/>
  <c r="D276" i="39"/>
  <c r="D277" i="39"/>
  <c r="D278" i="39"/>
  <c r="D279" i="39"/>
  <c r="D280" i="39"/>
  <c r="D281" i="39"/>
  <c r="D282" i="39"/>
  <c r="D283" i="39"/>
  <c r="D284" i="39"/>
  <c r="D285" i="39"/>
  <c r="D286" i="39"/>
  <c r="D287" i="39"/>
  <c r="D288" i="39"/>
  <c r="D289" i="39"/>
  <c r="D290" i="39"/>
  <c r="D291" i="39"/>
  <c r="D292" i="39"/>
  <c r="D293" i="39"/>
  <c r="D294" i="39"/>
  <c r="D295" i="39"/>
  <c r="D296" i="39"/>
  <c r="D297" i="39"/>
  <c r="D298" i="39"/>
  <c r="D299" i="39"/>
  <c r="D300" i="39"/>
  <c r="D301" i="39"/>
  <c r="D302" i="39"/>
  <c r="D303" i="39"/>
  <c r="D304" i="39"/>
  <c r="D305" i="39"/>
  <c r="D306" i="39"/>
  <c r="D307" i="39"/>
  <c r="D308" i="39"/>
  <c r="D309" i="39"/>
  <c r="D310" i="39"/>
  <c r="D311" i="39"/>
  <c r="D312" i="39"/>
  <c r="D313" i="39"/>
  <c r="D314" i="39"/>
  <c r="D315" i="39"/>
  <c r="D316" i="39"/>
  <c r="D317" i="39"/>
  <c r="D318" i="39"/>
  <c r="D4" i="39"/>
  <c r="E5" i="38"/>
  <c r="G5" i="38" s="1"/>
  <c r="E6" i="38"/>
  <c r="G6" i="38" s="1"/>
  <c r="E7" i="38"/>
  <c r="G7" i="38" s="1"/>
  <c r="E8" i="38"/>
  <c r="G8" i="38" s="1"/>
  <c r="E9" i="38"/>
  <c r="G9" i="38" s="1"/>
  <c r="E10" i="38"/>
  <c r="G10" i="38" s="1"/>
  <c r="E11" i="38"/>
  <c r="G11" i="38" s="1"/>
  <c r="E12" i="38"/>
  <c r="G12" i="38" s="1"/>
  <c r="E13" i="38"/>
  <c r="G13" i="38" s="1"/>
  <c r="E14" i="38"/>
  <c r="G14" i="38" s="1"/>
  <c r="E15" i="38"/>
  <c r="G15" i="38" s="1"/>
  <c r="E16" i="38"/>
  <c r="G16" i="38" s="1"/>
  <c r="E17" i="38"/>
  <c r="G17" i="38" s="1"/>
  <c r="E18" i="38"/>
  <c r="G18" i="38" s="1"/>
  <c r="E19" i="38"/>
  <c r="G19" i="38" s="1"/>
  <c r="E20" i="38"/>
  <c r="G20" i="38" s="1"/>
  <c r="E21" i="38"/>
  <c r="G21" i="38" s="1"/>
  <c r="E22" i="38"/>
  <c r="G22" i="38" s="1"/>
  <c r="E23" i="38"/>
  <c r="G23" i="38" s="1"/>
  <c r="E24" i="38"/>
  <c r="G24" i="38" s="1"/>
  <c r="E25" i="38"/>
  <c r="G25" i="38" s="1"/>
  <c r="E26" i="38"/>
  <c r="G26" i="38" s="1"/>
  <c r="E27" i="38"/>
  <c r="G27" i="38" s="1"/>
  <c r="E28" i="38"/>
  <c r="G28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E37" i="38"/>
  <c r="G37" i="38" s="1"/>
  <c r="E38" i="38"/>
  <c r="G38" i="38" s="1"/>
  <c r="E39" i="38"/>
  <c r="G39" i="38" s="1"/>
  <c r="E40" i="38"/>
  <c r="G40" i="38" s="1"/>
  <c r="E41" i="38"/>
  <c r="G41" i="38" s="1"/>
  <c r="E42" i="38"/>
  <c r="G42" i="38" s="1"/>
  <c r="E43" i="38"/>
  <c r="G43" i="38" s="1"/>
  <c r="E44" i="38"/>
  <c r="G44" i="38" s="1"/>
  <c r="E45" i="38"/>
  <c r="G45" i="38" s="1"/>
  <c r="E46" i="38"/>
  <c r="G46" i="38" s="1"/>
  <c r="E47" i="38"/>
  <c r="G47" i="38" s="1"/>
  <c r="E48" i="38"/>
  <c r="G48" i="38" s="1"/>
  <c r="E49" i="38"/>
  <c r="G49" i="38" s="1"/>
  <c r="E50" i="38"/>
  <c r="G50" i="38" s="1"/>
  <c r="E51" i="38"/>
  <c r="G51" i="38" s="1"/>
  <c r="E52" i="38"/>
  <c r="G52" i="38" s="1"/>
  <c r="E53" i="38"/>
  <c r="G53" i="38" s="1"/>
  <c r="E54" i="38"/>
  <c r="G54" i="38" s="1"/>
  <c r="E55" i="38"/>
  <c r="G55" i="38" s="1"/>
  <c r="E56" i="38"/>
  <c r="G56" i="38" s="1"/>
  <c r="E57" i="38"/>
  <c r="G57" i="38" s="1"/>
  <c r="E58" i="38"/>
  <c r="G58" i="38" s="1"/>
  <c r="E59" i="38"/>
  <c r="G59" i="38" s="1"/>
  <c r="E60" i="38"/>
  <c r="G60" i="38" s="1"/>
  <c r="E61" i="38"/>
  <c r="G61" i="38" s="1"/>
  <c r="E62" i="38"/>
  <c r="G62" i="38" s="1"/>
  <c r="E63" i="38"/>
  <c r="G63" i="38" s="1"/>
  <c r="E64" i="38"/>
  <c r="G64" i="38" s="1"/>
  <c r="E65" i="38"/>
  <c r="G65" i="38" s="1"/>
  <c r="E66" i="38"/>
  <c r="G66" i="38" s="1"/>
  <c r="E67" i="38"/>
  <c r="G67" i="38" s="1"/>
  <c r="E68" i="38"/>
  <c r="G68" i="38" s="1"/>
  <c r="E69" i="38"/>
  <c r="G69" i="38" s="1"/>
  <c r="E70" i="38"/>
  <c r="G70" i="38" s="1"/>
  <c r="E71" i="38"/>
  <c r="G71" i="38" s="1"/>
  <c r="E72" i="38"/>
  <c r="G72" i="38" s="1"/>
  <c r="E73" i="38"/>
  <c r="G73" i="38" s="1"/>
  <c r="E74" i="38"/>
  <c r="G74" i="38" s="1"/>
  <c r="E75" i="38"/>
  <c r="G75" i="38" s="1"/>
  <c r="E76" i="38"/>
  <c r="G76" i="38" s="1"/>
  <c r="E77" i="38"/>
  <c r="G77" i="38" s="1"/>
  <c r="E78" i="38"/>
  <c r="G78" i="38" s="1"/>
  <c r="E79" i="38"/>
  <c r="G79" i="38" s="1"/>
  <c r="E80" i="38"/>
  <c r="G80" i="38" s="1"/>
  <c r="E81" i="38"/>
  <c r="G81" i="38" s="1"/>
  <c r="E82" i="38"/>
  <c r="G82" i="38" s="1"/>
  <c r="E83" i="38"/>
  <c r="G83" i="38" s="1"/>
  <c r="E84" i="38"/>
  <c r="G84" i="38" s="1"/>
  <c r="E85" i="38"/>
  <c r="G85" i="38" s="1"/>
  <c r="E86" i="38"/>
  <c r="G86" i="38" s="1"/>
  <c r="E87" i="38"/>
  <c r="G87" i="38" s="1"/>
  <c r="E88" i="38"/>
  <c r="G88" i="38" s="1"/>
  <c r="E89" i="38"/>
  <c r="G89" i="38" s="1"/>
  <c r="E90" i="38"/>
  <c r="G90" i="38" s="1"/>
  <c r="E91" i="38"/>
  <c r="G91" i="38" s="1"/>
  <c r="E92" i="38"/>
  <c r="G92" i="38" s="1"/>
  <c r="E93" i="38"/>
  <c r="G93" i="38" s="1"/>
  <c r="E94" i="38"/>
  <c r="G94" i="38" s="1"/>
  <c r="E95" i="38"/>
  <c r="G95" i="38" s="1"/>
  <c r="E96" i="38"/>
  <c r="G96" i="38" s="1"/>
  <c r="E97" i="38"/>
  <c r="G97" i="38" s="1"/>
  <c r="E98" i="38"/>
  <c r="G98" i="38" s="1"/>
  <c r="E99" i="38"/>
  <c r="G99" i="38" s="1"/>
  <c r="E100" i="38"/>
  <c r="G100" i="38" s="1"/>
  <c r="E101" i="38"/>
  <c r="G101" i="38" s="1"/>
  <c r="E102" i="38"/>
  <c r="G102" i="38" s="1"/>
  <c r="E103" i="38"/>
  <c r="G103" i="38" s="1"/>
  <c r="E104" i="38"/>
  <c r="G104" i="38" s="1"/>
  <c r="E105" i="38"/>
  <c r="G105" i="38" s="1"/>
  <c r="E106" i="38"/>
  <c r="G106" i="38" s="1"/>
  <c r="E107" i="38"/>
  <c r="G107" i="38" s="1"/>
  <c r="E108" i="38"/>
  <c r="G108" i="38" s="1"/>
  <c r="E109" i="38"/>
  <c r="G109" i="38" s="1"/>
  <c r="E110" i="38"/>
  <c r="G110" i="38" s="1"/>
  <c r="E111" i="38"/>
  <c r="G111" i="38" s="1"/>
  <c r="E112" i="38"/>
  <c r="G112" i="38" s="1"/>
  <c r="E113" i="38"/>
  <c r="G113" i="38" s="1"/>
  <c r="E114" i="38"/>
  <c r="G114" i="38" s="1"/>
  <c r="E115" i="38"/>
  <c r="G115" i="38" s="1"/>
  <c r="E116" i="38"/>
  <c r="G116" i="38" s="1"/>
  <c r="E117" i="38"/>
  <c r="G117" i="38" s="1"/>
  <c r="E118" i="38"/>
  <c r="G118" i="38" s="1"/>
  <c r="E119" i="38"/>
  <c r="G119" i="38" s="1"/>
  <c r="E120" i="38"/>
  <c r="G120" i="38" s="1"/>
  <c r="E121" i="38"/>
  <c r="G121" i="38" s="1"/>
  <c r="E122" i="38"/>
  <c r="G122" i="38" s="1"/>
  <c r="E123" i="38"/>
  <c r="G123" i="38" s="1"/>
  <c r="E124" i="38"/>
  <c r="G124" i="38" s="1"/>
  <c r="E125" i="38"/>
  <c r="G125" i="38" s="1"/>
  <c r="E126" i="38"/>
  <c r="G126" i="38" s="1"/>
  <c r="E127" i="38"/>
  <c r="G127" i="38" s="1"/>
  <c r="E128" i="38"/>
  <c r="G128" i="38" s="1"/>
  <c r="E129" i="38"/>
  <c r="G129" i="38" s="1"/>
  <c r="E130" i="38"/>
  <c r="G130" i="38" s="1"/>
  <c r="E131" i="38"/>
  <c r="G131" i="38" s="1"/>
  <c r="E132" i="38"/>
  <c r="G132" i="38" s="1"/>
  <c r="E133" i="38"/>
  <c r="G133" i="38" s="1"/>
  <c r="E134" i="38"/>
  <c r="G134" i="38" s="1"/>
  <c r="E135" i="38"/>
  <c r="G135" i="38" s="1"/>
  <c r="E136" i="38"/>
  <c r="G136" i="38" s="1"/>
  <c r="E137" i="38"/>
  <c r="G137" i="38" s="1"/>
  <c r="E138" i="38"/>
  <c r="G138" i="38" s="1"/>
  <c r="E139" i="38"/>
  <c r="G139" i="38" s="1"/>
  <c r="E140" i="38"/>
  <c r="G140" i="38" s="1"/>
  <c r="E141" i="38"/>
  <c r="G141" i="38" s="1"/>
  <c r="E142" i="38"/>
  <c r="G142" i="38" s="1"/>
  <c r="E143" i="38"/>
  <c r="G143" i="38" s="1"/>
  <c r="E144" i="38"/>
  <c r="G144" i="38" s="1"/>
  <c r="E145" i="38"/>
  <c r="G145" i="38" s="1"/>
  <c r="E146" i="38"/>
  <c r="G146" i="38" s="1"/>
  <c r="E147" i="38"/>
  <c r="G147" i="38" s="1"/>
  <c r="E148" i="38"/>
  <c r="G148" i="38" s="1"/>
  <c r="E149" i="38"/>
  <c r="G149" i="38" s="1"/>
  <c r="E150" i="38"/>
  <c r="G150" i="38" s="1"/>
  <c r="E151" i="38"/>
  <c r="G151" i="38" s="1"/>
  <c r="E152" i="38"/>
  <c r="G152" i="38" s="1"/>
  <c r="E153" i="38"/>
  <c r="G153" i="38" s="1"/>
  <c r="E154" i="38"/>
  <c r="G154" i="38" s="1"/>
  <c r="E155" i="38"/>
  <c r="G155" i="38" s="1"/>
  <c r="E156" i="38"/>
  <c r="G156" i="38" s="1"/>
  <c r="E157" i="38"/>
  <c r="G157" i="38" s="1"/>
  <c r="E158" i="38"/>
  <c r="G158" i="38" s="1"/>
  <c r="E159" i="38"/>
  <c r="G159" i="38" s="1"/>
  <c r="E160" i="38"/>
  <c r="G160" i="38" s="1"/>
  <c r="E161" i="38"/>
  <c r="G161" i="38" s="1"/>
  <c r="E162" i="38"/>
  <c r="G162" i="38" s="1"/>
  <c r="E163" i="38"/>
  <c r="G163" i="38" s="1"/>
  <c r="E164" i="38"/>
  <c r="G164" i="38" s="1"/>
  <c r="E165" i="38"/>
  <c r="G165" i="38" s="1"/>
  <c r="E166" i="38"/>
  <c r="G166" i="38" s="1"/>
  <c r="E167" i="38"/>
  <c r="G167" i="38" s="1"/>
  <c r="E168" i="38"/>
  <c r="G168" i="38" s="1"/>
  <c r="E169" i="38"/>
  <c r="G169" i="38" s="1"/>
  <c r="E170" i="38"/>
  <c r="G170" i="38" s="1"/>
  <c r="E171" i="38"/>
  <c r="G171" i="38" s="1"/>
  <c r="E172" i="38"/>
  <c r="G172" i="38" s="1"/>
  <c r="E173" i="38"/>
  <c r="G173" i="38" s="1"/>
  <c r="E174" i="38"/>
  <c r="G174" i="38" s="1"/>
  <c r="E175" i="38"/>
  <c r="G175" i="38" s="1"/>
  <c r="E176" i="38"/>
  <c r="G176" i="38" s="1"/>
  <c r="E177" i="38"/>
  <c r="G177" i="38" s="1"/>
  <c r="E178" i="38"/>
  <c r="G178" i="38" s="1"/>
  <c r="E179" i="38"/>
  <c r="G179" i="38" s="1"/>
  <c r="E180" i="38"/>
  <c r="G180" i="38" s="1"/>
  <c r="E181" i="38"/>
  <c r="G181" i="38" s="1"/>
  <c r="E182" i="38"/>
  <c r="G182" i="38" s="1"/>
  <c r="E183" i="38"/>
  <c r="G183" i="38" s="1"/>
  <c r="E184" i="38"/>
  <c r="G184" i="38" s="1"/>
  <c r="E185" i="38"/>
  <c r="G185" i="38" s="1"/>
  <c r="E186" i="38"/>
  <c r="G186" i="38" s="1"/>
  <c r="E187" i="38"/>
  <c r="G187" i="38" s="1"/>
  <c r="E188" i="38"/>
  <c r="G188" i="38" s="1"/>
  <c r="E189" i="38"/>
  <c r="G189" i="38" s="1"/>
  <c r="E190" i="38"/>
  <c r="G190" i="38" s="1"/>
  <c r="E191" i="38"/>
  <c r="G191" i="38" s="1"/>
  <c r="E192" i="38"/>
  <c r="G192" i="38" s="1"/>
  <c r="E193" i="38"/>
  <c r="G193" i="38" s="1"/>
  <c r="E194" i="38"/>
  <c r="G194" i="38" s="1"/>
  <c r="E195" i="38"/>
  <c r="G195" i="38" s="1"/>
  <c r="E196" i="38"/>
  <c r="G196" i="38" s="1"/>
  <c r="E197" i="38"/>
  <c r="G197" i="38" s="1"/>
  <c r="E198" i="38"/>
  <c r="G198" i="38" s="1"/>
  <c r="E199" i="38"/>
  <c r="G199" i="38" s="1"/>
  <c r="E200" i="38"/>
  <c r="G200" i="38" s="1"/>
  <c r="E201" i="38"/>
  <c r="G201" i="38" s="1"/>
  <c r="E202" i="38"/>
  <c r="G202" i="38" s="1"/>
  <c r="E203" i="38"/>
  <c r="G203" i="38" s="1"/>
  <c r="E204" i="38"/>
  <c r="G204" i="38" s="1"/>
  <c r="E205" i="38"/>
  <c r="G205" i="38" s="1"/>
  <c r="E206" i="38"/>
  <c r="G206" i="38" s="1"/>
  <c r="E207" i="38"/>
  <c r="G207" i="38" s="1"/>
  <c r="E208" i="38"/>
  <c r="G208" i="38" s="1"/>
  <c r="E209" i="38"/>
  <c r="G209" i="38" s="1"/>
  <c r="E210" i="38"/>
  <c r="G210" i="38" s="1"/>
  <c r="E211" i="38"/>
  <c r="G211" i="38" s="1"/>
  <c r="E212" i="38"/>
  <c r="G212" i="38" s="1"/>
  <c r="E213" i="38"/>
  <c r="G213" i="38" s="1"/>
  <c r="E214" i="38"/>
  <c r="G214" i="38" s="1"/>
  <c r="E215" i="38"/>
  <c r="G215" i="38" s="1"/>
  <c r="E216" i="38"/>
  <c r="G216" i="38" s="1"/>
  <c r="E217" i="38"/>
  <c r="G217" i="38" s="1"/>
  <c r="E218" i="38"/>
  <c r="G218" i="38" s="1"/>
  <c r="E219" i="38"/>
  <c r="G219" i="38" s="1"/>
  <c r="E220" i="38"/>
  <c r="G220" i="38" s="1"/>
  <c r="E221" i="38"/>
  <c r="G221" i="38" s="1"/>
  <c r="E222" i="38"/>
  <c r="G222" i="38" s="1"/>
  <c r="E223" i="38"/>
  <c r="G223" i="38" s="1"/>
  <c r="E224" i="38"/>
  <c r="G224" i="38" s="1"/>
  <c r="E225" i="38"/>
  <c r="G225" i="38" s="1"/>
  <c r="E226" i="38"/>
  <c r="G226" i="38" s="1"/>
  <c r="E227" i="38"/>
  <c r="G227" i="38" s="1"/>
  <c r="E228" i="38"/>
  <c r="G228" i="38" s="1"/>
  <c r="E229" i="38"/>
  <c r="G229" i="38" s="1"/>
  <c r="E230" i="38"/>
  <c r="G230" i="38" s="1"/>
  <c r="E231" i="38"/>
  <c r="G231" i="38" s="1"/>
  <c r="E232" i="38"/>
  <c r="G232" i="38" s="1"/>
  <c r="E233" i="38"/>
  <c r="G233" i="38" s="1"/>
  <c r="E234" i="38"/>
  <c r="G234" i="38" s="1"/>
  <c r="E235" i="38"/>
  <c r="G235" i="38" s="1"/>
  <c r="E236" i="38"/>
  <c r="G236" i="38" s="1"/>
  <c r="E237" i="38"/>
  <c r="G237" i="38" s="1"/>
  <c r="E238" i="38"/>
  <c r="G238" i="38" s="1"/>
  <c r="E239" i="38"/>
  <c r="G239" i="38" s="1"/>
  <c r="E240" i="38"/>
  <c r="G240" i="38" s="1"/>
  <c r="E241" i="38"/>
  <c r="G241" i="38" s="1"/>
  <c r="E242" i="38"/>
  <c r="G242" i="38" s="1"/>
  <c r="E243" i="38"/>
  <c r="G243" i="38" s="1"/>
  <c r="E244" i="38"/>
  <c r="G244" i="38" s="1"/>
  <c r="E245" i="38"/>
  <c r="G245" i="38" s="1"/>
  <c r="E246" i="38"/>
  <c r="G246" i="38" s="1"/>
  <c r="E247" i="38"/>
  <c r="G247" i="38" s="1"/>
  <c r="E248" i="38"/>
  <c r="G248" i="38" s="1"/>
  <c r="E249" i="38"/>
  <c r="G249" i="38" s="1"/>
  <c r="E250" i="38"/>
  <c r="G250" i="38" s="1"/>
  <c r="E251" i="38"/>
  <c r="G251" i="38" s="1"/>
  <c r="E252" i="38"/>
  <c r="G252" i="38" s="1"/>
  <c r="E253" i="38"/>
  <c r="G253" i="38" s="1"/>
  <c r="E254" i="38"/>
  <c r="G254" i="38" s="1"/>
  <c r="E255" i="38"/>
  <c r="G255" i="38" s="1"/>
  <c r="E256" i="38"/>
  <c r="G256" i="38" s="1"/>
  <c r="E257" i="38"/>
  <c r="G257" i="38" s="1"/>
  <c r="E258" i="38"/>
  <c r="G258" i="38" s="1"/>
  <c r="E259" i="38"/>
  <c r="G259" i="38" s="1"/>
  <c r="E260" i="38"/>
  <c r="G260" i="38" s="1"/>
  <c r="E261" i="38"/>
  <c r="G261" i="38" s="1"/>
  <c r="E262" i="38"/>
  <c r="G262" i="38" s="1"/>
  <c r="E263" i="38"/>
  <c r="G263" i="38" s="1"/>
  <c r="E264" i="38"/>
  <c r="G264" i="38" s="1"/>
  <c r="E265" i="38"/>
  <c r="G265" i="38" s="1"/>
  <c r="E266" i="38"/>
  <c r="G266" i="38" s="1"/>
  <c r="E267" i="38"/>
  <c r="G267" i="38" s="1"/>
  <c r="E268" i="38"/>
  <c r="G268" i="38" s="1"/>
  <c r="E269" i="38"/>
  <c r="G269" i="38" s="1"/>
  <c r="E270" i="38"/>
  <c r="G270" i="38" s="1"/>
  <c r="E271" i="38"/>
  <c r="G271" i="38" s="1"/>
  <c r="E272" i="38"/>
  <c r="G272" i="38" s="1"/>
  <c r="E273" i="38"/>
  <c r="G273" i="38" s="1"/>
  <c r="E274" i="38"/>
  <c r="G274" i="38" s="1"/>
  <c r="E275" i="38"/>
  <c r="G275" i="38" s="1"/>
  <c r="E276" i="38"/>
  <c r="G276" i="38" s="1"/>
  <c r="E277" i="38"/>
  <c r="G277" i="38" s="1"/>
  <c r="E278" i="38"/>
  <c r="G278" i="38" s="1"/>
  <c r="E279" i="38"/>
  <c r="G279" i="38" s="1"/>
  <c r="E280" i="38"/>
  <c r="G280" i="38" s="1"/>
  <c r="E281" i="38"/>
  <c r="G281" i="38" s="1"/>
  <c r="E282" i="38"/>
  <c r="G282" i="38" s="1"/>
  <c r="E283" i="38"/>
  <c r="G283" i="38" s="1"/>
  <c r="E284" i="38"/>
  <c r="G284" i="38" s="1"/>
  <c r="E285" i="38"/>
  <c r="G285" i="38" s="1"/>
  <c r="E286" i="38"/>
  <c r="G286" i="38" s="1"/>
  <c r="E287" i="38"/>
  <c r="G287" i="38" s="1"/>
  <c r="E288" i="38"/>
  <c r="G288" i="38" s="1"/>
  <c r="E289" i="38"/>
  <c r="G289" i="38" s="1"/>
  <c r="E290" i="38"/>
  <c r="G290" i="38" s="1"/>
  <c r="E291" i="38"/>
  <c r="G291" i="38" s="1"/>
  <c r="E292" i="38"/>
  <c r="G292" i="38" s="1"/>
  <c r="E293" i="38"/>
  <c r="G293" i="38" s="1"/>
  <c r="E294" i="38"/>
  <c r="G294" i="38" s="1"/>
  <c r="E295" i="38"/>
  <c r="G295" i="38" s="1"/>
  <c r="E296" i="38"/>
  <c r="G296" i="38" s="1"/>
  <c r="E297" i="38"/>
  <c r="G297" i="38" s="1"/>
  <c r="E298" i="38"/>
  <c r="G298" i="38" s="1"/>
  <c r="E299" i="38"/>
  <c r="G299" i="38" s="1"/>
  <c r="E300" i="38"/>
  <c r="G300" i="38" s="1"/>
  <c r="E301" i="38"/>
  <c r="G301" i="38" s="1"/>
  <c r="E302" i="38"/>
  <c r="G302" i="38" s="1"/>
  <c r="E303" i="38"/>
  <c r="G303" i="38" s="1"/>
  <c r="E304" i="38"/>
  <c r="G304" i="38" s="1"/>
  <c r="E305" i="38"/>
  <c r="G305" i="38" s="1"/>
  <c r="E306" i="38"/>
  <c r="G306" i="38" s="1"/>
  <c r="E307" i="38"/>
  <c r="G307" i="38" s="1"/>
  <c r="E308" i="38"/>
  <c r="G308" i="38" s="1"/>
  <c r="E309" i="38"/>
  <c r="G309" i="38" s="1"/>
  <c r="E310" i="38"/>
  <c r="G310" i="38" s="1"/>
  <c r="E311" i="38"/>
  <c r="G311" i="38" s="1"/>
  <c r="E312" i="38"/>
  <c r="G312" i="38" s="1"/>
  <c r="E313" i="38"/>
  <c r="G313" i="38" s="1"/>
  <c r="E314" i="38"/>
  <c r="G314" i="38" s="1"/>
  <c r="E315" i="38"/>
  <c r="G315" i="38" s="1"/>
  <c r="E316" i="38"/>
  <c r="G316" i="38" s="1"/>
  <c r="E317" i="38"/>
  <c r="G317" i="38" s="1"/>
  <c r="E318" i="38"/>
  <c r="G318" i="38" s="1"/>
  <c r="E4" i="38"/>
  <c r="G4" i="38" s="1"/>
  <c r="F5" i="38"/>
  <c r="F6" i="38"/>
  <c r="F7" i="38"/>
  <c r="F8" i="38"/>
  <c r="F9" i="38"/>
  <c r="F10" i="38"/>
  <c r="F11" i="38"/>
  <c r="H11" i="38" s="1"/>
  <c r="F12" i="38"/>
  <c r="F13" i="38"/>
  <c r="F14" i="38"/>
  <c r="F15" i="38"/>
  <c r="H15" i="38" s="1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111" i="38"/>
  <c r="F112" i="38"/>
  <c r="F113" i="38"/>
  <c r="F114" i="38"/>
  <c r="F115" i="38"/>
  <c r="F116" i="38"/>
  <c r="F117" i="38"/>
  <c r="F118" i="38"/>
  <c r="F119" i="38"/>
  <c r="F120" i="38"/>
  <c r="F121" i="38"/>
  <c r="F122" i="38"/>
  <c r="F123" i="38"/>
  <c r="F124" i="38"/>
  <c r="F125" i="38"/>
  <c r="H125" i="38" s="1"/>
  <c r="I125" i="38" s="1"/>
  <c r="F126" i="38"/>
  <c r="F127" i="38"/>
  <c r="F128" i="38"/>
  <c r="F129" i="38"/>
  <c r="F130" i="38"/>
  <c r="F131" i="38"/>
  <c r="F132" i="38"/>
  <c r="F133" i="38"/>
  <c r="F134" i="38"/>
  <c r="F135" i="38"/>
  <c r="F136" i="38"/>
  <c r="F137" i="38"/>
  <c r="F138" i="38"/>
  <c r="F139" i="38"/>
  <c r="F140" i="38"/>
  <c r="F141" i="38"/>
  <c r="F142" i="38"/>
  <c r="F143" i="38"/>
  <c r="F144" i="38"/>
  <c r="F145" i="38"/>
  <c r="H145" i="38" s="1"/>
  <c r="I145" i="38" s="1"/>
  <c r="J145" i="38" s="1"/>
  <c r="F146" i="38"/>
  <c r="F147" i="38"/>
  <c r="F148" i="38"/>
  <c r="F149" i="38"/>
  <c r="F150" i="38"/>
  <c r="F151" i="38"/>
  <c r="F152" i="38"/>
  <c r="F153" i="38"/>
  <c r="F154" i="38"/>
  <c r="F155" i="38"/>
  <c r="F156" i="38"/>
  <c r="H156" i="38" s="1"/>
  <c r="I156" i="38" s="1"/>
  <c r="J156" i="38" s="1"/>
  <c r="F157" i="38"/>
  <c r="F158" i="38"/>
  <c r="F159" i="38"/>
  <c r="F160" i="38"/>
  <c r="F161" i="38"/>
  <c r="F162" i="38"/>
  <c r="F163" i="38"/>
  <c r="F164" i="38"/>
  <c r="F165" i="38"/>
  <c r="F166" i="38"/>
  <c r="F167" i="38"/>
  <c r="F168" i="38"/>
  <c r="F169" i="38"/>
  <c r="F170" i="38"/>
  <c r="F171" i="38"/>
  <c r="F172" i="38"/>
  <c r="F173" i="38"/>
  <c r="H173" i="38" s="1"/>
  <c r="I173" i="38" s="1"/>
  <c r="F174" i="38"/>
  <c r="F175" i="38"/>
  <c r="F176" i="38"/>
  <c r="F177" i="38"/>
  <c r="F178" i="38"/>
  <c r="F179" i="38"/>
  <c r="F180" i="38"/>
  <c r="F181" i="38"/>
  <c r="F182" i="38"/>
  <c r="F183" i="38"/>
  <c r="F184" i="38"/>
  <c r="F185" i="38"/>
  <c r="F186" i="38"/>
  <c r="F187" i="38"/>
  <c r="F188" i="38"/>
  <c r="F189" i="38"/>
  <c r="F190" i="38"/>
  <c r="F191" i="38"/>
  <c r="F192" i="38"/>
  <c r="F193" i="38"/>
  <c r="F194" i="38"/>
  <c r="F195" i="38"/>
  <c r="F196" i="38"/>
  <c r="F197" i="38"/>
  <c r="F198" i="38"/>
  <c r="F199" i="38"/>
  <c r="F200" i="38"/>
  <c r="F201" i="38"/>
  <c r="F202" i="38"/>
  <c r="F203" i="38"/>
  <c r="F204" i="38"/>
  <c r="F205" i="38"/>
  <c r="F206" i="38"/>
  <c r="F207" i="38"/>
  <c r="F208" i="38"/>
  <c r="F209" i="38"/>
  <c r="F210" i="38"/>
  <c r="F211" i="38"/>
  <c r="F212" i="38"/>
  <c r="F213" i="38"/>
  <c r="F214" i="38"/>
  <c r="F215" i="38"/>
  <c r="F216" i="38"/>
  <c r="F217" i="38"/>
  <c r="F218" i="38"/>
  <c r="F219" i="38"/>
  <c r="F220" i="38"/>
  <c r="F221" i="38"/>
  <c r="F222" i="38"/>
  <c r="F223" i="38"/>
  <c r="F224" i="38"/>
  <c r="F225" i="38"/>
  <c r="F226" i="38"/>
  <c r="F227" i="38"/>
  <c r="F228" i="38"/>
  <c r="F229" i="38"/>
  <c r="F230" i="38"/>
  <c r="F231" i="38"/>
  <c r="F232" i="38"/>
  <c r="F233" i="38"/>
  <c r="F234" i="38"/>
  <c r="F235" i="38"/>
  <c r="F236" i="38"/>
  <c r="F237" i="38"/>
  <c r="F238" i="38"/>
  <c r="F239" i="38"/>
  <c r="F240" i="38"/>
  <c r="H240" i="38" s="1"/>
  <c r="I240" i="38" s="1"/>
  <c r="F241" i="38"/>
  <c r="F242" i="38"/>
  <c r="F243" i="38"/>
  <c r="F244" i="38"/>
  <c r="F245" i="38"/>
  <c r="F246" i="38"/>
  <c r="F247" i="38"/>
  <c r="F248" i="38"/>
  <c r="F249" i="38"/>
  <c r="F250" i="38"/>
  <c r="F251" i="38"/>
  <c r="F252" i="38"/>
  <c r="F253" i="38"/>
  <c r="F254" i="38"/>
  <c r="F255" i="38"/>
  <c r="F256" i="38"/>
  <c r="F257" i="38"/>
  <c r="H257" i="38" s="1"/>
  <c r="F258" i="38"/>
  <c r="F259" i="38"/>
  <c r="F260" i="38"/>
  <c r="F261" i="38"/>
  <c r="F262" i="38"/>
  <c r="F263" i="38"/>
  <c r="F264" i="38"/>
  <c r="F265" i="38"/>
  <c r="F266" i="38"/>
  <c r="F267" i="38"/>
  <c r="F268" i="38"/>
  <c r="F269" i="38"/>
  <c r="F270" i="38"/>
  <c r="F271" i="38"/>
  <c r="F272" i="38"/>
  <c r="F273" i="38"/>
  <c r="H273" i="38" s="1"/>
  <c r="I273" i="38" s="1"/>
  <c r="J273" i="38" s="1"/>
  <c r="F274" i="38"/>
  <c r="F275" i="38"/>
  <c r="F276" i="38"/>
  <c r="F277" i="38"/>
  <c r="F278" i="38"/>
  <c r="F279" i="38"/>
  <c r="F280" i="38"/>
  <c r="F281" i="38"/>
  <c r="F282" i="38"/>
  <c r="F283" i="38"/>
  <c r="F284" i="38"/>
  <c r="F285" i="38"/>
  <c r="F286" i="38"/>
  <c r="F287" i="38"/>
  <c r="F288" i="38"/>
  <c r="F289" i="38"/>
  <c r="F290" i="38"/>
  <c r="F291" i="38"/>
  <c r="F292" i="38"/>
  <c r="F293" i="38"/>
  <c r="F294" i="38"/>
  <c r="F295" i="38"/>
  <c r="F296" i="38"/>
  <c r="F297" i="38"/>
  <c r="F298" i="38"/>
  <c r="F299" i="38"/>
  <c r="F300" i="38"/>
  <c r="F301" i="38"/>
  <c r="F302" i="38"/>
  <c r="F303" i="38"/>
  <c r="F304" i="38"/>
  <c r="F305" i="38"/>
  <c r="F306" i="38"/>
  <c r="F307" i="38"/>
  <c r="F308" i="38"/>
  <c r="F309" i="38"/>
  <c r="F310" i="38"/>
  <c r="F311" i="38"/>
  <c r="F312" i="38"/>
  <c r="F313" i="38"/>
  <c r="F314" i="38"/>
  <c r="F315" i="38"/>
  <c r="F316" i="38"/>
  <c r="F317" i="38"/>
  <c r="F318" i="38"/>
  <c r="F4" i="38"/>
  <c r="D5" i="38"/>
  <c r="D6" i="38"/>
  <c r="D7" i="38"/>
  <c r="D8" i="38"/>
  <c r="D9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33" i="38"/>
  <c r="D134" i="38"/>
  <c r="D135" i="38"/>
  <c r="D136" i="38"/>
  <c r="D137" i="38"/>
  <c r="D138" i="38"/>
  <c r="D139" i="38"/>
  <c r="D140" i="38"/>
  <c r="D141" i="38"/>
  <c r="D142" i="38"/>
  <c r="D143" i="38"/>
  <c r="D144" i="38"/>
  <c r="D145" i="38"/>
  <c r="D146" i="38"/>
  <c r="D147" i="38"/>
  <c r="D148" i="38"/>
  <c r="D149" i="38"/>
  <c r="D150" i="38"/>
  <c r="D151" i="38"/>
  <c r="D152" i="38"/>
  <c r="D153" i="38"/>
  <c r="D154" i="38"/>
  <c r="D155" i="38"/>
  <c r="D156" i="38"/>
  <c r="D157" i="38"/>
  <c r="D158" i="38"/>
  <c r="D159" i="38"/>
  <c r="D160" i="38"/>
  <c r="D161" i="38"/>
  <c r="D162" i="38"/>
  <c r="D163" i="38"/>
  <c r="D164" i="38"/>
  <c r="D165" i="38"/>
  <c r="D166" i="38"/>
  <c r="D167" i="38"/>
  <c r="D168" i="38"/>
  <c r="D169" i="38"/>
  <c r="D170" i="38"/>
  <c r="D171" i="38"/>
  <c r="D172" i="38"/>
  <c r="D173" i="38"/>
  <c r="D174" i="38"/>
  <c r="D175" i="38"/>
  <c r="D176" i="38"/>
  <c r="D177" i="38"/>
  <c r="D178" i="38"/>
  <c r="D179" i="38"/>
  <c r="D180" i="38"/>
  <c r="D181" i="38"/>
  <c r="D182" i="38"/>
  <c r="D183" i="38"/>
  <c r="D184" i="38"/>
  <c r="D185" i="38"/>
  <c r="D186" i="38"/>
  <c r="D187" i="38"/>
  <c r="D188" i="38"/>
  <c r="D189" i="38"/>
  <c r="D190" i="38"/>
  <c r="D191" i="38"/>
  <c r="D192" i="38"/>
  <c r="D193" i="38"/>
  <c r="D194" i="38"/>
  <c r="D195" i="38"/>
  <c r="D196" i="38"/>
  <c r="D197" i="38"/>
  <c r="D198" i="38"/>
  <c r="D199" i="38"/>
  <c r="D200" i="38"/>
  <c r="D201" i="38"/>
  <c r="D202" i="38"/>
  <c r="D203" i="38"/>
  <c r="D204" i="38"/>
  <c r="D205" i="38"/>
  <c r="D206" i="38"/>
  <c r="D207" i="38"/>
  <c r="D208" i="38"/>
  <c r="D209" i="38"/>
  <c r="D210" i="38"/>
  <c r="D211" i="38"/>
  <c r="D212" i="38"/>
  <c r="D213" i="38"/>
  <c r="D214" i="38"/>
  <c r="D215" i="38"/>
  <c r="D216" i="38"/>
  <c r="D217" i="38"/>
  <c r="D218" i="38"/>
  <c r="D219" i="38"/>
  <c r="D220" i="38"/>
  <c r="D221" i="38"/>
  <c r="D222" i="38"/>
  <c r="D223" i="38"/>
  <c r="D224" i="38"/>
  <c r="D225" i="38"/>
  <c r="D226" i="38"/>
  <c r="D227" i="38"/>
  <c r="D228" i="38"/>
  <c r="D229" i="38"/>
  <c r="D230" i="38"/>
  <c r="D231" i="38"/>
  <c r="D232" i="38"/>
  <c r="D233" i="38"/>
  <c r="D234" i="38"/>
  <c r="D235" i="38"/>
  <c r="D236" i="38"/>
  <c r="D237" i="38"/>
  <c r="D238" i="38"/>
  <c r="D239" i="38"/>
  <c r="D240" i="38"/>
  <c r="D241" i="38"/>
  <c r="D242" i="38"/>
  <c r="D243" i="38"/>
  <c r="D244" i="38"/>
  <c r="D245" i="38"/>
  <c r="D246" i="38"/>
  <c r="D247" i="38"/>
  <c r="D248" i="38"/>
  <c r="D249" i="38"/>
  <c r="D250" i="38"/>
  <c r="D251" i="38"/>
  <c r="D252" i="38"/>
  <c r="D253" i="38"/>
  <c r="D254" i="38"/>
  <c r="D255" i="38"/>
  <c r="D256" i="38"/>
  <c r="D257" i="38"/>
  <c r="D258" i="38"/>
  <c r="D259" i="38"/>
  <c r="D260" i="38"/>
  <c r="D261" i="38"/>
  <c r="D262" i="38"/>
  <c r="D263" i="38"/>
  <c r="D264" i="38"/>
  <c r="D265" i="38"/>
  <c r="D266" i="38"/>
  <c r="D267" i="38"/>
  <c r="D268" i="38"/>
  <c r="D269" i="38"/>
  <c r="D270" i="38"/>
  <c r="D271" i="38"/>
  <c r="D272" i="38"/>
  <c r="D273" i="38"/>
  <c r="D274" i="38"/>
  <c r="D275" i="38"/>
  <c r="D276" i="38"/>
  <c r="D277" i="38"/>
  <c r="D278" i="38"/>
  <c r="D279" i="38"/>
  <c r="D280" i="38"/>
  <c r="D281" i="38"/>
  <c r="D282" i="38"/>
  <c r="D283" i="38"/>
  <c r="D284" i="38"/>
  <c r="D285" i="38"/>
  <c r="D286" i="38"/>
  <c r="D287" i="38"/>
  <c r="D288" i="38"/>
  <c r="D289" i="38"/>
  <c r="D290" i="38"/>
  <c r="D291" i="38"/>
  <c r="D292" i="38"/>
  <c r="D293" i="38"/>
  <c r="D294" i="38"/>
  <c r="D295" i="38"/>
  <c r="D296" i="38"/>
  <c r="D297" i="38"/>
  <c r="D298" i="38"/>
  <c r="D299" i="38"/>
  <c r="D300" i="38"/>
  <c r="D301" i="38"/>
  <c r="D302" i="38"/>
  <c r="D303" i="38"/>
  <c r="D304" i="38"/>
  <c r="D305" i="38"/>
  <c r="D306" i="38"/>
  <c r="D307" i="38"/>
  <c r="D308" i="38"/>
  <c r="D309" i="38"/>
  <c r="D310" i="38"/>
  <c r="D311" i="38"/>
  <c r="D312" i="38"/>
  <c r="D313" i="38"/>
  <c r="D314" i="38"/>
  <c r="D315" i="38"/>
  <c r="D316" i="38"/>
  <c r="D317" i="38"/>
  <c r="D318" i="38"/>
  <c r="D4" i="38"/>
  <c r="H15" i="37"/>
  <c r="H58" i="37"/>
  <c r="H127" i="37"/>
  <c r="H156" i="37"/>
  <c r="H175" i="37"/>
  <c r="H196" i="37"/>
  <c r="H208" i="37"/>
  <c r="H240" i="37"/>
  <c r="H244" i="37"/>
  <c r="H257" i="37"/>
  <c r="H259" i="37"/>
  <c r="H303" i="37"/>
  <c r="E5" i="37"/>
  <c r="G5" i="37" s="1"/>
  <c r="E6" i="37"/>
  <c r="G6" i="37" s="1"/>
  <c r="E7" i="37"/>
  <c r="G7" i="37" s="1"/>
  <c r="E8" i="37"/>
  <c r="G8" i="37" s="1"/>
  <c r="E9" i="37"/>
  <c r="G9" i="37" s="1"/>
  <c r="E10" i="37"/>
  <c r="G10" i="37" s="1"/>
  <c r="E11" i="37"/>
  <c r="G11" i="37" s="1"/>
  <c r="E12" i="37"/>
  <c r="G12" i="37" s="1"/>
  <c r="E13" i="37"/>
  <c r="G13" i="37" s="1"/>
  <c r="E14" i="37"/>
  <c r="G14" i="37" s="1"/>
  <c r="E15" i="37"/>
  <c r="G15" i="37" s="1"/>
  <c r="E16" i="37"/>
  <c r="G16" i="37" s="1"/>
  <c r="E17" i="37"/>
  <c r="G17" i="37" s="1"/>
  <c r="E18" i="37"/>
  <c r="G18" i="37" s="1"/>
  <c r="E19" i="37"/>
  <c r="G19" i="37" s="1"/>
  <c r="E20" i="37"/>
  <c r="G20" i="37" s="1"/>
  <c r="E21" i="37"/>
  <c r="G21" i="37" s="1"/>
  <c r="E22" i="37"/>
  <c r="G22" i="37" s="1"/>
  <c r="E23" i="37"/>
  <c r="G23" i="37" s="1"/>
  <c r="E24" i="37"/>
  <c r="G24" i="37" s="1"/>
  <c r="E25" i="37"/>
  <c r="G25" i="37" s="1"/>
  <c r="E26" i="37"/>
  <c r="G26" i="37" s="1"/>
  <c r="E27" i="37"/>
  <c r="G27" i="37" s="1"/>
  <c r="E28" i="37"/>
  <c r="G28" i="37" s="1"/>
  <c r="E29" i="37"/>
  <c r="G29" i="37" s="1"/>
  <c r="E30" i="37"/>
  <c r="G30" i="37" s="1"/>
  <c r="E31" i="37"/>
  <c r="G31" i="37" s="1"/>
  <c r="E32" i="37"/>
  <c r="G32" i="37" s="1"/>
  <c r="E33" i="37"/>
  <c r="G33" i="37" s="1"/>
  <c r="E34" i="37"/>
  <c r="G34" i="37" s="1"/>
  <c r="E35" i="37"/>
  <c r="G35" i="37" s="1"/>
  <c r="E36" i="37"/>
  <c r="G36" i="37" s="1"/>
  <c r="E37" i="37"/>
  <c r="G37" i="37" s="1"/>
  <c r="E38" i="37"/>
  <c r="G38" i="37" s="1"/>
  <c r="E39" i="37"/>
  <c r="G39" i="37" s="1"/>
  <c r="E40" i="37"/>
  <c r="G40" i="37" s="1"/>
  <c r="E41" i="37"/>
  <c r="G41" i="37" s="1"/>
  <c r="E42" i="37"/>
  <c r="G42" i="37" s="1"/>
  <c r="E43" i="37"/>
  <c r="G43" i="37" s="1"/>
  <c r="E44" i="37"/>
  <c r="G44" i="37" s="1"/>
  <c r="E45" i="37"/>
  <c r="G45" i="37" s="1"/>
  <c r="E46" i="37"/>
  <c r="G46" i="37" s="1"/>
  <c r="E47" i="37"/>
  <c r="G47" i="37" s="1"/>
  <c r="E48" i="37"/>
  <c r="G48" i="37" s="1"/>
  <c r="E49" i="37"/>
  <c r="G49" i="37" s="1"/>
  <c r="E50" i="37"/>
  <c r="G50" i="37" s="1"/>
  <c r="E51" i="37"/>
  <c r="G51" i="37" s="1"/>
  <c r="E52" i="37"/>
  <c r="G52" i="37" s="1"/>
  <c r="E53" i="37"/>
  <c r="G53" i="37" s="1"/>
  <c r="E54" i="37"/>
  <c r="G54" i="37" s="1"/>
  <c r="E55" i="37"/>
  <c r="G55" i="37" s="1"/>
  <c r="E56" i="37"/>
  <c r="G56" i="37" s="1"/>
  <c r="E57" i="37"/>
  <c r="G57" i="37" s="1"/>
  <c r="E58" i="37"/>
  <c r="G58" i="37" s="1"/>
  <c r="E59" i="37"/>
  <c r="G59" i="37" s="1"/>
  <c r="E60" i="37"/>
  <c r="G60" i="37" s="1"/>
  <c r="E61" i="37"/>
  <c r="G61" i="37" s="1"/>
  <c r="E62" i="37"/>
  <c r="G62" i="37" s="1"/>
  <c r="E63" i="37"/>
  <c r="G63" i="37" s="1"/>
  <c r="E64" i="37"/>
  <c r="G64" i="37" s="1"/>
  <c r="E65" i="37"/>
  <c r="G65" i="37" s="1"/>
  <c r="E66" i="37"/>
  <c r="G66" i="37" s="1"/>
  <c r="E67" i="37"/>
  <c r="G67" i="37" s="1"/>
  <c r="E68" i="37"/>
  <c r="G68" i="37" s="1"/>
  <c r="E69" i="37"/>
  <c r="G69" i="37" s="1"/>
  <c r="E70" i="37"/>
  <c r="G70" i="37" s="1"/>
  <c r="E71" i="37"/>
  <c r="G71" i="37" s="1"/>
  <c r="E72" i="37"/>
  <c r="G72" i="37" s="1"/>
  <c r="E73" i="37"/>
  <c r="G73" i="37" s="1"/>
  <c r="E74" i="37"/>
  <c r="G74" i="37" s="1"/>
  <c r="E75" i="37"/>
  <c r="G75" i="37" s="1"/>
  <c r="E76" i="37"/>
  <c r="G76" i="37" s="1"/>
  <c r="E77" i="37"/>
  <c r="G77" i="37" s="1"/>
  <c r="E78" i="37"/>
  <c r="G78" i="37" s="1"/>
  <c r="E79" i="37"/>
  <c r="G79" i="37" s="1"/>
  <c r="E80" i="37"/>
  <c r="G80" i="37" s="1"/>
  <c r="E81" i="37"/>
  <c r="G81" i="37" s="1"/>
  <c r="E82" i="37"/>
  <c r="G82" i="37" s="1"/>
  <c r="E83" i="37"/>
  <c r="G83" i="37" s="1"/>
  <c r="E84" i="37"/>
  <c r="G84" i="37" s="1"/>
  <c r="E85" i="37"/>
  <c r="G85" i="37" s="1"/>
  <c r="E86" i="37"/>
  <c r="G86" i="37" s="1"/>
  <c r="E87" i="37"/>
  <c r="G87" i="37" s="1"/>
  <c r="E88" i="37"/>
  <c r="G88" i="37" s="1"/>
  <c r="E89" i="37"/>
  <c r="G89" i="37" s="1"/>
  <c r="E90" i="37"/>
  <c r="G90" i="37" s="1"/>
  <c r="E91" i="37"/>
  <c r="G91" i="37" s="1"/>
  <c r="E92" i="37"/>
  <c r="G92" i="37" s="1"/>
  <c r="E93" i="37"/>
  <c r="G93" i="37" s="1"/>
  <c r="E94" i="37"/>
  <c r="G94" i="37" s="1"/>
  <c r="E95" i="37"/>
  <c r="G95" i="37" s="1"/>
  <c r="E96" i="37"/>
  <c r="G96" i="37" s="1"/>
  <c r="E97" i="37"/>
  <c r="G97" i="37" s="1"/>
  <c r="E98" i="37"/>
  <c r="G98" i="37" s="1"/>
  <c r="E99" i="37"/>
  <c r="G99" i="37" s="1"/>
  <c r="E100" i="37"/>
  <c r="G100" i="37" s="1"/>
  <c r="E101" i="37"/>
  <c r="G101" i="37" s="1"/>
  <c r="E102" i="37"/>
  <c r="G102" i="37" s="1"/>
  <c r="E103" i="37"/>
  <c r="G103" i="37" s="1"/>
  <c r="E104" i="37"/>
  <c r="G104" i="37" s="1"/>
  <c r="E105" i="37"/>
  <c r="G105" i="37" s="1"/>
  <c r="E106" i="37"/>
  <c r="G106" i="37" s="1"/>
  <c r="E107" i="37"/>
  <c r="G107" i="37" s="1"/>
  <c r="E108" i="37"/>
  <c r="G108" i="37" s="1"/>
  <c r="E109" i="37"/>
  <c r="G109" i="37" s="1"/>
  <c r="E110" i="37"/>
  <c r="G110" i="37" s="1"/>
  <c r="E111" i="37"/>
  <c r="G111" i="37" s="1"/>
  <c r="E112" i="37"/>
  <c r="G112" i="37" s="1"/>
  <c r="E113" i="37"/>
  <c r="G113" i="37" s="1"/>
  <c r="E114" i="37"/>
  <c r="G114" i="37" s="1"/>
  <c r="E115" i="37"/>
  <c r="G115" i="37" s="1"/>
  <c r="E116" i="37"/>
  <c r="G116" i="37" s="1"/>
  <c r="E117" i="37"/>
  <c r="G117" i="37" s="1"/>
  <c r="E118" i="37"/>
  <c r="G118" i="37" s="1"/>
  <c r="E119" i="37"/>
  <c r="G119" i="37" s="1"/>
  <c r="E120" i="37"/>
  <c r="G120" i="37" s="1"/>
  <c r="E121" i="37"/>
  <c r="G121" i="37" s="1"/>
  <c r="E122" i="37"/>
  <c r="G122" i="37" s="1"/>
  <c r="E123" i="37"/>
  <c r="G123" i="37" s="1"/>
  <c r="E124" i="37"/>
  <c r="G124" i="37" s="1"/>
  <c r="E125" i="37"/>
  <c r="G125" i="37" s="1"/>
  <c r="E126" i="37"/>
  <c r="G126" i="37" s="1"/>
  <c r="E127" i="37"/>
  <c r="G127" i="37" s="1"/>
  <c r="E128" i="37"/>
  <c r="G128" i="37" s="1"/>
  <c r="E129" i="37"/>
  <c r="G129" i="37" s="1"/>
  <c r="E130" i="37"/>
  <c r="G130" i="37" s="1"/>
  <c r="E131" i="37"/>
  <c r="G131" i="37" s="1"/>
  <c r="E132" i="37"/>
  <c r="G132" i="37" s="1"/>
  <c r="E133" i="37"/>
  <c r="G133" i="37" s="1"/>
  <c r="E134" i="37"/>
  <c r="G134" i="37" s="1"/>
  <c r="E135" i="37"/>
  <c r="G135" i="37" s="1"/>
  <c r="E136" i="37"/>
  <c r="G136" i="37" s="1"/>
  <c r="E137" i="37"/>
  <c r="G137" i="37" s="1"/>
  <c r="E138" i="37"/>
  <c r="G138" i="37" s="1"/>
  <c r="E139" i="37"/>
  <c r="G139" i="37" s="1"/>
  <c r="E140" i="37"/>
  <c r="G140" i="37" s="1"/>
  <c r="E141" i="37"/>
  <c r="G141" i="37" s="1"/>
  <c r="E142" i="37"/>
  <c r="G142" i="37" s="1"/>
  <c r="E143" i="37"/>
  <c r="G143" i="37" s="1"/>
  <c r="E144" i="37"/>
  <c r="G144" i="37" s="1"/>
  <c r="E145" i="37"/>
  <c r="G145" i="37" s="1"/>
  <c r="E146" i="37"/>
  <c r="G146" i="37" s="1"/>
  <c r="E147" i="37"/>
  <c r="G147" i="37" s="1"/>
  <c r="E148" i="37"/>
  <c r="G148" i="37" s="1"/>
  <c r="E149" i="37"/>
  <c r="G149" i="37" s="1"/>
  <c r="E150" i="37"/>
  <c r="G150" i="37" s="1"/>
  <c r="E151" i="37"/>
  <c r="G151" i="37" s="1"/>
  <c r="E152" i="37"/>
  <c r="G152" i="37" s="1"/>
  <c r="E153" i="37"/>
  <c r="G153" i="37" s="1"/>
  <c r="E154" i="37"/>
  <c r="G154" i="37" s="1"/>
  <c r="E155" i="37"/>
  <c r="G155" i="37" s="1"/>
  <c r="E156" i="37"/>
  <c r="G156" i="37" s="1"/>
  <c r="E157" i="37"/>
  <c r="G157" i="37" s="1"/>
  <c r="E158" i="37"/>
  <c r="G158" i="37" s="1"/>
  <c r="E159" i="37"/>
  <c r="G159" i="37" s="1"/>
  <c r="E160" i="37"/>
  <c r="G160" i="37" s="1"/>
  <c r="E161" i="37"/>
  <c r="G161" i="37" s="1"/>
  <c r="E162" i="37"/>
  <c r="G162" i="37" s="1"/>
  <c r="E163" i="37"/>
  <c r="G163" i="37" s="1"/>
  <c r="E164" i="37"/>
  <c r="G164" i="37" s="1"/>
  <c r="E165" i="37"/>
  <c r="G165" i="37" s="1"/>
  <c r="E166" i="37"/>
  <c r="G166" i="37" s="1"/>
  <c r="E167" i="37"/>
  <c r="G167" i="37" s="1"/>
  <c r="E168" i="37"/>
  <c r="G168" i="37" s="1"/>
  <c r="E169" i="37"/>
  <c r="G169" i="37" s="1"/>
  <c r="E170" i="37"/>
  <c r="G170" i="37" s="1"/>
  <c r="E171" i="37"/>
  <c r="G171" i="37" s="1"/>
  <c r="E172" i="37"/>
  <c r="G172" i="37" s="1"/>
  <c r="E173" i="37"/>
  <c r="G173" i="37" s="1"/>
  <c r="E174" i="37"/>
  <c r="G174" i="37" s="1"/>
  <c r="E175" i="37"/>
  <c r="G175" i="37" s="1"/>
  <c r="E176" i="37"/>
  <c r="G176" i="37" s="1"/>
  <c r="E177" i="37"/>
  <c r="G177" i="37" s="1"/>
  <c r="E178" i="37"/>
  <c r="G178" i="37" s="1"/>
  <c r="E179" i="37"/>
  <c r="G179" i="37" s="1"/>
  <c r="E180" i="37"/>
  <c r="G180" i="37" s="1"/>
  <c r="E181" i="37"/>
  <c r="G181" i="37" s="1"/>
  <c r="E182" i="37"/>
  <c r="G182" i="37" s="1"/>
  <c r="E183" i="37"/>
  <c r="G183" i="37" s="1"/>
  <c r="E184" i="37"/>
  <c r="G184" i="37" s="1"/>
  <c r="E185" i="37"/>
  <c r="G185" i="37" s="1"/>
  <c r="E186" i="37"/>
  <c r="G186" i="37" s="1"/>
  <c r="E187" i="37"/>
  <c r="G187" i="37" s="1"/>
  <c r="E188" i="37"/>
  <c r="G188" i="37" s="1"/>
  <c r="E189" i="37"/>
  <c r="G189" i="37" s="1"/>
  <c r="E190" i="37"/>
  <c r="G190" i="37" s="1"/>
  <c r="E191" i="37"/>
  <c r="G191" i="37" s="1"/>
  <c r="E192" i="37"/>
  <c r="G192" i="37" s="1"/>
  <c r="E193" i="37"/>
  <c r="G193" i="37" s="1"/>
  <c r="E194" i="37"/>
  <c r="G194" i="37" s="1"/>
  <c r="E195" i="37"/>
  <c r="G195" i="37" s="1"/>
  <c r="E196" i="37"/>
  <c r="G196" i="37" s="1"/>
  <c r="E197" i="37"/>
  <c r="G197" i="37" s="1"/>
  <c r="E198" i="37"/>
  <c r="G198" i="37" s="1"/>
  <c r="E199" i="37"/>
  <c r="G199" i="37" s="1"/>
  <c r="E200" i="37"/>
  <c r="G200" i="37" s="1"/>
  <c r="E201" i="37"/>
  <c r="G201" i="37" s="1"/>
  <c r="E202" i="37"/>
  <c r="G202" i="37" s="1"/>
  <c r="E203" i="37"/>
  <c r="G203" i="37" s="1"/>
  <c r="E204" i="37"/>
  <c r="G204" i="37" s="1"/>
  <c r="E205" i="37"/>
  <c r="G205" i="37" s="1"/>
  <c r="E206" i="37"/>
  <c r="G206" i="37" s="1"/>
  <c r="E207" i="37"/>
  <c r="G207" i="37" s="1"/>
  <c r="E208" i="37"/>
  <c r="G208" i="37" s="1"/>
  <c r="E209" i="37"/>
  <c r="G209" i="37" s="1"/>
  <c r="E210" i="37"/>
  <c r="G210" i="37" s="1"/>
  <c r="E211" i="37"/>
  <c r="G211" i="37" s="1"/>
  <c r="E212" i="37"/>
  <c r="G212" i="37" s="1"/>
  <c r="E213" i="37"/>
  <c r="G213" i="37" s="1"/>
  <c r="E214" i="37"/>
  <c r="G214" i="37" s="1"/>
  <c r="E215" i="37"/>
  <c r="G215" i="37" s="1"/>
  <c r="E216" i="37"/>
  <c r="G216" i="37" s="1"/>
  <c r="E217" i="37"/>
  <c r="G217" i="37" s="1"/>
  <c r="E218" i="37"/>
  <c r="G218" i="37" s="1"/>
  <c r="E219" i="37"/>
  <c r="G219" i="37" s="1"/>
  <c r="E220" i="37"/>
  <c r="G220" i="37" s="1"/>
  <c r="E221" i="37"/>
  <c r="G221" i="37" s="1"/>
  <c r="E222" i="37"/>
  <c r="G222" i="37" s="1"/>
  <c r="E223" i="37"/>
  <c r="G223" i="37" s="1"/>
  <c r="E224" i="37"/>
  <c r="G224" i="37" s="1"/>
  <c r="E225" i="37"/>
  <c r="G225" i="37" s="1"/>
  <c r="E226" i="37"/>
  <c r="G226" i="37" s="1"/>
  <c r="E227" i="37"/>
  <c r="G227" i="37" s="1"/>
  <c r="E228" i="37"/>
  <c r="G228" i="37" s="1"/>
  <c r="E229" i="37"/>
  <c r="G229" i="37" s="1"/>
  <c r="E230" i="37"/>
  <c r="G230" i="37" s="1"/>
  <c r="E231" i="37"/>
  <c r="G231" i="37" s="1"/>
  <c r="E232" i="37"/>
  <c r="G232" i="37" s="1"/>
  <c r="E233" i="37"/>
  <c r="G233" i="37" s="1"/>
  <c r="E234" i="37"/>
  <c r="G234" i="37" s="1"/>
  <c r="E235" i="37"/>
  <c r="G235" i="37" s="1"/>
  <c r="E236" i="37"/>
  <c r="G236" i="37" s="1"/>
  <c r="E237" i="37"/>
  <c r="G237" i="37" s="1"/>
  <c r="E238" i="37"/>
  <c r="G238" i="37" s="1"/>
  <c r="E239" i="37"/>
  <c r="G239" i="37" s="1"/>
  <c r="E240" i="37"/>
  <c r="G240" i="37" s="1"/>
  <c r="E241" i="37"/>
  <c r="G241" i="37" s="1"/>
  <c r="E242" i="37"/>
  <c r="G242" i="37" s="1"/>
  <c r="E243" i="37"/>
  <c r="G243" i="37" s="1"/>
  <c r="E244" i="37"/>
  <c r="G244" i="37" s="1"/>
  <c r="E245" i="37"/>
  <c r="G245" i="37" s="1"/>
  <c r="E246" i="37"/>
  <c r="G246" i="37" s="1"/>
  <c r="E247" i="37"/>
  <c r="G247" i="37" s="1"/>
  <c r="E248" i="37"/>
  <c r="G248" i="37" s="1"/>
  <c r="E249" i="37"/>
  <c r="G249" i="37" s="1"/>
  <c r="E250" i="37"/>
  <c r="G250" i="37" s="1"/>
  <c r="E251" i="37"/>
  <c r="G251" i="37" s="1"/>
  <c r="E252" i="37"/>
  <c r="G252" i="37" s="1"/>
  <c r="E253" i="37"/>
  <c r="G253" i="37" s="1"/>
  <c r="E254" i="37"/>
  <c r="G254" i="37" s="1"/>
  <c r="E255" i="37"/>
  <c r="G255" i="37" s="1"/>
  <c r="E256" i="37"/>
  <c r="G256" i="37" s="1"/>
  <c r="E257" i="37"/>
  <c r="G257" i="37" s="1"/>
  <c r="E258" i="37"/>
  <c r="G258" i="37" s="1"/>
  <c r="E259" i="37"/>
  <c r="G259" i="37" s="1"/>
  <c r="E260" i="37"/>
  <c r="G260" i="37" s="1"/>
  <c r="E261" i="37"/>
  <c r="G261" i="37" s="1"/>
  <c r="E262" i="37"/>
  <c r="G262" i="37" s="1"/>
  <c r="E263" i="37"/>
  <c r="G263" i="37" s="1"/>
  <c r="E264" i="37"/>
  <c r="G264" i="37" s="1"/>
  <c r="E265" i="37"/>
  <c r="G265" i="37" s="1"/>
  <c r="E266" i="37"/>
  <c r="G266" i="37" s="1"/>
  <c r="E267" i="37"/>
  <c r="G267" i="37" s="1"/>
  <c r="E268" i="37"/>
  <c r="G268" i="37" s="1"/>
  <c r="E269" i="37"/>
  <c r="G269" i="37" s="1"/>
  <c r="E270" i="37"/>
  <c r="G270" i="37" s="1"/>
  <c r="E271" i="37"/>
  <c r="G271" i="37" s="1"/>
  <c r="E272" i="37"/>
  <c r="G272" i="37" s="1"/>
  <c r="E273" i="37"/>
  <c r="G273" i="37" s="1"/>
  <c r="E274" i="37"/>
  <c r="G274" i="37" s="1"/>
  <c r="E275" i="37"/>
  <c r="G275" i="37" s="1"/>
  <c r="E276" i="37"/>
  <c r="G276" i="37" s="1"/>
  <c r="E277" i="37"/>
  <c r="G277" i="37" s="1"/>
  <c r="E278" i="37"/>
  <c r="G278" i="37" s="1"/>
  <c r="E279" i="37"/>
  <c r="G279" i="37" s="1"/>
  <c r="E280" i="37"/>
  <c r="G280" i="37" s="1"/>
  <c r="E281" i="37"/>
  <c r="G281" i="37" s="1"/>
  <c r="E282" i="37"/>
  <c r="G282" i="37" s="1"/>
  <c r="E283" i="37"/>
  <c r="G283" i="37" s="1"/>
  <c r="E284" i="37"/>
  <c r="G284" i="37" s="1"/>
  <c r="E285" i="37"/>
  <c r="G285" i="37" s="1"/>
  <c r="E286" i="37"/>
  <c r="G286" i="37" s="1"/>
  <c r="E287" i="37"/>
  <c r="G287" i="37" s="1"/>
  <c r="E288" i="37"/>
  <c r="G288" i="37" s="1"/>
  <c r="E289" i="37"/>
  <c r="G289" i="37" s="1"/>
  <c r="E290" i="37"/>
  <c r="G290" i="37" s="1"/>
  <c r="E291" i="37"/>
  <c r="G291" i="37" s="1"/>
  <c r="E292" i="37"/>
  <c r="G292" i="37" s="1"/>
  <c r="E293" i="37"/>
  <c r="G293" i="37" s="1"/>
  <c r="E294" i="37"/>
  <c r="G294" i="37" s="1"/>
  <c r="E295" i="37"/>
  <c r="G295" i="37" s="1"/>
  <c r="E296" i="37"/>
  <c r="G296" i="37" s="1"/>
  <c r="E297" i="37"/>
  <c r="G297" i="37" s="1"/>
  <c r="E298" i="37"/>
  <c r="G298" i="37" s="1"/>
  <c r="E299" i="37"/>
  <c r="G299" i="37" s="1"/>
  <c r="E300" i="37"/>
  <c r="G300" i="37" s="1"/>
  <c r="E301" i="37"/>
  <c r="G301" i="37" s="1"/>
  <c r="E302" i="37"/>
  <c r="G302" i="37" s="1"/>
  <c r="E303" i="37"/>
  <c r="G303" i="37" s="1"/>
  <c r="E304" i="37"/>
  <c r="G304" i="37" s="1"/>
  <c r="E305" i="37"/>
  <c r="G305" i="37" s="1"/>
  <c r="E306" i="37"/>
  <c r="G306" i="37" s="1"/>
  <c r="E307" i="37"/>
  <c r="G307" i="37" s="1"/>
  <c r="E308" i="37"/>
  <c r="G308" i="37" s="1"/>
  <c r="E309" i="37"/>
  <c r="G309" i="37" s="1"/>
  <c r="E310" i="37"/>
  <c r="G310" i="37" s="1"/>
  <c r="E311" i="37"/>
  <c r="G311" i="37" s="1"/>
  <c r="E312" i="37"/>
  <c r="G312" i="37" s="1"/>
  <c r="E313" i="37"/>
  <c r="G313" i="37" s="1"/>
  <c r="E314" i="37"/>
  <c r="G314" i="37" s="1"/>
  <c r="E315" i="37"/>
  <c r="G315" i="37" s="1"/>
  <c r="E316" i="37"/>
  <c r="G316" i="37" s="1"/>
  <c r="E317" i="37"/>
  <c r="G317" i="37" s="1"/>
  <c r="E318" i="37"/>
  <c r="G318" i="37" s="1"/>
  <c r="E4" i="37"/>
  <c r="G4" i="37" s="1"/>
  <c r="F5" i="36"/>
  <c r="F6" i="36"/>
  <c r="F7" i="36"/>
  <c r="F8" i="36"/>
  <c r="F9" i="36"/>
  <c r="F10" i="36"/>
  <c r="F11" i="36"/>
  <c r="F12" i="36"/>
  <c r="F13" i="36"/>
  <c r="F14" i="36"/>
  <c r="F15" i="36"/>
  <c r="H15" i="36" s="1"/>
  <c r="I15" i="36" s="1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F111" i="36"/>
  <c r="F112" i="36"/>
  <c r="F113" i="36"/>
  <c r="F114" i="36"/>
  <c r="F115" i="36"/>
  <c r="F116" i="36"/>
  <c r="F117" i="36"/>
  <c r="F118" i="36"/>
  <c r="F119" i="36"/>
  <c r="F120" i="36"/>
  <c r="F121" i="36"/>
  <c r="F122" i="36"/>
  <c r="F123" i="36"/>
  <c r="F124" i="36"/>
  <c r="F125" i="36"/>
  <c r="F126" i="36"/>
  <c r="F127" i="36"/>
  <c r="H127" i="36" s="1"/>
  <c r="F128" i="36"/>
  <c r="F129" i="36"/>
  <c r="F130" i="36"/>
  <c r="F131" i="36"/>
  <c r="F132" i="36"/>
  <c r="F133" i="36"/>
  <c r="F134" i="36"/>
  <c r="F135" i="36"/>
  <c r="F136" i="36"/>
  <c r="F137" i="36"/>
  <c r="F138" i="36"/>
  <c r="F139" i="36"/>
  <c r="F140" i="36"/>
  <c r="F141" i="36"/>
  <c r="F142" i="36"/>
  <c r="F143" i="36"/>
  <c r="F144" i="36"/>
  <c r="F145" i="36"/>
  <c r="F146" i="36"/>
  <c r="F147" i="36"/>
  <c r="F148" i="36"/>
  <c r="F149" i="36"/>
  <c r="F150" i="36"/>
  <c r="F151" i="36"/>
  <c r="F152" i="36"/>
  <c r="F153" i="36"/>
  <c r="F154" i="36"/>
  <c r="F155" i="36"/>
  <c r="F156" i="36"/>
  <c r="H156" i="36" s="1"/>
  <c r="F157" i="36"/>
  <c r="F158" i="36"/>
  <c r="F159" i="36"/>
  <c r="F160" i="36"/>
  <c r="F161" i="36"/>
  <c r="F162" i="36"/>
  <c r="F163" i="36"/>
  <c r="F164" i="36"/>
  <c r="F165" i="36"/>
  <c r="F166" i="36"/>
  <c r="F167" i="36"/>
  <c r="F168" i="36"/>
  <c r="F169" i="36"/>
  <c r="F170" i="36"/>
  <c r="F171" i="36"/>
  <c r="F172" i="36"/>
  <c r="F173" i="36"/>
  <c r="F174" i="36"/>
  <c r="F175" i="36"/>
  <c r="F176" i="36"/>
  <c r="F177" i="36"/>
  <c r="F178" i="36"/>
  <c r="F179" i="36"/>
  <c r="F180" i="36"/>
  <c r="F181" i="36"/>
  <c r="F182" i="36"/>
  <c r="F183" i="36"/>
  <c r="F184" i="36"/>
  <c r="F185" i="36"/>
  <c r="F186" i="36"/>
  <c r="F187" i="36"/>
  <c r="F188" i="36"/>
  <c r="F189" i="36"/>
  <c r="F190" i="36"/>
  <c r="F191" i="36"/>
  <c r="F192" i="36"/>
  <c r="F193" i="36"/>
  <c r="F194" i="36"/>
  <c r="F195" i="36"/>
  <c r="F196" i="36"/>
  <c r="F197" i="36"/>
  <c r="F198" i="36"/>
  <c r="F199" i="36"/>
  <c r="F200" i="36"/>
  <c r="F201" i="36"/>
  <c r="F202" i="36"/>
  <c r="F203" i="36"/>
  <c r="F204" i="36"/>
  <c r="F205" i="36"/>
  <c r="F206" i="36"/>
  <c r="F207" i="36"/>
  <c r="F208" i="36"/>
  <c r="F209" i="36"/>
  <c r="F210" i="36"/>
  <c r="F211" i="36"/>
  <c r="F212" i="36"/>
  <c r="F213" i="36"/>
  <c r="F214" i="36"/>
  <c r="F215" i="36"/>
  <c r="F216" i="36"/>
  <c r="F217" i="36"/>
  <c r="F218" i="36"/>
  <c r="F219" i="36"/>
  <c r="F220" i="36"/>
  <c r="F221" i="36"/>
  <c r="F222" i="36"/>
  <c r="F223" i="36"/>
  <c r="F224" i="36"/>
  <c r="F225" i="36"/>
  <c r="F226" i="36"/>
  <c r="F227" i="36"/>
  <c r="F228" i="36"/>
  <c r="F229" i="36"/>
  <c r="F230" i="36"/>
  <c r="F231" i="36"/>
  <c r="F232" i="36"/>
  <c r="F233" i="36"/>
  <c r="F234" i="36"/>
  <c r="F235" i="36"/>
  <c r="F236" i="36"/>
  <c r="F237" i="36"/>
  <c r="F238" i="36"/>
  <c r="F239" i="36"/>
  <c r="F240" i="36"/>
  <c r="F241" i="36"/>
  <c r="F242" i="36"/>
  <c r="F243" i="36"/>
  <c r="F244" i="36"/>
  <c r="F245" i="36"/>
  <c r="F246" i="36"/>
  <c r="F247" i="36"/>
  <c r="F248" i="36"/>
  <c r="F249" i="36"/>
  <c r="F250" i="36"/>
  <c r="F251" i="36"/>
  <c r="F252" i="36"/>
  <c r="F253" i="36"/>
  <c r="F254" i="36"/>
  <c r="F255" i="36"/>
  <c r="F256" i="36"/>
  <c r="F257" i="36"/>
  <c r="H257" i="36" s="1"/>
  <c r="F258" i="36"/>
  <c r="F259" i="36"/>
  <c r="H259" i="36" s="1"/>
  <c r="I259" i="36" s="1"/>
  <c r="F260" i="36"/>
  <c r="F261" i="36"/>
  <c r="F262" i="36"/>
  <c r="F263" i="36"/>
  <c r="F264" i="36"/>
  <c r="F265" i="36"/>
  <c r="F266" i="36"/>
  <c r="F267" i="36"/>
  <c r="F268" i="36"/>
  <c r="F269" i="36"/>
  <c r="F270" i="36"/>
  <c r="F271" i="36"/>
  <c r="F272" i="36"/>
  <c r="F273" i="36"/>
  <c r="F274" i="36"/>
  <c r="F275" i="36"/>
  <c r="F276" i="36"/>
  <c r="F277" i="36"/>
  <c r="F278" i="36"/>
  <c r="F279" i="36"/>
  <c r="F280" i="36"/>
  <c r="F281" i="36"/>
  <c r="F282" i="36"/>
  <c r="F283" i="36"/>
  <c r="F284" i="36"/>
  <c r="F285" i="36"/>
  <c r="F286" i="36"/>
  <c r="F287" i="36"/>
  <c r="F288" i="36"/>
  <c r="F289" i="36"/>
  <c r="F290" i="36"/>
  <c r="F291" i="36"/>
  <c r="F292" i="36"/>
  <c r="F293" i="36"/>
  <c r="F294" i="36"/>
  <c r="F295" i="36"/>
  <c r="F296" i="36"/>
  <c r="F297" i="36"/>
  <c r="F298" i="36"/>
  <c r="F299" i="36"/>
  <c r="F300" i="36"/>
  <c r="F301" i="36"/>
  <c r="F302" i="36"/>
  <c r="F303" i="36"/>
  <c r="F304" i="36"/>
  <c r="F305" i="36"/>
  <c r="F306" i="36"/>
  <c r="F307" i="36"/>
  <c r="F308" i="36"/>
  <c r="F309" i="36"/>
  <c r="F310" i="36"/>
  <c r="F311" i="36"/>
  <c r="F312" i="36"/>
  <c r="F313" i="36"/>
  <c r="F314" i="36"/>
  <c r="F315" i="36"/>
  <c r="F316" i="36"/>
  <c r="F317" i="36"/>
  <c r="F318" i="36"/>
  <c r="F4" i="36"/>
  <c r="D5" i="36"/>
  <c r="D6" i="36"/>
  <c r="D7" i="36"/>
  <c r="D8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6" i="36"/>
  <c r="D67" i="36"/>
  <c r="D68" i="36"/>
  <c r="D69" i="36"/>
  <c r="D70" i="36"/>
  <c r="D71" i="36"/>
  <c r="D72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02" i="36"/>
  <c r="D103" i="36"/>
  <c r="D104" i="36"/>
  <c r="D105" i="36"/>
  <c r="D106" i="36"/>
  <c r="D107" i="36"/>
  <c r="D108" i="36"/>
  <c r="D109" i="36"/>
  <c r="D110" i="36"/>
  <c r="D111" i="36"/>
  <c r="D112" i="36"/>
  <c r="D113" i="36"/>
  <c r="D114" i="36"/>
  <c r="D115" i="36"/>
  <c r="D116" i="36"/>
  <c r="D117" i="36"/>
  <c r="D118" i="36"/>
  <c r="D119" i="36"/>
  <c r="D120" i="36"/>
  <c r="D121" i="36"/>
  <c r="D122" i="36"/>
  <c r="D123" i="36"/>
  <c r="D124" i="36"/>
  <c r="D125" i="36"/>
  <c r="D126" i="36"/>
  <c r="D127" i="36"/>
  <c r="D128" i="36"/>
  <c r="D129" i="36"/>
  <c r="D130" i="36"/>
  <c r="D131" i="36"/>
  <c r="D132" i="36"/>
  <c r="D133" i="36"/>
  <c r="D134" i="36"/>
  <c r="D135" i="36"/>
  <c r="D136" i="36"/>
  <c r="D137" i="36"/>
  <c r="D138" i="36"/>
  <c r="D139" i="36"/>
  <c r="D140" i="36"/>
  <c r="D141" i="36"/>
  <c r="D142" i="36"/>
  <c r="D143" i="36"/>
  <c r="D144" i="36"/>
  <c r="D145" i="36"/>
  <c r="D146" i="36"/>
  <c r="D147" i="36"/>
  <c r="D148" i="36"/>
  <c r="D149" i="36"/>
  <c r="D150" i="36"/>
  <c r="D151" i="36"/>
  <c r="D152" i="36"/>
  <c r="D153" i="36"/>
  <c r="D154" i="36"/>
  <c r="D155" i="36"/>
  <c r="D156" i="36"/>
  <c r="D157" i="36"/>
  <c r="D158" i="36"/>
  <c r="D159" i="36"/>
  <c r="D160" i="36"/>
  <c r="D161" i="36"/>
  <c r="D162" i="36"/>
  <c r="D163" i="36"/>
  <c r="D164" i="36"/>
  <c r="D165" i="36"/>
  <c r="D166" i="36"/>
  <c r="D167" i="36"/>
  <c r="D168" i="36"/>
  <c r="D169" i="36"/>
  <c r="D170" i="36"/>
  <c r="D171" i="36"/>
  <c r="D172" i="36"/>
  <c r="D173" i="36"/>
  <c r="D174" i="36"/>
  <c r="D175" i="36"/>
  <c r="D176" i="36"/>
  <c r="D177" i="36"/>
  <c r="D178" i="36"/>
  <c r="D179" i="36"/>
  <c r="D180" i="36"/>
  <c r="D181" i="36"/>
  <c r="D182" i="36"/>
  <c r="D183" i="36"/>
  <c r="D184" i="36"/>
  <c r="D185" i="36"/>
  <c r="D186" i="36"/>
  <c r="D187" i="36"/>
  <c r="D188" i="36"/>
  <c r="D189" i="36"/>
  <c r="D190" i="36"/>
  <c r="D191" i="36"/>
  <c r="D192" i="36"/>
  <c r="D193" i="36"/>
  <c r="D194" i="36"/>
  <c r="D195" i="36"/>
  <c r="D196" i="36"/>
  <c r="D197" i="36"/>
  <c r="D198" i="36"/>
  <c r="D199" i="36"/>
  <c r="D200" i="36"/>
  <c r="D201" i="36"/>
  <c r="D202" i="36"/>
  <c r="D203" i="36"/>
  <c r="D204" i="36"/>
  <c r="D205" i="36"/>
  <c r="D206" i="36"/>
  <c r="D207" i="36"/>
  <c r="D208" i="36"/>
  <c r="D209" i="36"/>
  <c r="D210" i="36"/>
  <c r="D211" i="36"/>
  <c r="D212" i="36"/>
  <c r="D213" i="36"/>
  <c r="D214" i="36"/>
  <c r="D215" i="36"/>
  <c r="D216" i="36"/>
  <c r="D217" i="36"/>
  <c r="D218" i="36"/>
  <c r="D219" i="36"/>
  <c r="D220" i="36"/>
  <c r="D221" i="36"/>
  <c r="D222" i="36"/>
  <c r="D223" i="36"/>
  <c r="D224" i="36"/>
  <c r="D225" i="36"/>
  <c r="D226" i="36"/>
  <c r="D227" i="36"/>
  <c r="D228" i="36"/>
  <c r="D229" i="36"/>
  <c r="D230" i="36"/>
  <c r="D231" i="36"/>
  <c r="D232" i="36"/>
  <c r="D233" i="36"/>
  <c r="D234" i="36"/>
  <c r="D235" i="36"/>
  <c r="D236" i="36"/>
  <c r="D237" i="36"/>
  <c r="D238" i="36"/>
  <c r="D239" i="36"/>
  <c r="D240" i="36"/>
  <c r="D241" i="36"/>
  <c r="D242" i="36"/>
  <c r="D243" i="36"/>
  <c r="D244" i="36"/>
  <c r="D245" i="36"/>
  <c r="D246" i="36"/>
  <c r="D247" i="36"/>
  <c r="D248" i="36"/>
  <c r="D249" i="36"/>
  <c r="D250" i="36"/>
  <c r="D251" i="36"/>
  <c r="D252" i="36"/>
  <c r="D253" i="36"/>
  <c r="D254" i="36"/>
  <c r="D255" i="36"/>
  <c r="D256" i="36"/>
  <c r="D257" i="36"/>
  <c r="D258" i="36"/>
  <c r="D259" i="36"/>
  <c r="D260" i="36"/>
  <c r="D261" i="36"/>
  <c r="D262" i="36"/>
  <c r="D263" i="36"/>
  <c r="D264" i="36"/>
  <c r="D265" i="36"/>
  <c r="D266" i="36"/>
  <c r="D267" i="36"/>
  <c r="D268" i="36"/>
  <c r="D269" i="36"/>
  <c r="D270" i="36"/>
  <c r="D271" i="36"/>
  <c r="D272" i="36"/>
  <c r="D273" i="36"/>
  <c r="D274" i="36"/>
  <c r="D275" i="36"/>
  <c r="D276" i="36"/>
  <c r="D277" i="36"/>
  <c r="D278" i="36"/>
  <c r="D279" i="36"/>
  <c r="D280" i="36"/>
  <c r="D281" i="36"/>
  <c r="D282" i="36"/>
  <c r="D283" i="36"/>
  <c r="D284" i="36"/>
  <c r="D285" i="36"/>
  <c r="D286" i="36"/>
  <c r="D287" i="36"/>
  <c r="D288" i="36"/>
  <c r="D289" i="36"/>
  <c r="D290" i="36"/>
  <c r="D291" i="36"/>
  <c r="D292" i="36"/>
  <c r="D293" i="36"/>
  <c r="D294" i="36"/>
  <c r="D295" i="36"/>
  <c r="D296" i="36"/>
  <c r="D297" i="36"/>
  <c r="D298" i="36"/>
  <c r="D299" i="36"/>
  <c r="D300" i="36"/>
  <c r="D301" i="36"/>
  <c r="D302" i="36"/>
  <c r="D303" i="36"/>
  <c r="D304" i="36"/>
  <c r="D305" i="36"/>
  <c r="D306" i="36"/>
  <c r="D307" i="36"/>
  <c r="D308" i="36"/>
  <c r="D309" i="36"/>
  <c r="D310" i="36"/>
  <c r="D311" i="36"/>
  <c r="D312" i="36"/>
  <c r="D313" i="36"/>
  <c r="D314" i="36"/>
  <c r="D315" i="36"/>
  <c r="D316" i="36"/>
  <c r="D317" i="36"/>
  <c r="D318" i="36"/>
  <c r="D4" i="36"/>
  <c r="B1" i="36"/>
  <c r="C1" i="36" s="1"/>
  <c r="D1" i="36" s="1"/>
  <c r="E1" i="36" s="1"/>
  <c r="F1" i="36" s="1"/>
  <c r="G1" i="36" s="1"/>
  <c r="H1" i="36" s="1"/>
  <c r="I1" i="36" s="1"/>
  <c r="J1" i="36" s="1"/>
  <c r="K1" i="36" s="1"/>
  <c r="L1" i="36" s="1"/>
  <c r="M1" i="36" s="1"/>
  <c r="N1" i="36" s="1"/>
  <c r="O1" i="36" s="1"/>
  <c r="P1" i="36" s="1"/>
  <c r="Q1" i="36" s="1"/>
  <c r="R1" i="36" s="1"/>
  <c r="S1" i="36" s="1"/>
  <c r="T1" i="36" s="1"/>
  <c r="U1" i="36" s="1"/>
  <c r="V1" i="36" s="1"/>
  <c r="W1" i="36" s="1"/>
  <c r="X1" i="36" s="1"/>
  <c r="H245" i="39" l="1"/>
  <c r="I245" i="39" s="1"/>
  <c r="J245" i="39" s="1"/>
  <c r="H245" i="38"/>
  <c r="I245" i="38" s="1"/>
  <c r="J245" i="38" s="1"/>
  <c r="H171" i="37"/>
  <c r="I171" i="37" s="1"/>
  <c r="H83" i="37"/>
  <c r="I83" i="37" s="1"/>
  <c r="H75" i="37"/>
  <c r="I75" i="37" s="1"/>
  <c r="J75" i="37" s="1"/>
  <c r="H27" i="37"/>
  <c r="I27" i="37" s="1"/>
  <c r="H11" i="37"/>
  <c r="I11" i="37" s="1"/>
  <c r="J11" i="37" s="1"/>
  <c r="H234" i="38"/>
  <c r="I234" i="38" s="1"/>
  <c r="J234" i="38" s="1"/>
  <c r="H302" i="37"/>
  <c r="I302" i="37" s="1"/>
  <c r="J302" i="37" s="1"/>
  <c r="H286" i="37"/>
  <c r="I286" i="37" s="1"/>
  <c r="J286" i="37" s="1"/>
  <c r="H246" i="37"/>
  <c r="I246" i="37" s="1"/>
  <c r="H222" i="37"/>
  <c r="I222" i="37" s="1"/>
  <c r="H198" i="37"/>
  <c r="I198" i="37" s="1"/>
  <c r="H126" i="37"/>
  <c r="I126" i="37" s="1"/>
  <c r="J126" i="37" s="1"/>
  <c r="H86" i="37"/>
  <c r="I86" i="37" s="1"/>
  <c r="J86" i="37" s="1"/>
  <c r="H78" i="37"/>
  <c r="I78" i="37" s="1"/>
  <c r="H70" i="37"/>
  <c r="I70" i="37" s="1"/>
  <c r="J70" i="37" s="1"/>
  <c r="H277" i="37"/>
  <c r="I277" i="37" s="1"/>
  <c r="H245" i="37"/>
  <c r="I245" i="37" s="1"/>
  <c r="J245" i="37" s="1"/>
  <c r="H181" i="37"/>
  <c r="I181" i="37" s="1"/>
  <c r="J181" i="37" s="1"/>
  <c r="H173" i="37"/>
  <c r="I173" i="37" s="1"/>
  <c r="J173" i="37" s="1"/>
  <c r="H149" i="37"/>
  <c r="I149" i="37" s="1"/>
  <c r="H141" i="37"/>
  <c r="I141" i="37" s="1"/>
  <c r="H125" i="37"/>
  <c r="I125" i="37" s="1"/>
  <c r="H109" i="37"/>
  <c r="I109" i="37" s="1"/>
  <c r="H101" i="37"/>
  <c r="I101" i="37" s="1"/>
  <c r="H93" i="37"/>
  <c r="I93" i="37" s="1"/>
  <c r="H69" i="37"/>
  <c r="I69" i="37" s="1"/>
  <c r="H13" i="37"/>
  <c r="I13" i="37" s="1"/>
  <c r="J13" i="37" s="1"/>
  <c r="H234" i="36"/>
  <c r="I234" i="36" s="1"/>
  <c r="J234" i="36" s="1"/>
  <c r="H308" i="37"/>
  <c r="I308" i="37" s="1"/>
  <c r="H284" i="37"/>
  <c r="I284" i="37" s="1"/>
  <c r="H268" i="37"/>
  <c r="I268" i="37" s="1"/>
  <c r="H260" i="37"/>
  <c r="I260" i="37" s="1"/>
  <c r="J260" i="37" s="1"/>
  <c r="H124" i="37"/>
  <c r="I124" i="37" s="1"/>
  <c r="H68" i="37"/>
  <c r="I68" i="37" s="1"/>
  <c r="J68" i="37" s="1"/>
  <c r="H12" i="37"/>
  <c r="I12" i="37" s="1"/>
  <c r="J12" i="37" s="1"/>
  <c r="H250" i="37"/>
  <c r="I250" i="37" s="1"/>
  <c r="J250" i="37" s="1"/>
  <c r="H242" i="37"/>
  <c r="I242" i="37" s="1"/>
  <c r="H226" i="37"/>
  <c r="I226" i="37" s="1"/>
  <c r="H50" i="37"/>
  <c r="I50" i="37" s="1"/>
  <c r="J50" i="37" s="1"/>
  <c r="H305" i="37"/>
  <c r="I305" i="37" s="1"/>
  <c r="H289" i="37"/>
  <c r="I289" i="37" s="1"/>
  <c r="H281" i="37"/>
  <c r="I281" i="37" s="1"/>
  <c r="J281" i="37" s="1"/>
  <c r="H273" i="37"/>
  <c r="I273" i="37" s="1"/>
  <c r="H209" i="37"/>
  <c r="I209" i="37" s="1"/>
  <c r="J209" i="37" s="1"/>
  <c r="H145" i="37"/>
  <c r="I145" i="37" s="1"/>
  <c r="H97" i="37"/>
  <c r="I97" i="37" s="1"/>
  <c r="H33" i="37"/>
  <c r="I33" i="37" s="1"/>
  <c r="H25" i="37"/>
  <c r="I25" i="37" s="1"/>
  <c r="J25" i="37" s="1"/>
  <c r="H296" i="37"/>
  <c r="I296" i="37" s="1"/>
  <c r="H280" i="37"/>
  <c r="I280" i="37" s="1"/>
  <c r="H256" i="37"/>
  <c r="I256" i="37" s="1"/>
  <c r="J256" i="37" s="1"/>
  <c r="H224" i="37"/>
  <c r="I224" i="37" s="1"/>
  <c r="H168" i="37"/>
  <c r="I168" i="37" s="1"/>
  <c r="J168" i="37" s="1"/>
  <c r="H144" i="37"/>
  <c r="I144" i="37" s="1"/>
  <c r="J144" i="37" s="1"/>
  <c r="H128" i="37"/>
  <c r="I128" i="37" s="1"/>
  <c r="J128" i="37" s="1"/>
  <c r="H120" i="37"/>
  <c r="I120" i="37" s="1"/>
  <c r="H96" i="37"/>
  <c r="I96" i="37" s="1"/>
  <c r="H16" i="37"/>
  <c r="I16" i="37" s="1"/>
  <c r="J16" i="37" s="1"/>
  <c r="H8" i="37"/>
  <c r="I8" i="37" s="1"/>
  <c r="J8" i="37" s="1"/>
  <c r="H263" i="37"/>
  <c r="I263" i="37" s="1"/>
  <c r="J263" i="37" s="1"/>
  <c r="H231" i="37"/>
  <c r="I231" i="37" s="1"/>
  <c r="H223" i="37"/>
  <c r="I223" i="37" s="1"/>
  <c r="H207" i="37"/>
  <c r="I207" i="37" s="1"/>
  <c r="H143" i="37"/>
  <c r="I143" i="37" s="1"/>
  <c r="H135" i="37"/>
  <c r="I135" i="37" s="1"/>
  <c r="J135" i="37" s="1"/>
  <c r="H63" i="37"/>
  <c r="I63" i="37" s="1"/>
  <c r="J63" i="37" s="1"/>
  <c r="H7" i="37"/>
  <c r="I7" i="37" s="1"/>
  <c r="H6" i="36"/>
  <c r="I6" i="36" s="1"/>
  <c r="J6" i="36" s="1"/>
  <c r="H297" i="39"/>
  <c r="I297" i="39" s="1"/>
  <c r="H261" i="36"/>
  <c r="I261" i="36" s="1"/>
  <c r="J261" i="36" s="1"/>
  <c r="H261" i="39"/>
  <c r="I261" i="39" s="1"/>
  <c r="J261" i="39" s="1"/>
  <c r="H133" i="39"/>
  <c r="I133" i="39" s="1"/>
  <c r="J133" i="39" s="1"/>
  <c r="H133" i="38"/>
  <c r="I133" i="38" s="1"/>
  <c r="J133" i="38" s="1"/>
  <c r="H297" i="36"/>
  <c r="I297" i="36" s="1"/>
  <c r="J297" i="36" s="1"/>
  <c r="H108" i="38"/>
  <c r="I108" i="38" s="1"/>
  <c r="J108" i="38" s="1"/>
  <c r="H258" i="38"/>
  <c r="I258" i="38" s="1"/>
  <c r="J258" i="38" s="1"/>
  <c r="H210" i="38"/>
  <c r="I210" i="38" s="1"/>
  <c r="H170" i="38"/>
  <c r="I170" i="38" s="1"/>
  <c r="H122" i="38"/>
  <c r="I122" i="38" s="1"/>
  <c r="J122" i="38" s="1"/>
  <c r="H258" i="39"/>
  <c r="I258" i="39" s="1"/>
  <c r="J258" i="39" s="1"/>
  <c r="H122" i="39"/>
  <c r="I122" i="39" s="1"/>
  <c r="J122" i="39" s="1"/>
  <c r="H249" i="37"/>
  <c r="I249" i="37" s="1"/>
  <c r="J249" i="37" s="1"/>
  <c r="H225" i="37"/>
  <c r="I225" i="37" s="1"/>
  <c r="J225" i="37" s="1"/>
  <c r="H193" i="37"/>
  <c r="I193" i="37" s="1"/>
  <c r="J193" i="37" s="1"/>
  <c r="H9" i="37"/>
  <c r="I9" i="37" s="1"/>
  <c r="J9" i="37" s="1"/>
  <c r="H159" i="37"/>
  <c r="I159" i="37" s="1"/>
  <c r="H111" i="37"/>
  <c r="I111" i="37" s="1"/>
  <c r="H79" i="37"/>
  <c r="I79" i="37" s="1"/>
  <c r="J79" i="37" s="1"/>
  <c r="H190" i="37"/>
  <c r="I190" i="37" s="1"/>
  <c r="H174" i="37"/>
  <c r="I174" i="37" s="1"/>
  <c r="H158" i="37"/>
  <c r="I158" i="37" s="1"/>
  <c r="H118" i="37"/>
  <c r="I118" i="37" s="1"/>
  <c r="H30" i="37"/>
  <c r="I30" i="37" s="1"/>
  <c r="H14" i="37"/>
  <c r="I14" i="37" s="1"/>
  <c r="H6" i="37"/>
  <c r="H301" i="37"/>
  <c r="I301" i="37" s="1"/>
  <c r="H197" i="37"/>
  <c r="I197" i="37" s="1"/>
  <c r="J197" i="37" s="1"/>
  <c r="H165" i="37"/>
  <c r="I165" i="37" s="1"/>
  <c r="J165" i="37" s="1"/>
  <c r="H45" i="37"/>
  <c r="I45" i="37" s="1"/>
  <c r="H37" i="37"/>
  <c r="I37" i="37" s="1"/>
  <c r="J37" i="37" s="1"/>
  <c r="H5" i="37"/>
  <c r="I5" i="37" s="1"/>
  <c r="H316" i="37"/>
  <c r="I316" i="37" s="1"/>
  <c r="H236" i="37"/>
  <c r="I236" i="37" s="1"/>
  <c r="H275" i="37"/>
  <c r="I275" i="37" s="1"/>
  <c r="J275" i="37" s="1"/>
  <c r="H243" i="37"/>
  <c r="I243" i="37" s="1"/>
  <c r="J243" i="37" s="1"/>
  <c r="H179" i="37"/>
  <c r="I179" i="37" s="1"/>
  <c r="J179" i="37" s="1"/>
  <c r="H123" i="37"/>
  <c r="I123" i="37" s="1"/>
  <c r="H51" i="37"/>
  <c r="I51" i="37" s="1"/>
  <c r="H43" i="37"/>
  <c r="I43" i="37" s="1"/>
  <c r="H210" i="36"/>
  <c r="I210" i="36" s="1"/>
  <c r="J210" i="36" s="1"/>
  <c r="H170" i="36"/>
  <c r="I170" i="36" s="1"/>
  <c r="J170" i="36" s="1"/>
  <c r="H314" i="37"/>
  <c r="I314" i="37" s="1"/>
  <c r="H306" i="37"/>
  <c r="I306" i="37" s="1"/>
  <c r="H186" i="37"/>
  <c r="I186" i="37" s="1"/>
  <c r="H146" i="37"/>
  <c r="I146" i="37" s="1"/>
  <c r="H34" i="37"/>
  <c r="I34" i="37" s="1"/>
  <c r="H208" i="36"/>
  <c r="I208" i="36" s="1"/>
  <c r="J208" i="36" s="1"/>
  <c r="H208" i="39"/>
  <c r="I208" i="39" s="1"/>
  <c r="J208" i="39" s="1"/>
  <c r="H312" i="37"/>
  <c r="I312" i="37" s="1"/>
  <c r="H304" i="37"/>
  <c r="I304" i="37" s="1"/>
  <c r="H288" i="37"/>
  <c r="I288" i="37" s="1"/>
  <c r="J288" i="37" s="1"/>
  <c r="H272" i="37"/>
  <c r="I272" i="37" s="1"/>
  <c r="H264" i="37"/>
  <c r="I264" i="37" s="1"/>
  <c r="J264" i="37" s="1"/>
  <c r="H248" i="37"/>
  <c r="I248" i="37" s="1"/>
  <c r="H232" i="37"/>
  <c r="H216" i="37"/>
  <c r="I216" i="37" s="1"/>
  <c r="J216" i="37" s="1"/>
  <c r="H200" i="37"/>
  <c r="I200" i="37" s="1"/>
  <c r="H192" i="37"/>
  <c r="I192" i="37" s="1"/>
  <c r="H184" i="37"/>
  <c r="I184" i="37" s="1"/>
  <c r="H176" i="37"/>
  <c r="I176" i="37" s="1"/>
  <c r="H160" i="37"/>
  <c r="I160" i="37" s="1"/>
  <c r="J160" i="37" s="1"/>
  <c r="H152" i="37"/>
  <c r="I152" i="37" s="1"/>
  <c r="J152" i="37" s="1"/>
  <c r="H136" i="37"/>
  <c r="H112" i="37"/>
  <c r="I112" i="37" s="1"/>
  <c r="J112" i="37" s="1"/>
  <c r="H104" i="37"/>
  <c r="I104" i="37" s="1"/>
  <c r="J104" i="37" s="1"/>
  <c r="H88" i="37"/>
  <c r="I88" i="37" s="1"/>
  <c r="H80" i="37"/>
  <c r="I80" i="37" s="1"/>
  <c r="J80" i="37" s="1"/>
  <c r="H72" i="37"/>
  <c r="I72" i="37" s="1"/>
  <c r="H64" i="37"/>
  <c r="I64" i="37" s="1"/>
  <c r="J64" i="37" s="1"/>
  <c r="H56" i="37"/>
  <c r="I56" i="37" s="1"/>
  <c r="J56" i="37" s="1"/>
  <c r="H48" i="37"/>
  <c r="H40" i="37"/>
  <c r="I40" i="37" s="1"/>
  <c r="H32" i="37"/>
  <c r="I32" i="37" s="1"/>
  <c r="J32" i="37" s="1"/>
  <c r="H24" i="37"/>
  <c r="I24" i="37" s="1"/>
  <c r="J24" i="37" s="1"/>
  <c r="H315" i="37"/>
  <c r="I315" i="37" s="1"/>
  <c r="J315" i="37" s="1"/>
  <c r="H307" i="37"/>
  <c r="I307" i="37" s="1"/>
  <c r="J307" i="37" s="1"/>
  <c r="H299" i="37"/>
  <c r="I299" i="37" s="1"/>
  <c r="J299" i="37" s="1"/>
  <c r="H291" i="37"/>
  <c r="I291" i="37" s="1"/>
  <c r="H283" i="37"/>
  <c r="H267" i="37"/>
  <c r="I267" i="37" s="1"/>
  <c r="J267" i="37" s="1"/>
  <c r="H251" i="37"/>
  <c r="I251" i="37" s="1"/>
  <c r="H235" i="37"/>
  <c r="H227" i="37"/>
  <c r="I227" i="37" s="1"/>
  <c r="H219" i="37"/>
  <c r="I219" i="37" s="1"/>
  <c r="H211" i="37"/>
  <c r="I211" i="37" s="1"/>
  <c r="J211" i="37" s="1"/>
  <c r="H203" i="37"/>
  <c r="H195" i="37"/>
  <c r="H187" i="37"/>
  <c r="I187" i="37" s="1"/>
  <c r="H163" i="37"/>
  <c r="I163" i="37" s="1"/>
  <c r="H155" i="37"/>
  <c r="H147" i="37"/>
  <c r="I147" i="37" s="1"/>
  <c r="J147" i="37" s="1"/>
  <c r="H139" i="37"/>
  <c r="I139" i="37" s="1"/>
  <c r="H131" i="37"/>
  <c r="H115" i="37"/>
  <c r="I115" i="37" s="1"/>
  <c r="H107" i="37"/>
  <c r="H99" i="37"/>
  <c r="H91" i="37"/>
  <c r="I91" i="37" s="1"/>
  <c r="J91" i="37" s="1"/>
  <c r="H67" i="37"/>
  <c r="H59" i="37"/>
  <c r="I59" i="37" s="1"/>
  <c r="J59" i="37" s="1"/>
  <c r="H35" i="37"/>
  <c r="H19" i="37"/>
  <c r="I19" i="37" s="1"/>
  <c r="J19" i="37" s="1"/>
  <c r="H298" i="37"/>
  <c r="I298" i="37" s="1"/>
  <c r="H290" i="37"/>
  <c r="H282" i="37"/>
  <c r="I282" i="37" s="1"/>
  <c r="J282" i="37" s="1"/>
  <c r="H274" i="37"/>
  <c r="H266" i="37"/>
  <c r="H258" i="37"/>
  <c r="I258" i="37" s="1"/>
  <c r="J258" i="37" s="1"/>
  <c r="H234" i="37"/>
  <c r="H218" i="37"/>
  <c r="I218" i="37" s="1"/>
  <c r="H210" i="37"/>
  <c r="I210" i="37" s="1"/>
  <c r="H202" i="37"/>
  <c r="H194" i="37"/>
  <c r="I194" i="37" s="1"/>
  <c r="H178" i="37"/>
  <c r="I178" i="37" s="1"/>
  <c r="H170" i="37"/>
  <c r="H162" i="37"/>
  <c r="I162" i="37" s="1"/>
  <c r="H154" i="37"/>
  <c r="H138" i="37"/>
  <c r="I138" i="37" s="1"/>
  <c r="H130" i="37"/>
  <c r="I130" i="37" s="1"/>
  <c r="H122" i="37"/>
  <c r="H114" i="37"/>
  <c r="I114" i="37" s="1"/>
  <c r="H106" i="37"/>
  <c r="I106" i="37" s="1"/>
  <c r="H98" i="37"/>
  <c r="H90" i="37"/>
  <c r="I90" i="37" s="1"/>
  <c r="H82" i="37"/>
  <c r="H74" i="37"/>
  <c r="I74" i="37" s="1"/>
  <c r="J74" i="37" s="1"/>
  <c r="H66" i="37"/>
  <c r="I66" i="37" s="1"/>
  <c r="J66" i="37" s="1"/>
  <c r="H42" i="37"/>
  <c r="H26" i="37"/>
  <c r="I26" i="37" s="1"/>
  <c r="H18" i="37"/>
  <c r="I18" i="37" s="1"/>
  <c r="H10" i="37"/>
  <c r="H4" i="37"/>
  <c r="I4" i="37" s="1"/>
  <c r="H313" i="37"/>
  <c r="H297" i="37"/>
  <c r="I297" i="37" s="1"/>
  <c r="H265" i="37"/>
  <c r="I265" i="37" s="1"/>
  <c r="H241" i="37"/>
  <c r="H233" i="37"/>
  <c r="I233" i="37" s="1"/>
  <c r="H217" i="37"/>
  <c r="I217" i="37" s="1"/>
  <c r="H201" i="37"/>
  <c r="H185" i="37"/>
  <c r="I185" i="37" s="1"/>
  <c r="H177" i="37"/>
  <c r="I177" i="37" s="1"/>
  <c r="J177" i="37" s="1"/>
  <c r="H169" i="37"/>
  <c r="I169" i="37" s="1"/>
  <c r="J169" i="37" s="1"/>
  <c r="H161" i="37"/>
  <c r="I161" i="37" s="1"/>
  <c r="J161" i="37" s="1"/>
  <c r="H153" i="37"/>
  <c r="H137" i="37"/>
  <c r="I137" i="37" s="1"/>
  <c r="H129" i="37"/>
  <c r="I129" i="37" s="1"/>
  <c r="H121" i="37"/>
  <c r="H113" i="37"/>
  <c r="I113" i="37" s="1"/>
  <c r="H105" i="37"/>
  <c r="H89" i="37"/>
  <c r="I89" i="37" s="1"/>
  <c r="J89" i="37" s="1"/>
  <c r="H81" i="37"/>
  <c r="I81" i="37" s="1"/>
  <c r="H73" i="37"/>
  <c r="H65" i="37"/>
  <c r="I65" i="37" s="1"/>
  <c r="H57" i="37"/>
  <c r="H49" i="37"/>
  <c r="H41" i="37"/>
  <c r="I41" i="37" s="1"/>
  <c r="H17" i="37"/>
  <c r="I17" i="37" s="1"/>
  <c r="H311" i="37"/>
  <c r="I311" i="37" s="1"/>
  <c r="J311" i="37" s="1"/>
  <c r="H295" i="37"/>
  <c r="H287" i="37"/>
  <c r="I287" i="37" s="1"/>
  <c r="H279" i="37"/>
  <c r="H271" i="37"/>
  <c r="H255" i="37"/>
  <c r="I255" i="37" s="1"/>
  <c r="J255" i="37" s="1"/>
  <c r="H247" i="37"/>
  <c r="I247" i="37" s="1"/>
  <c r="J247" i="37" s="1"/>
  <c r="H239" i="37"/>
  <c r="H215" i="37"/>
  <c r="H199" i="37"/>
  <c r="H191" i="37"/>
  <c r="H183" i="37"/>
  <c r="I183" i="37" s="1"/>
  <c r="H167" i="37"/>
  <c r="H151" i="37"/>
  <c r="I151" i="37" s="1"/>
  <c r="J151" i="37" s="1"/>
  <c r="H119" i="37"/>
  <c r="H103" i="37"/>
  <c r="H95" i="37"/>
  <c r="I95" i="37" s="1"/>
  <c r="H87" i="37"/>
  <c r="H71" i="37"/>
  <c r="I71" i="37" s="1"/>
  <c r="J71" i="37" s="1"/>
  <c r="H55" i="37"/>
  <c r="H47" i="37"/>
  <c r="H39" i="37"/>
  <c r="I39" i="37" s="1"/>
  <c r="H31" i="37"/>
  <c r="I31" i="37" s="1"/>
  <c r="H23" i="37"/>
  <c r="I23" i="37" s="1"/>
  <c r="J23" i="37" s="1"/>
  <c r="H318" i="37"/>
  <c r="I318" i="37" s="1"/>
  <c r="H310" i="37"/>
  <c r="H294" i="37"/>
  <c r="I294" i="37" s="1"/>
  <c r="H278" i="37"/>
  <c r="H270" i="37"/>
  <c r="H262" i="37"/>
  <c r="I262" i="37" s="1"/>
  <c r="J262" i="37" s="1"/>
  <c r="H254" i="37"/>
  <c r="H238" i="37"/>
  <c r="H230" i="37"/>
  <c r="H214" i="37"/>
  <c r="H206" i="37"/>
  <c r="H182" i="37"/>
  <c r="H166" i="37"/>
  <c r="H150" i="37"/>
  <c r="I150" i="37" s="1"/>
  <c r="J150" i="37" s="1"/>
  <c r="H142" i="37"/>
  <c r="H134" i="37"/>
  <c r="H110" i="37"/>
  <c r="I110" i="37" s="1"/>
  <c r="H102" i="37"/>
  <c r="H94" i="37"/>
  <c r="I94" i="37" s="1"/>
  <c r="H62" i="37"/>
  <c r="I62" i="37" s="1"/>
  <c r="J62" i="37" s="1"/>
  <c r="H54" i="37"/>
  <c r="I54" i="37" s="1"/>
  <c r="H46" i="37"/>
  <c r="I46" i="37" s="1"/>
  <c r="H38" i="37"/>
  <c r="I38" i="37" s="1"/>
  <c r="H22" i="37"/>
  <c r="H317" i="37"/>
  <c r="I317" i="37" s="1"/>
  <c r="H309" i="37"/>
  <c r="H293" i="37"/>
  <c r="H285" i="37"/>
  <c r="H269" i="37"/>
  <c r="H261" i="37"/>
  <c r="I261" i="37" s="1"/>
  <c r="H253" i="37"/>
  <c r="I253" i="37" s="1"/>
  <c r="J253" i="37" s="1"/>
  <c r="H237" i="37"/>
  <c r="H229" i="37"/>
  <c r="H221" i="37"/>
  <c r="H213" i="37"/>
  <c r="H205" i="37"/>
  <c r="I205" i="37" s="1"/>
  <c r="H189" i="37"/>
  <c r="H157" i="37"/>
  <c r="I157" i="37" s="1"/>
  <c r="J157" i="37" s="1"/>
  <c r="H133" i="37"/>
  <c r="H117" i="37"/>
  <c r="H85" i="37"/>
  <c r="H77" i="37"/>
  <c r="H61" i="37"/>
  <c r="H53" i="37"/>
  <c r="H29" i="37"/>
  <c r="H21" i="37"/>
  <c r="I21" i="37" s="1"/>
  <c r="H300" i="37"/>
  <c r="H292" i="37"/>
  <c r="I292" i="37" s="1"/>
  <c r="J292" i="37" s="1"/>
  <c r="H276" i="37"/>
  <c r="I276" i="37" s="1"/>
  <c r="H252" i="37"/>
  <c r="H228" i="37"/>
  <c r="H220" i="37"/>
  <c r="H212" i="37"/>
  <c r="I212" i="37" s="1"/>
  <c r="H204" i="37"/>
  <c r="I204" i="37" s="1"/>
  <c r="J204" i="37" s="1"/>
  <c r="H188" i="37"/>
  <c r="H180" i="37"/>
  <c r="I180" i="37" s="1"/>
  <c r="H172" i="37"/>
  <c r="H164" i="37"/>
  <c r="H148" i="37"/>
  <c r="H140" i="37"/>
  <c r="H132" i="37"/>
  <c r="H116" i="37"/>
  <c r="I116" i="37" s="1"/>
  <c r="H108" i="37"/>
  <c r="I108" i="37" s="1"/>
  <c r="J108" i="37" s="1"/>
  <c r="H100" i="37"/>
  <c r="H92" i="37"/>
  <c r="H84" i="37"/>
  <c r="H76" i="37"/>
  <c r="H60" i="37"/>
  <c r="I60" i="37" s="1"/>
  <c r="J60" i="37" s="1"/>
  <c r="H52" i="37"/>
  <c r="H44" i="37"/>
  <c r="I44" i="37" s="1"/>
  <c r="H36" i="37"/>
  <c r="I36" i="37" s="1"/>
  <c r="H28" i="37"/>
  <c r="I28" i="37" s="1"/>
  <c r="J28" i="37" s="1"/>
  <c r="H20" i="37"/>
  <c r="H246" i="39"/>
  <c r="I246" i="39" s="1"/>
  <c r="J246" i="39" s="1"/>
  <c r="H246" i="38"/>
  <c r="I246" i="38" s="1"/>
  <c r="J246" i="38" s="1"/>
  <c r="H17" i="39"/>
  <c r="I17" i="39" s="1"/>
  <c r="H271" i="39"/>
  <c r="I271" i="39" s="1"/>
  <c r="H166" i="39"/>
  <c r="I166" i="39" s="1"/>
  <c r="I15" i="37"/>
  <c r="J15" i="37" s="1"/>
  <c r="H318" i="39"/>
  <c r="I318" i="39" s="1"/>
  <c r="J318" i="39" s="1"/>
  <c r="H262" i="39"/>
  <c r="I262" i="39" s="1"/>
  <c r="J262" i="39" s="1"/>
  <c r="H230" i="39"/>
  <c r="I230" i="39" s="1"/>
  <c r="J230" i="39" s="1"/>
  <c r="H54" i="39"/>
  <c r="I54" i="39" s="1"/>
  <c r="J54" i="39" s="1"/>
  <c r="H286" i="39"/>
  <c r="I286" i="39" s="1"/>
  <c r="J286" i="39" s="1"/>
  <c r="H158" i="39"/>
  <c r="I158" i="39" s="1"/>
  <c r="H94" i="39"/>
  <c r="I94" i="39" s="1"/>
  <c r="J94" i="39" s="1"/>
  <c r="H56" i="39"/>
  <c r="I56" i="39" s="1"/>
  <c r="J56" i="39" s="1"/>
  <c r="I175" i="37"/>
  <c r="I127" i="37"/>
  <c r="H293" i="38"/>
  <c r="I293" i="38" s="1"/>
  <c r="H285" i="38"/>
  <c r="I285" i="38" s="1"/>
  <c r="J285" i="38" s="1"/>
  <c r="H269" i="38"/>
  <c r="I269" i="38" s="1"/>
  <c r="J269" i="38" s="1"/>
  <c r="H205" i="38"/>
  <c r="I205" i="38" s="1"/>
  <c r="J205" i="38" s="1"/>
  <c r="H165" i="38"/>
  <c r="I165" i="38" s="1"/>
  <c r="J165" i="38" s="1"/>
  <c r="H141" i="38"/>
  <c r="I141" i="38" s="1"/>
  <c r="J141" i="38" s="1"/>
  <c r="H101" i="38"/>
  <c r="I101" i="38" s="1"/>
  <c r="J101" i="38" s="1"/>
  <c r="H69" i="38"/>
  <c r="I69" i="38" s="1"/>
  <c r="J69" i="38" s="1"/>
  <c r="H106" i="38"/>
  <c r="I106" i="38" s="1"/>
  <c r="J106" i="38" s="1"/>
  <c r="H142" i="39"/>
  <c r="I142" i="39" s="1"/>
  <c r="J142" i="39" s="1"/>
  <c r="H110" i="39"/>
  <c r="I110" i="39" s="1"/>
  <c r="H78" i="39"/>
  <c r="I78" i="39" s="1"/>
  <c r="J78" i="39" s="1"/>
  <c r="H47" i="38"/>
  <c r="I47" i="38" s="1"/>
  <c r="I244" i="37"/>
  <c r="I196" i="37"/>
  <c r="I156" i="37"/>
  <c r="J156" i="37" s="1"/>
  <c r="I58" i="37"/>
  <c r="I259" i="37"/>
  <c r="J259" i="37" s="1"/>
  <c r="I257" i="37"/>
  <c r="J257" i="37" s="1"/>
  <c r="I303" i="37"/>
  <c r="J303" i="37" s="1"/>
  <c r="H120" i="39"/>
  <c r="I120" i="39" s="1"/>
  <c r="I240" i="37"/>
  <c r="I208" i="37"/>
  <c r="J208" i="37" s="1"/>
  <c r="H161" i="38"/>
  <c r="I161" i="38" s="1"/>
  <c r="J161" i="38" s="1"/>
  <c r="H105" i="38"/>
  <c r="I105" i="38" s="1"/>
  <c r="J105" i="38" s="1"/>
  <c r="H89" i="38"/>
  <c r="I89" i="38" s="1"/>
  <c r="J89" i="38" s="1"/>
  <c r="H81" i="38"/>
  <c r="I81" i="38" s="1"/>
  <c r="J81" i="38" s="1"/>
  <c r="H224" i="39"/>
  <c r="I224" i="39" s="1"/>
  <c r="J224" i="39" s="1"/>
  <c r="H216" i="39"/>
  <c r="I216" i="39" s="1"/>
  <c r="J216" i="39" s="1"/>
  <c r="H128" i="39"/>
  <c r="I128" i="39" s="1"/>
  <c r="H96" i="39"/>
  <c r="I96" i="39" s="1"/>
  <c r="J96" i="39" s="1"/>
  <c r="H88" i="39"/>
  <c r="I88" i="39" s="1"/>
  <c r="H48" i="39"/>
  <c r="I48" i="39" s="1"/>
  <c r="J48" i="39" s="1"/>
  <c r="H32" i="39"/>
  <c r="I32" i="39" s="1"/>
  <c r="J32" i="39" s="1"/>
  <c r="H16" i="39"/>
  <c r="I16" i="39" s="1"/>
  <c r="J16" i="39" s="1"/>
  <c r="H270" i="39"/>
  <c r="I270" i="39" s="1"/>
  <c r="J270" i="39" s="1"/>
  <c r="H227" i="39"/>
  <c r="I227" i="39" s="1"/>
  <c r="J227" i="39" s="1"/>
  <c r="H195" i="39"/>
  <c r="I195" i="39" s="1"/>
  <c r="J195" i="39" s="1"/>
  <c r="H49" i="39"/>
  <c r="I49" i="39" s="1"/>
  <c r="J49" i="39" s="1"/>
  <c r="H301" i="39"/>
  <c r="I301" i="39" s="1"/>
  <c r="H293" i="39"/>
  <c r="I293" i="39" s="1"/>
  <c r="H237" i="39"/>
  <c r="I237" i="39" s="1"/>
  <c r="J237" i="39" s="1"/>
  <c r="H229" i="39"/>
  <c r="I229" i="39" s="1"/>
  <c r="H205" i="39"/>
  <c r="I205" i="39" s="1"/>
  <c r="H197" i="39"/>
  <c r="I197" i="39" s="1"/>
  <c r="H165" i="39"/>
  <c r="I165" i="39" s="1"/>
  <c r="J165" i="39" s="1"/>
  <c r="H157" i="39"/>
  <c r="I157" i="39" s="1"/>
  <c r="J157" i="39" s="1"/>
  <c r="H149" i="39"/>
  <c r="I149" i="39" s="1"/>
  <c r="H141" i="39"/>
  <c r="I141" i="39" s="1"/>
  <c r="J141" i="39" s="1"/>
  <c r="H117" i="39"/>
  <c r="I117" i="39" s="1"/>
  <c r="H85" i="39"/>
  <c r="I85" i="39" s="1"/>
  <c r="J85" i="39" s="1"/>
  <c r="H77" i="39"/>
  <c r="I77" i="39" s="1"/>
  <c r="J77" i="39" s="1"/>
  <c r="H69" i="39"/>
  <c r="I69" i="39" s="1"/>
  <c r="J69" i="39" s="1"/>
  <c r="H61" i="39"/>
  <c r="I61" i="39" s="1"/>
  <c r="J61" i="39" s="1"/>
  <c r="H53" i="39"/>
  <c r="I53" i="39" s="1"/>
  <c r="J53" i="39" s="1"/>
  <c r="H45" i="39"/>
  <c r="I45" i="39" s="1"/>
  <c r="J45" i="39" s="1"/>
  <c r="H21" i="39"/>
  <c r="I21" i="39" s="1"/>
  <c r="J21" i="39" s="1"/>
  <c r="H233" i="39"/>
  <c r="I233" i="39" s="1"/>
  <c r="J233" i="39" s="1"/>
  <c r="H201" i="39"/>
  <c r="I201" i="39" s="1"/>
  <c r="H105" i="39"/>
  <c r="I105" i="39" s="1"/>
  <c r="J105" i="39" s="1"/>
  <c r="H73" i="39"/>
  <c r="I73" i="39" s="1"/>
  <c r="J73" i="39" s="1"/>
  <c r="H46" i="39"/>
  <c r="I46" i="39" s="1"/>
  <c r="H310" i="39"/>
  <c r="I310" i="39" s="1"/>
  <c r="J310" i="39" s="1"/>
  <c r="H126" i="39"/>
  <c r="I126" i="39" s="1"/>
  <c r="J126" i="39" s="1"/>
  <c r="H209" i="39"/>
  <c r="I209" i="39" s="1"/>
  <c r="J209" i="39" s="1"/>
  <c r="H81" i="39"/>
  <c r="I81" i="39" s="1"/>
  <c r="J81" i="39" s="1"/>
  <c r="H62" i="39"/>
  <c r="I62" i="39" s="1"/>
  <c r="J62" i="39" s="1"/>
  <c r="H134" i="39"/>
  <c r="I134" i="39" s="1"/>
  <c r="J134" i="39" s="1"/>
  <c r="H102" i="39"/>
  <c r="I102" i="39" s="1"/>
  <c r="H70" i="39"/>
  <c r="I70" i="39" s="1"/>
  <c r="J70" i="39" s="1"/>
  <c r="H33" i="39"/>
  <c r="I33" i="39" s="1"/>
  <c r="H207" i="39"/>
  <c r="I207" i="39" s="1"/>
  <c r="J207" i="39" s="1"/>
  <c r="H121" i="39"/>
  <c r="I121" i="39" s="1"/>
  <c r="J121" i="39" s="1"/>
  <c r="H89" i="39"/>
  <c r="I89" i="39" s="1"/>
  <c r="J89" i="39" s="1"/>
  <c r="H302" i="39"/>
  <c r="I302" i="39" s="1"/>
  <c r="J302" i="39" s="1"/>
  <c r="H97" i="39"/>
  <c r="I97" i="39" s="1"/>
  <c r="H57" i="39"/>
  <c r="I57" i="39" s="1"/>
  <c r="J57" i="39" s="1"/>
  <c r="H30" i="39"/>
  <c r="I30" i="39" s="1"/>
  <c r="J30" i="39" s="1"/>
  <c r="H288" i="39"/>
  <c r="I288" i="39" s="1"/>
  <c r="J288" i="39" s="1"/>
  <c r="H235" i="39"/>
  <c r="I235" i="39" s="1"/>
  <c r="J235" i="39" s="1"/>
  <c r="H203" i="39"/>
  <c r="I203" i="39" s="1"/>
  <c r="J203" i="39" s="1"/>
  <c r="H118" i="39"/>
  <c r="I118" i="39" s="1"/>
  <c r="H65" i="39"/>
  <c r="I65" i="39" s="1"/>
  <c r="J65" i="39" s="1"/>
  <c r="H38" i="39"/>
  <c r="I38" i="39" s="1"/>
  <c r="H315" i="39"/>
  <c r="I315" i="39" s="1"/>
  <c r="J315" i="39" s="1"/>
  <c r="H265" i="39"/>
  <c r="I265" i="39" s="1"/>
  <c r="J265" i="39" s="1"/>
  <c r="H249" i="39"/>
  <c r="I249" i="39" s="1"/>
  <c r="J249" i="39" s="1"/>
  <c r="H217" i="39"/>
  <c r="I217" i="39" s="1"/>
  <c r="J217" i="39" s="1"/>
  <c r="H153" i="39"/>
  <c r="I153" i="39" s="1"/>
  <c r="J153" i="39" s="1"/>
  <c r="H137" i="39"/>
  <c r="I137" i="39" s="1"/>
  <c r="J137" i="39" s="1"/>
  <c r="H129" i="39"/>
  <c r="I129" i="39" s="1"/>
  <c r="J129" i="39" s="1"/>
  <c r="H295" i="39"/>
  <c r="I295" i="39" s="1"/>
  <c r="J295" i="39" s="1"/>
  <c r="H199" i="39"/>
  <c r="I199" i="39" s="1"/>
  <c r="J199" i="39" s="1"/>
  <c r="H183" i="39"/>
  <c r="I183" i="39" s="1"/>
  <c r="J183" i="39" s="1"/>
  <c r="H111" i="39"/>
  <c r="I111" i="39" s="1"/>
  <c r="H103" i="39"/>
  <c r="I103" i="39" s="1"/>
  <c r="H13" i="36"/>
  <c r="I13" i="36" s="1"/>
  <c r="J13" i="36" s="1"/>
  <c r="H263" i="39"/>
  <c r="I263" i="39" s="1"/>
  <c r="H311" i="39"/>
  <c r="I311" i="39" s="1"/>
  <c r="J311" i="39" s="1"/>
  <c r="H303" i="39"/>
  <c r="I303" i="39" s="1"/>
  <c r="J303" i="39" s="1"/>
  <c r="H239" i="39"/>
  <c r="I239" i="39" s="1"/>
  <c r="J239" i="39" s="1"/>
  <c r="H223" i="39"/>
  <c r="I223" i="39" s="1"/>
  <c r="J223" i="39" s="1"/>
  <c r="H167" i="39"/>
  <c r="I167" i="39" s="1"/>
  <c r="H159" i="39"/>
  <c r="I159" i="39" s="1"/>
  <c r="H119" i="39"/>
  <c r="I119" i="39" s="1"/>
  <c r="H95" i="39"/>
  <c r="I95" i="39" s="1"/>
  <c r="H79" i="39"/>
  <c r="I79" i="39" s="1"/>
  <c r="J79" i="39" s="1"/>
  <c r="H7" i="39"/>
  <c r="I7" i="39" s="1"/>
  <c r="J7" i="39" s="1"/>
  <c r="H138" i="38"/>
  <c r="I138" i="38" s="1"/>
  <c r="J138" i="38" s="1"/>
  <c r="H183" i="38"/>
  <c r="I183" i="38" s="1"/>
  <c r="J183" i="38" s="1"/>
  <c r="H306" i="38"/>
  <c r="I306" i="38" s="1"/>
  <c r="H298" i="38"/>
  <c r="I298" i="38" s="1"/>
  <c r="H79" i="38"/>
  <c r="I79" i="38" s="1"/>
  <c r="J79" i="38" s="1"/>
  <c r="H178" i="38"/>
  <c r="I178" i="38" s="1"/>
  <c r="J178" i="38" s="1"/>
  <c r="H314" i="38"/>
  <c r="I314" i="38" s="1"/>
  <c r="H177" i="39"/>
  <c r="I177" i="39" s="1"/>
  <c r="J177" i="39" s="1"/>
  <c r="H266" i="38"/>
  <c r="I266" i="38" s="1"/>
  <c r="J266" i="38" s="1"/>
  <c r="H114" i="38"/>
  <c r="I114" i="38" s="1"/>
  <c r="J114" i="38" s="1"/>
  <c r="H202" i="38"/>
  <c r="I202" i="38" s="1"/>
  <c r="J202" i="38" s="1"/>
  <c r="H241" i="39"/>
  <c r="I241" i="39" s="1"/>
  <c r="J241" i="39" s="1"/>
  <c r="H250" i="38"/>
  <c r="I250" i="38" s="1"/>
  <c r="H303" i="38"/>
  <c r="I303" i="38" s="1"/>
  <c r="J303" i="38" s="1"/>
  <c r="H114" i="39"/>
  <c r="I114" i="39" s="1"/>
  <c r="J114" i="39" s="1"/>
  <c r="H256" i="38"/>
  <c r="I256" i="38" s="1"/>
  <c r="J256" i="38" s="1"/>
  <c r="H311" i="38"/>
  <c r="I311" i="38" s="1"/>
  <c r="J311" i="38" s="1"/>
  <c r="H295" i="38"/>
  <c r="I295" i="38" s="1"/>
  <c r="J295" i="38" s="1"/>
  <c r="H215" i="38"/>
  <c r="I215" i="38" s="1"/>
  <c r="H207" i="38"/>
  <c r="I207" i="38" s="1"/>
  <c r="H191" i="38"/>
  <c r="I191" i="38" s="1"/>
  <c r="J191" i="38" s="1"/>
  <c r="H159" i="38"/>
  <c r="I159" i="38" s="1"/>
  <c r="H103" i="38"/>
  <c r="I103" i="38" s="1"/>
  <c r="H87" i="38"/>
  <c r="I87" i="38" s="1"/>
  <c r="J87" i="38" s="1"/>
  <c r="H71" i="38"/>
  <c r="I71" i="38" s="1"/>
  <c r="H163" i="38"/>
  <c r="I163" i="38" s="1"/>
  <c r="J163" i="38" s="1"/>
  <c r="H211" i="38"/>
  <c r="I211" i="38" s="1"/>
  <c r="H182" i="38"/>
  <c r="I182" i="38" s="1"/>
  <c r="J182" i="38" s="1"/>
  <c r="H67" i="38"/>
  <c r="I67" i="38" s="1"/>
  <c r="J67" i="38" s="1"/>
  <c r="H299" i="38"/>
  <c r="I299" i="38" s="1"/>
  <c r="J299" i="38" s="1"/>
  <c r="H109" i="36"/>
  <c r="I109" i="36" s="1"/>
  <c r="J109" i="36" s="1"/>
  <c r="H301" i="36"/>
  <c r="I301" i="36" s="1"/>
  <c r="J301" i="36" s="1"/>
  <c r="H99" i="38"/>
  <c r="I99" i="38" s="1"/>
  <c r="H195" i="38"/>
  <c r="I195" i="38" s="1"/>
  <c r="J195" i="38" s="1"/>
  <c r="H275" i="38"/>
  <c r="I275" i="38" s="1"/>
  <c r="H294" i="38"/>
  <c r="I294" i="38" s="1"/>
  <c r="H270" i="38"/>
  <c r="I270" i="38" s="1"/>
  <c r="J270" i="38" s="1"/>
  <c r="H262" i="38"/>
  <c r="I262" i="38" s="1"/>
  <c r="J262" i="38" s="1"/>
  <c r="H78" i="38"/>
  <c r="I78" i="38" s="1"/>
  <c r="J78" i="38" s="1"/>
  <c r="H134" i="38"/>
  <c r="I134" i="38" s="1"/>
  <c r="J134" i="38" s="1"/>
  <c r="H181" i="36"/>
  <c r="I181" i="36" s="1"/>
  <c r="J181" i="36" s="1"/>
  <c r="H27" i="38"/>
  <c r="I27" i="38" s="1"/>
  <c r="H70" i="38"/>
  <c r="I70" i="38" s="1"/>
  <c r="H315" i="38"/>
  <c r="I315" i="38" s="1"/>
  <c r="J315" i="38" s="1"/>
  <c r="H277" i="39"/>
  <c r="I277" i="39" s="1"/>
  <c r="J277" i="39" s="1"/>
  <c r="H197" i="36"/>
  <c r="I197" i="36" s="1"/>
  <c r="J197" i="36" s="1"/>
  <c r="H237" i="36"/>
  <c r="I237" i="36" s="1"/>
  <c r="J237" i="36" s="1"/>
  <c r="H317" i="36"/>
  <c r="I317" i="36" s="1"/>
  <c r="J317" i="36" s="1"/>
  <c r="H29" i="36"/>
  <c r="I29" i="36" s="1"/>
  <c r="H102" i="38"/>
  <c r="I102" i="38" s="1"/>
  <c r="H110" i="38"/>
  <c r="I110" i="38" s="1"/>
  <c r="J110" i="38" s="1"/>
  <c r="H187" i="38"/>
  <c r="I187" i="38" s="1"/>
  <c r="J187" i="38" s="1"/>
  <c r="H5" i="36"/>
  <c r="I5" i="36" s="1"/>
  <c r="J5" i="36" s="1"/>
  <c r="H141" i="36"/>
  <c r="I141" i="36" s="1"/>
  <c r="H229" i="36"/>
  <c r="I229" i="36" s="1"/>
  <c r="J229" i="36" s="1"/>
  <c r="H101" i="39"/>
  <c r="I101" i="39" s="1"/>
  <c r="H190" i="38"/>
  <c r="I190" i="38" s="1"/>
  <c r="J190" i="38" s="1"/>
  <c r="H26" i="39"/>
  <c r="I26" i="39" s="1"/>
  <c r="H107" i="38"/>
  <c r="I107" i="38" s="1"/>
  <c r="H238" i="38"/>
  <c r="I238" i="38" s="1"/>
  <c r="J238" i="38" s="1"/>
  <c r="H21" i="36"/>
  <c r="I21" i="36" s="1"/>
  <c r="J21" i="36" s="1"/>
  <c r="H157" i="36"/>
  <c r="I157" i="36" s="1"/>
  <c r="H94" i="38"/>
  <c r="I94" i="38" s="1"/>
  <c r="J94" i="38" s="1"/>
  <c r="H307" i="38"/>
  <c r="I307" i="38" s="1"/>
  <c r="J307" i="38" s="1"/>
  <c r="H253" i="39"/>
  <c r="I253" i="39" s="1"/>
  <c r="J253" i="39" s="1"/>
  <c r="H189" i="36"/>
  <c r="I189" i="36" s="1"/>
  <c r="J189" i="36" s="1"/>
  <c r="H205" i="36"/>
  <c r="I205" i="36" s="1"/>
  <c r="J205" i="36" s="1"/>
  <c r="H269" i="36"/>
  <c r="I269" i="36" s="1"/>
  <c r="H43" i="38"/>
  <c r="I43" i="38" s="1"/>
  <c r="H75" i="38"/>
  <c r="I75" i="38" s="1"/>
  <c r="J75" i="38" s="1"/>
  <c r="H86" i="38"/>
  <c r="I86" i="38" s="1"/>
  <c r="J86" i="38" s="1"/>
  <c r="H171" i="38"/>
  <c r="I171" i="38" s="1"/>
  <c r="J171" i="38" s="1"/>
  <c r="H283" i="38"/>
  <c r="I283" i="38" s="1"/>
  <c r="J283" i="38" s="1"/>
  <c r="H181" i="39"/>
  <c r="I181" i="39" s="1"/>
  <c r="J181" i="39" s="1"/>
  <c r="H265" i="36"/>
  <c r="I265" i="36" s="1"/>
  <c r="H293" i="36"/>
  <c r="I293" i="36" s="1"/>
  <c r="H73" i="38"/>
  <c r="I73" i="38" s="1"/>
  <c r="J73" i="38" s="1"/>
  <c r="H93" i="38"/>
  <c r="I93" i="38" s="1"/>
  <c r="J93" i="38" s="1"/>
  <c r="H129" i="38"/>
  <c r="I129" i="38" s="1"/>
  <c r="J129" i="38" s="1"/>
  <c r="H169" i="38"/>
  <c r="I169" i="38" s="1"/>
  <c r="J169" i="38" s="1"/>
  <c r="H216" i="38"/>
  <c r="I216" i="38" s="1"/>
  <c r="J216" i="38" s="1"/>
  <c r="H225" i="38"/>
  <c r="I225" i="38" s="1"/>
  <c r="J225" i="38" s="1"/>
  <c r="H233" i="38"/>
  <c r="I233" i="38" s="1"/>
  <c r="J233" i="38" s="1"/>
  <c r="H277" i="38"/>
  <c r="I277" i="38" s="1"/>
  <c r="J277" i="38" s="1"/>
  <c r="H248" i="38"/>
  <c r="I248" i="38" s="1"/>
  <c r="J248" i="38" s="1"/>
  <c r="H200" i="38"/>
  <c r="I200" i="38" s="1"/>
  <c r="J200" i="38" s="1"/>
  <c r="H160" i="38"/>
  <c r="I160" i="38" s="1"/>
  <c r="J160" i="38" s="1"/>
  <c r="H152" i="38"/>
  <c r="I152" i="38" s="1"/>
  <c r="J152" i="38" s="1"/>
  <c r="H144" i="38"/>
  <c r="I144" i="38" s="1"/>
  <c r="H136" i="38"/>
  <c r="I136" i="38" s="1"/>
  <c r="H112" i="38"/>
  <c r="I112" i="38" s="1"/>
  <c r="J112" i="38" s="1"/>
  <c r="H64" i="38"/>
  <c r="I64" i="38" s="1"/>
  <c r="J64" i="38" s="1"/>
  <c r="H56" i="38"/>
  <c r="I56" i="38" s="1"/>
  <c r="J56" i="38" s="1"/>
  <c r="H48" i="38"/>
  <c r="I48" i="38" s="1"/>
  <c r="J48" i="38" s="1"/>
  <c r="H40" i="38"/>
  <c r="I40" i="38" s="1"/>
  <c r="J40" i="38" s="1"/>
  <c r="H32" i="38"/>
  <c r="I32" i="38" s="1"/>
  <c r="J32" i="38" s="1"/>
  <c r="H8" i="38"/>
  <c r="I8" i="38" s="1"/>
  <c r="J8" i="38" s="1"/>
  <c r="H32" i="36"/>
  <c r="I32" i="36" s="1"/>
  <c r="H89" i="36"/>
  <c r="I89" i="36" s="1"/>
  <c r="J89" i="36" s="1"/>
  <c r="H104" i="36"/>
  <c r="I104" i="36" s="1"/>
  <c r="H85" i="38"/>
  <c r="I85" i="38" s="1"/>
  <c r="J85" i="38" s="1"/>
  <c r="H104" i="38"/>
  <c r="I104" i="38" s="1"/>
  <c r="J104" i="38" s="1"/>
  <c r="H189" i="38"/>
  <c r="I189" i="38" s="1"/>
  <c r="J189" i="38" s="1"/>
  <c r="H209" i="38"/>
  <c r="I209" i="38" s="1"/>
  <c r="J209" i="38" s="1"/>
  <c r="H217" i="38"/>
  <c r="I217" i="38" s="1"/>
  <c r="J217" i="38" s="1"/>
  <c r="H241" i="38"/>
  <c r="I241" i="38" s="1"/>
  <c r="J241" i="38" s="1"/>
  <c r="H185" i="36"/>
  <c r="I185" i="36" s="1"/>
  <c r="J185" i="36" s="1"/>
  <c r="H169" i="36"/>
  <c r="I169" i="36" s="1"/>
  <c r="J169" i="36" s="1"/>
  <c r="H145" i="36"/>
  <c r="I145" i="36" s="1"/>
  <c r="H65" i="36"/>
  <c r="I65" i="36" s="1"/>
  <c r="H33" i="36"/>
  <c r="I33" i="36" s="1"/>
  <c r="H9" i="36"/>
  <c r="I9" i="36" s="1"/>
  <c r="J9" i="36" s="1"/>
  <c r="H289" i="36"/>
  <c r="I289" i="36" s="1"/>
  <c r="J289" i="36" s="1"/>
  <c r="H241" i="36"/>
  <c r="I241" i="36" s="1"/>
  <c r="J241" i="36" s="1"/>
  <c r="H201" i="36"/>
  <c r="I201" i="36" s="1"/>
  <c r="J201" i="36" s="1"/>
  <c r="H177" i="36"/>
  <c r="I177" i="36" s="1"/>
  <c r="J177" i="36" s="1"/>
  <c r="H161" i="36"/>
  <c r="I161" i="36" s="1"/>
  <c r="H137" i="36"/>
  <c r="I137" i="36" s="1"/>
  <c r="H73" i="36"/>
  <c r="I73" i="36" s="1"/>
  <c r="J73" i="36" s="1"/>
  <c r="H25" i="36"/>
  <c r="I25" i="36" s="1"/>
  <c r="J25" i="36" s="1"/>
  <c r="H17" i="36"/>
  <c r="I17" i="36" s="1"/>
  <c r="J17" i="36" s="1"/>
  <c r="H64" i="36"/>
  <c r="I64" i="36" s="1"/>
  <c r="J64" i="36" s="1"/>
  <c r="H106" i="36"/>
  <c r="I106" i="36" s="1"/>
  <c r="J106" i="36" s="1"/>
  <c r="H120" i="36"/>
  <c r="I120" i="36" s="1"/>
  <c r="H217" i="36"/>
  <c r="I217" i="36" s="1"/>
  <c r="J217" i="36" s="1"/>
  <c r="H16" i="38"/>
  <c r="I16" i="38" s="1"/>
  <c r="J16" i="38" s="1"/>
  <c r="H24" i="38"/>
  <c r="I24" i="38" s="1"/>
  <c r="J24" i="38" s="1"/>
  <c r="H97" i="38"/>
  <c r="I97" i="38" s="1"/>
  <c r="J97" i="38" s="1"/>
  <c r="H215" i="39"/>
  <c r="I215" i="39" s="1"/>
  <c r="J215" i="39" s="1"/>
  <c r="H232" i="39"/>
  <c r="I232" i="39" s="1"/>
  <c r="H279" i="39"/>
  <c r="I279" i="39" s="1"/>
  <c r="J279" i="39" s="1"/>
  <c r="H130" i="36"/>
  <c r="I130" i="36" s="1"/>
  <c r="H193" i="36"/>
  <c r="I193" i="36" s="1"/>
  <c r="J193" i="36" s="1"/>
  <c r="H26" i="36"/>
  <c r="I26" i="36" s="1"/>
  <c r="J26" i="36" s="1"/>
  <c r="H82" i="36"/>
  <c r="I82" i="36" s="1"/>
  <c r="H117" i="38"/>
  <c r="I117" i="38" s="1"/>
  <c r="J117" i="38" s="1"/>
  <c r="H153" i="38"/>
  <c r="I153" i="38" s="1"/>
  <c r="J153" i="38" s="1"/>
  <c r="H221" i="38"/>
  <c r="I221" i="38" s="1"/>
  <c r="J221" i="38" s="1"/>
  <c r="H229" i="38"/>
  <c r="I229" i="38" s="1"/>
  <c r="J229" i="38" s="1"/>
  <c r="H237" i="38"/>
  <c r="I237" i="38" s="1"/>
  <c r="J237" i="38" s="1"/>
  <c r="H253" i="38"/>
  <c r="I253" i="38" s="1"/>
  <c r="H296" i="39"/>
  <c r="I296" i="39" s="1"/>
  <c r="H112" i="36"/>
  <c r="I112" i="36" s="1"/>
  <c r="H154" i="36"/>
  <c r="I154" i="36" s="1"/>
  <c r="J154" i="36" s="1"/>
  <c r="H168" i="36"/>
  <c r="I168" i="36" s="1"/>
  <c r="J168" i="36" s="1"/>
  <c r="H4" i="38"/>
  <c r="I4" i="38" s="1"/>
  <c r="H121" i="38"/>
  <c r="I121" i="38" s="1"/>
  <c r="J121" i="38" s="1"/>
  <c r="H137" i="38"/>
  <c r="I137" i="38" s="1"/>
  <c r="J137" i="38" s="1"/>
  <c r="H224" i="38"/>
  <c r="I224" i="38" s="1"/>
  <c r="H265" i="38"/>
  <c r="I265" i="38" s="1"/>
  <c r="J265" i="38" s="1"/>
  <c r="H134" i="36"/>
  <c r="I134" i="36" s="1"/>
  <c r="H174" i="36"/>
  <c r="I174" i="36" s="1"/>
  <c r="J174" i="36" s="1"/>
  <c r="H211" i="36"/>
  <c r="I211" i="36" s="1"/>
  <c r="J211" i="36" s="1"/>
  <c r="H118" i="36"/>
  <c r="I118" i="36" s="1"/>
  <c r="J118" i="36" s="1"/>
  <c r="H102" i="36"/>
  <c r="I102" i="36" s="1"/>
  <c r="H302" i="36"/>
  <c r="I302" i="36" s="1"/>
  <c r="J302" i="36" s="1"/>
  <c r="H298" i="39"/>
  <c r="I298" i="39" s="1"/>
  <c r="J298" i="39" s="1"/>
  <c r="H98" i="39"/>
  <c r="I98" i="39" s="1"/>
  <c r="J98" i="39" s="1"/>
  <c r="H34" i="39"/>
  <c r="I34" i="39" s="1"/>
  <c r="J34" i="39" s="1"/>
  <c r="H246" i="36"/>
  <c r="I246" i="36" s="1"/>
  <c r="J246" i="36" s="1"/>
  <c r="H22" i="36"/>
  <c r="I22" i="36" s="1"/>
  <c r="J22" i="36" s="1"/>
  <c r="H14" i="36"/>
  <c r="I14" i="36" s="1"/>
  <c r="J14" i="36" s="1"/>
  <c r="H94" i="36"/>
  <c r="I94" i="36" s="1"/>
  <c r="H230" i="36"/>
  <c r="I230" i="36" s="1"/>
  <c r="J230" i="36" s="1"/>
  <c r="H238" i="36"/>
  <c r="I238" i="36" s="1"/>
  <c r="J238" i="36" s="1"/>
  <c r="H86" i="36"/>
  <c r="I86" i="36" s="1"/>
  <c r="H182" i="36"/>
  <c r="I182" i="36" s="1"/>
  <c r="J182" i="36" s="1"/>
  <c r="H286" i="36"/>
  <c r="I286" i="36" s="1"/>
  <c r="H313" i="36"/>
  <c r="I313" i="36" s="1"/>
  <c r="J313" i="36" s="1"/>
  <c r="H304" i="36"/>
  <c r="I304" i="36" s="1"/>
  <c r="J304" i="36" s="1"/>
  <c r="H280" i="36"/>
  <c r="I280" i="36" s="1"/>
  <c r="J280" i="36" s="1"/>
  <c r="H296" i="36"/>
  <c r="I296" i="36" s="1"/>
  <c r="J296" i="36" s="1"/>
  <c r="D3" i="37"/>
  <c r="H196" i="39"/>
  <c r="I196" i="39" s="1"/>
  <c r="J196" i="39" s="1"/>
  <c r="H312" i="36"/>
  <c r="I312" i="36" s="1"/>
  <c r="J312" i="36" s="1"/>
  <c r="H299" i="39"/>
  <c r="I299" i="39" s="1"/>
  <c r="J299" i="39" s="1"/>
  <c r="H291" i="39"/>
  <c r="I291" i="39" s="1"/>
  <c r="H283" i="39"/>
  <c r="I283" i="39" s="1"/>
  <c r="J283" i="39" s="1"/>
  <c r="H219" i="39"/>
  <c r="I219" i="39" s="1"/>
  <c r="J219" i="39" s="1"/>
  <c r="H211" i="39"/>
  <c r="I211" i="39" s="1"/>
  <c r="J211" i="39" s="1"/>
  <c r="H187" i="39"/>
  <c r="I187" i="39" s="1"/>
  <c r="J187" i="39" s="1"/>
  <c r="H139" i="39"/>
  <c r="I139" i="39" s="1"/>
  <c r="H131" i="39"/>
  <c r="I131" i="39" s="1"/>
  <c r="H83" i="39"/>
  <c r="I83" i="39" s="1"/>
  <c r="H19" i="39"/>
  <c r="I19" i="39" s="1"/>
  <c r="J19" i="39" s="1"/>
  <c r="H292" i="39"/>
  <c r="I292" i="39" s="1"/>
  <c r="H244" i="39"/>
  <c r="I244" i="39" s="1"/>
  <c r="J244" i="39" s="1"/>
  <c r="H180" i="39"/>
  <c r="I180" i="39" s="1"/>
  <c r="H164" i="39"/>
  <c r="I164" i="39" s="1"/>
  <c r="H148" i="39"/>
  <c r="I148" i="39" s="1"/>
  <c r="H60" i="39"/>
  <c r="I60" i="39" s="1"/>
  <c r="J60" i="39" s="1"/>
  <c r="H155" i="39"/>
  <c r="I155" i="39" s="1"/>
  <c r="J155" i="39" s="1"/>
  <c r="H163" i="39"/>
  <c r="I163" i="39" s="1"/>
  <c r="J163" i="39" s="1"/>
  <c r="H171" i="39"/>
  <c r="I171" i="39" s="1"/>
  <c r="H307" i="39"/>
  <c r="I307" i="39" s="1"/>
  <c r="J307" i="39" s="1"/>
  <c r="H314" i="39"/>
  <c r="I314" i="39" s="1"/>
  <c r="J314" i="39" s="1"/>
  <c r="H107" i="39"/>
  <c r="I107" i="39" s="1"/>
  <c r="H147" i="39"/>
  <c r="I147" i="39" s="1"/>
  <c r="J147" i="39" s="1"/>
  <c r="H123" i="39"/>
  <c r="I123" i="39" s="1"/>
  <c r="H204" i="39"/>
  <c r="I204" i="39" s="1"/>
  <c r="J204" i="39" s="1"/>
  <c r="H236" i="39"/>
  <c r="I236" i="39" s="1"/>
  <c r="H66" i="39"/>
  <c r="I66" i="39" s="1"/>
  <c r="J66" i="39" s="1"/>
  <c r="H50" i="39"/>
  <c r="I50" i="39" s="1"/>
  <c r="J50" i="39" s="1"/>
  <c r="H92" i="39"/>
  <c r="I92" i="39" s="1"/>
  <c r="H42" i="39"/>
  <c r="I42" i="39" s="1"/>
  <c r="J42" i="39" s="1"/>
  <c r="H172" i="39"/>
  <c r="I172" i="39" s="1"/>
  <c r="H282" i="39"/>
  <c r="I282" i="39" s="1"/>
  <c r="H252" i="38"/>
  <c r="I252" i="38" s="1"/>
  <c r="J252" i="38" s="1"/>
  <c r="H220" i="38"/>
  <c r="I220" i="38" s="1"/>
  <c r="J220" i="38" s="1"/>
  <c r="H36" i="38"/>
  <c r="I36" i="38" s="1"/>
  <c r="J36" i="38" s="1"/>
  <c r="H52" i="38"/>
  <c r="I52" i="38" s="1"/>
  <c r="J52" i="38" s="1"/>
  <c r="H28" i="38"/>
  <c r="I28" i="38" s="1"/>
  <c r="J28" i="38" s="1"/>
  <c r="H276" i="38"/>
  <c r="I276" i="38" s="1"/>
  <c r="J276" i="38" s="1"/>
  <c r="F3" i="37" a="1"/>
  <c r="F3" i="37" s="1"/>
  <c r="H75" i="36"/>
  <c r="I75" i="36" s="1"/>
  <c r="J75" i="36" s="1"/>
  <c r="H282" i="36"/>
  <c r="I282" i="36" s="1"/>
  <c r="H281" i="36"/>
  <c r="I281" i="36" s="1"/>
  <c r="H198" i="36"/>
  <c r="I198" i="36" s="1"/>
  <c r="J198" i="36" s="1"/>
  <c r="H305" i="36"/>
  <c r="I305" i="36" s="1"/>
  <c r="J305" i="36" s="1"/>
  <c r="H287" i="36"/>
  <c r="I287" i="36" s="1"/>
  <c r="H247" i="36"/>
  <c r="I247" i="36" s="1"/>
  <c r="J247" i="36" s="1"/>
  <c r="H151" i="36"/>
  <c r="I151" i="36" s="1"/>
  <c r="H111" i="36"/>
  <c r="I111" i="36" s="1"/>
  <c r="J111" i="36" s="1"/>
  <c r="H79" i="36"/>
  <c r="I79" i="36" s="1"/>
  <c r="J79" i="36" s="1"/>
  <c r="H71" i="36"/>
  <c r="I71" i="36" s="1"/>
  <c r="J71" i="36" s="1"/>
  <c r="H7" i="36"/>
  <c r="I7" i="36" s="1"/>
  <c r="J7" i="36" s="1"/>
  <c r="H222" i="36"/>
  <c r="I222" i="36" s="1"/>
  <c r="J222" i="36" s="1"/>
  <c r="H136" i="36"/>
  <c r="I136" i="36" s="1"/>
  <c r="J136" i="36" s="1"/>
  <c r="H316" i="36"/>
  <c r="I316" i="36" s="1"/>
  <c r="J316" i="36" s="1"/>
  <c r="H124" i="36"/>
  <c r="I124" i="36" s="1"/>
  <c r="H167" i="36"/>
  <c r="I167" i="36" s="1"/>
  <c r="H231" i="36"/>
  <c r="I231" i="36" s="1"/>
  <c r="J231" i="36" s="1"/>
  <c r="H47" i="36"/>
  <c r="I47" i="36" s="1"/>
  <c r="J47" i="36" s="1"/>
  <c r="H239" i="36"/>
  <c r="I239" i="36" s="1"/>
  <c r="J239" i="36" s="1"/>
  <c r="H263" i="36"/>
  <c r="I263" i="36" s="1"/>
  <c r="J263" i="36" s="1"/>
  <c r="H271" i="36"/>
  <c r="I271" i="36" s="1"/>
  <c r="J271" i="36" s="1"/>
  <c r="H159" i="36"/>
  <c r="I159" i="36" s="1"/>
  <c r="J159" i="36" s="1"/>
  <c r="H298" i="36"/>
  <c r="I298" i="36" s="1"/>
  <c r="H274" i="36"/>
  <c r="I274" i="36" s="1"/>
  <c r="H250" i="36"/>
  <c r="I250" i="36" s="1"/>
  <c r="J250" i="36" s="1"/>
  <c r="H242" i="36"/>
  <c r="I242" i="36" s="1"/>
  <c r="J242" i="36" s="1"/>
  <c r="H186" i="36"/>
  <c r="I186" i="36" s="1"/>
  <c r="J186" i="36" s="1"/>
  <c r="H138" i="36"/>
  <c r="I138" i="36" s="1"/>
  <c r="J138" i="36" s="1"/>
  <c r="H98" i="36"/>
  <c r="I98" i="36" s="1"/>
  <c r="H90" i="36"/>
  <c r="I90" i="36" s="1"/>
  <c r="J90" i="36" s="1"/>
  <c r="H42" i="36"/>
  <c r="I42" i="36" s="1"/>
  <c r="J42" i="36" s="1"/>
  <c r="H34" i="36"/>
  <c r="I34" i="36" s="1"/>
  <c r="J34" i="36" s="1"/>
  <c r="H18" i="36"/>
  <c r="I18" i="36" s="1"/>
  <c r="J18" i="36" s="1"/>
  <c r="H10" i="36"/>
  <c r="I10" i="36" s="1"/>
  <c r="J10" i="36" s="1"/>
  <c r="H103" i="36"/>
  <c r="I103" i="36" s="1"/>
  <c r="H223" i="36"/>
  <c r="I223" i="36" s="1"/>
  <c r="J223" i="36" s="1"/>
  <c r="H119" i="36"/>
  <c r="I119" i="36" s="1"/>
  <c r="H143" i="36"/>
  <c r="I143" i="36" s="1"/>
  <c r="H215" i="36"/>
  <c r="I215" i="36" s="1"/>
  <c r="J215" i="36" s="1"/>
  <c r="H55" i="36"/>
  <c r="I55" i="36" s="1"/>
  <c r="J55" i="36" s="1"/>
  <c r="H255" i="36"/>
  <c r="I255" i="36" s="1"/>
  <c r="J255" i="36" s="1"/>
  <c r="H264" i="36"/>
  <c r="I264" i="36" s="1"/>
  <c r="J264" i="36" s="1"/>
  <c r="H23" i="36"/>
  <c r="I23" i="36" s="1"/>
  <c r="J23" i="36" s="1"/>
  <c r="H158" i="36"/>
  <c r="I158" i="36" s="1"/>
  <c r="J158" i="36" s="1"/>
  <c r="H284" i="36"/>
  <c r="I284" i="36" s="1"/>
  <c r="J284" i="36" s="1"/>
  <c r="H28" i="36"/>
  <c r="I28" i="36" s="1"/>
  <c r="H267" i="36"/>
  <c r="I267" i="36" s="1"/>
  <c r="J267" i="36" s="1"/>
  <c r="H251" i="36"/>
  <c r="I251" i="36" s="1"/>
  <c r="J251" i="36" s="1"/>
  <c r="H227" i="36"/>
  <c r="I227" i="36" s="1"/>
  <c r="H203" i="36"/>
  <c r="I203" i="36" s="1"/>
  <c r="J203" i="36" s="1"/>
  <c r="H155" i="36"/>
  <c r="I155" i="36" s="1"/>
  <c r="J155" i="36" s="1"/>
  <c r="H147" i="36"/>
  <c r="I147" i="36" s="1"/>
  <c r="J147" i="36" s="1"/>
  <c r="H131" i="36"/>
  <c r="I131" i="36" s="1"/>
  <c r="H115" i="36"/>
  <c r="I115" i="36" s="1"/>
  <c r="J115" i="36" s="1"/>
  <c r="H99" i="36"/>
  <c r="I99" i="36" s="1"/>
  <c r="J99" i="36" s="1"/>
  <c r="H83" i="36"/>
  <c r="I83" i="36" s="1"/>
  <c r="J83" i="36" s="1"/>
  <c r="H67" i="36"/>
  <c r="I67" i="36" s="1"/>
  <c r="J67" i="36" s="1"/>
  <c r="H43" i="36"/>
  <c r="I43" i="36" s="1"/>
  <c r="J43" i="36" s="1"/>
  <c r="H35" i="36"/>
  <c r="I35" i="36" s="1"/>
  <c r="J35" i="36" s="1"/>
  <c r="H27" i="36"/>
  <c r="I27" i="36" s="1"/>
  <c r="J27" i="36" s="1"/>
  <c r="H11" i="36"/>
  <c r="I11" i="36" s="1"/>
  <c r="J11" i="36" s="1"/>
  <c r="H69" i="36"/>
  <c r="I69" i="36" s="1"/>
  <c r="J69" i="36" s="1"/>
  <c r="H194" i="36"/>
  <c r="I194" i="36" s="1"/>
  <c r="J194" i="36" s="1"/>
  <c r="H77" i="36"/>
  <c r="I77" i="36" s="1"/>
  <c r="J77" i="36" s="1"/>
  <c r="H233" i="36"/>
  <c r="I233" i="36" s="1"/>
  <c r="J233" i="36" s="1"/>
  <c r="H51" i="36"/>
  <c r="I51" i="36" s="1"/>
  <c r="J51" i="36" s="1"/>
  <c r="H148" i="36"/>
  <c r="I148" i="36" s="1"/>
  <c r="J148" i="36" s="1"/>
  <c r="H59" i="36"/>
  <c r="I59" i="36" s="1"/>
  <c r="J59" i="36" s="1"/>
  <c r="H235" i="36"/>
  <c r="I235" i="36" s="1"/>
  <c r="H300" i="36"/>
  <c r="I300" i="36" s="1"/>
  <c r="J300" i="36" s="1"/>
  <c r="H308" i="36"/>
  <c r="I308" i="36" s="1"/>
  <c r="J308" i="36" s="1"/>
  <c r="H260" i="36"/>
  <c r="I260" i="36" s="1"/>
  <c r="J260" i="36" s="1"/>
  <c r="H123" i="36"/>
  <c r="I123" i="36" s="1"/>
  <c r="H275" i="36"/>
  <c r="I275" i="36" s="1"/>
  <c r="I257" i="36"/>
  <c r="J257" i="36" s="1"/>
  <c r="H281" i="38"/>
  <c r="I281" i="38" s="1"/>
  <c r="J281" i="38" s="1"/>
  <c r="H242" i="38"/>
  <c r="I242" i="38" s="1"/>
  <c r="J242" i="38" s="1"/>
  <c r="H12" i="38"/>
  <c r="I12" i="38" s="1"/>
  <c r="J12" i="38" s="1"/>
  <c r="H116" i="38"/>
  <c r="I116" i="38" s="1"/>
  <c r="H140" i="38"/>
  <c r="I140" i="38" s="1"/>
  <c r="H260" i="38"/>
  <c r="I260" i="38" s="1"/>
  <c r="J260" i="38" s="1"/>
  <c r="H148" i="38"/>
  <c r="I148" i="38" s="1"/>
  <c r="J148" i="38" s="1"/>
  <c r="H228" i="38"/>
  <c r="I228" i="38" s="1"/>
  <c r="J228" i="38" s="1"/>
  <c r="H204" i="38"/>
  <c r="I204" i="38" s="1"/>
  <c r="J204" i="38" s="1"/>
  <c r="H194" i="38"/>
  <c r="I194" i="38" s="1"/>
  <c r="J194" i="38" s="1"/>
  <c r="H236" i="38"/>
  <c r="I236" i="38" s="1"/>
  <c r="J236" i="38" s="1"/>
  <c r="H268" i="38"/>
  <c r="I268" i="38" s="1"/>
  <c r="J268" i="38" s="1"/>
  <c r="H20" i="38"/>
  <c r="I20" i="38" s="1"/>
  <c r="J20" i="38" s="1"/>
  <c r="H44" i="38"/>
  <c r="I44" i="38" s="1"/>
  <c r="J44" i="38" s="1"/>
  <c r="H60" i="38"/>
  <c r="I60" i="38" s="1"/>
  <c r="J60" i="38" s="1"/>
  <c r="H74" i="38"/>
  <c r="I74" i="38" s="1"/>
  <c r="J74" i="38" s="1"/>
  <c r="H124" i="38"/>
  <c r="I124" i="38" s="1"/>
  <c r="H218" i="38"/>
  <c r="I218" i="38" s="1"/>
  <c r="J218" i="38" s="1"/>
  <c r="J11" i="39"/>
  <c r="J15" i="39"/>
  <c r="H4" i="39"/>
  <c r="D3" i="39"/>
  <c r="H22" i="39"/>
  <c r="I22" i="39" s="1"/>
  <c r="H80" i="39"/>
  <c r="I80" i="39" s="1"/>
  <c r="H8" i="39"/>
  <c r="I8" i="39" s="1"/>
  <c r="H10" i="39"/>
  <c r="I10" i="39" s="1"/>
  <c r="H12" i="39"/>
  <c r="I12" i="39" s="1"/>
  <c r="H14" i="39"/>
  <c r="I14" i="39" s="1"/>
  <c r="H99" i="39"/>
  <c r="I99" i="39" s="1"/>
  <c r="H106" i="39"/>
  <c r="I106" i="39" s="1"/>
  <c r="H116" i="39"/>
  <c r="I116" i="39" s="1"/>
  <c r="H5" i="39"/>
  <c r="I5" i="39" s="1"/>
  <c r="F3" i="39" a="1"/>
  <c r="F3" i="39" s="1"/>
  <c r="H28" i="39"/>
  <c r="I28" i="39" s="1"/>
  <c r="H41" i="39"/>
  <c r="I41" i="39" s="1"/>
  <c r="H23" i="39"/>
  <c r="I23" i="39" s="1"/>
  <c r="H6" i="39"/>
  <c r="I6" i="39" s="1"/>
  <c r="H24" i="39"/>
  <c r="I24" i="39" s="1"/>
  <c r="H27" i="39"/>
  <c r="I27" i="39" s="1"/>
  <c r="H64" i="39"/>
  <c r="I64" i="39" s="1"/>
  <c r="H9" i="39"/>
  <c r="I9" i="39" s="1"/>
  <c r="H13" i="39"/>
  <c r="I13" i="39" s="1"/>
  <c r="H20" i="39"/>
  <c r="I20" i="39" s="1"/>
  <c r="H29" i="39"/>
  <c r="I29" i="39" s="1"/>
  <c r="H36" i="39"/>
  <c r="I36" i="39" s="1"/>
  <c r="H68" i="39"/>
  <c r="I68" i="39" s="1"/>
  <c r="H31" i="39"/>
  <c r="I31" i="39" s="1"/>
  <c r="H18" i="39"/>
  <c r="I18" i="39" s="1"/>
  <c r="H40" i="39"/>
  <c r="I40" i="39" s="1"/>
  <c r="J58" i="39"/>
  <c r="H72" i="39"/>
  <c r="I72" i="39" s="1"/>
  <c r="H104" i="39"/>
  <c r="I104" i="39" s="1"/>
  <c r="H113" i="39"/>
  <c r="I113" i="39" s="1"/>
  <c r="H76" i="39"/>
  <c r="I76" i="39" s="1"/>
  <c r="H37" i="39"/>
  <c r="I37" i="39" s="1"/>
  <c r="H44" i="39"/>
  <c r="I44" i="39" s="1"/>
  <c r="H52" i="39"/>
  <c r="I52" i="39" s="1"/>
  <c r="H74" i="39"/>
  <c r="I74" i="39" s="1"/>
  <c r="H108" i="39"/>
  <c r="I108" i="39" s="1"/>
  <c r="H135" i="39"/>
  <c r="I135" i="39" s="1"/>
  <c r="H35" i="39"/>
  <c r="I35" i="39" s="1"/>
  <c r="H39" i="39"/>
  <c r="I39" i="39" s="1"/>
  <c r="H43" i="39"/>
  <c r="I43" i="39" s="1"/>
  <c r="H47" i="39"/>
  <c r="I47" i="39" s="1"/>
  <c r="H51" i="39"/>
  <c r="I51" i="39" s="1"/>
  <c r="H55" i="39"/>
  <c r="I55" i="39" s="1"/>
  <c r="H59" i="39"/>
  <c r="I59" i="39" s="1"/>
  <c r="H63" i="39"/>
  <c r="I63" i="39" s="1"/>
  <c r="H67" i="39"/>
  <c r="I67" i="39" s="1"/>
  <c r="H71" i="39"/>
  <c r="I71" i="39" s="1"/>
  <c r="H75" i="39"/>
  <c r="I75" i="39" s="1"/>
  <c r="H84" i="39"/>
  <c r="I84" i="39" s="1"/>
  <c r="H100" i="39"/>
  <c r="I100" i="39" s="1"/>
  <c r="H86" i="39"/>
  <c r="I86" i="39" s="1"/>
  <c r="H93" i="39"/>
  <c r="I93" i="39" s="1"/>
  <c r="I109" i="39"/>
  <c r="J125" i="39"/>
  <c r="H87" i="39"/>
  <c r="I87" i="39" s="1"/>
  <c r="H82" i="39"/>
  <c r="I82" i="39" s="1"/>
  <c r="H90" i="39"/>
  <c r="I90" i="39" s="1"/>
  <c r="H91" i="39"/>
  <c r="I91" i="39" s="1"/>
  <c r="H115" i="39"/>
  <c r="I115" i="39" s="1"/>
  <c r="H130" i="39"/>
  <c r="I130" i="39" s="1"/>
  <c r="H132" i="39"/>
  <c r="I132" i="39" s="1"/>
  <c r="H124" i="39"/>
  <c r="I124" i="39" s="1"/>
  <c r="I127" i="39"/>
  <c r="H144" i="39"/>
  <c r="I144" i="39" s="1"/>
  <c r="H179" i="39"/>
  <c r="I179" i="39" s="1"/>
  <c r="H112" i="39"/>
  <c r="I112" i="39" s="1"/>
  <c r="H136" i="39"/>
  <c r="I136" i="39" s="1"/>
  <c r="H143" i="39"/>
  <c r="I143" i="39" s="1"/>
  <c r="J173" i="39"/>
  <c r="H138" i="39"/>
  <c r="I138" i="39" s="1"/>
  <c r="H160" i="39"/>
  <c r="I160" i="39" s="1"/>
  <c r="H161" i="39"/>
  <c r="I161" i="39" s="1"/>
  <c r="H170" i="39"/>
  <c r="I170" i="39" s="1"/>
  <c r="H175" i="39"/>
  <c r="I175" i="39" s="1"/>
  <c r="H176" i="39"/>
  <c r="I176" i="39" s="1"/>
  <c r="J145" i="39"/>
  <c r="H169" i="39"/>
  <c r="I169" i="39" s="1"/>
  <c r="H191" i="39"/>
  <c r="I191" i="39" s="1"/>
  <c r="H140" i="39"/>
  <c r="I140" i="39" s="1"/>
  <c r="H150" i="39"/>
  <c r="I150" i="39" s="1"/>
  <c r="H151" i="39"/>
  <c r="I151" i="39" s="1"/>
  <c r="H152" i="39"/>
  <c r="I152" i="39" s="1"/>
  <c r="H184" i="39"/>
  <c r="I184" i="39" s="1"/>
  <c r="H214" i="39"/>
  <c r="I214" i="39" s="1"/>
  <c r="J234" i="39"/>
  <c r="H202" i="39"/>
  <c r="I202" i="39" s="1"/>
  <c r="H210" i="39"/>
  <c r="I210" i="39" s="1"/>
  <c r="H190" i="39"/>
  <c r="I190" i="39" s="1"/>
  <c r="H182" i="39"/>
  <c r="I182" i="39" s="1"/>
  <c r="H260" i="39"/>
  <c r="I260" i="39" s="1"/>
  <c r="H168" i="39"/>
  <c r="I168" i="39" s="1"/>
  <c r="H188" i="39"/>
  <c r="I188" i="39" s="1"/>
  <c r="H189" i="39"/>
  <c r="I189" i="39" s="1"/>
  <c r="H146" i="39"/>
  <c r="I146" i="39" s="1"/>
  <c r="H154" i="39"/>
  <c r="I154" i="39" s="1"/>
  <c r="I156" i="39"/>
  <c r="H162" i="39"/>
  <c r="I162" i="39" s="1"/>
  <c r="H174" i="39"/>
  <c r="I174" i="39" s="1"/>
  <c r="H220" i="39"/>
  <c r="I220" i="39" s="1"/>
  <c r="H221" i="39"/>
  <c r="I221" i="39" s="1"/>
  <c r="H225" i="39"/>
  <c r="I225" i="39" s="1"/>
  <c r="H255" i="39"/>
  <c r="I255" i="39" s="1"/>
  <c r="H192" i="39"/>
  <c r="I192" i="39" s="1"/>
  <c r="H206" i="39"/>
  <c r="I206" i="39" s="1"/>
  <c r="H218" i="39"/>
  <c r="I218" i="39" s="1"/>
  <c r="H238" i="39"/>
  <c r="I238" i="39" s="1"/>
  <c r="H273" i="39"/>
  <c r="I273" i="39" s="1"/>
  <c r="H287" i="39"/>
  <c r="I287" i="39" s="1"/>
  <c r="H178" i="39"/>
  <c r="I178" i="39" s="1"/>
  <c r="H185" i="39"/>
  <c r="I185" i="39" s="1"/>
  <c r="H193" i="39"/>
  <c r="I193" i="39" s="1"/>
  <c r="H200" i="39"/>
  <c r="I200" i="39" s="1"/>
  <c r="H222" i="39"/>
  <c r="I222" i="39" s="1"/>
  <c r="H285" i="39"/>
  <c r="I285" i="39" s="1"/>
  <c r="H186" i="39"/>
  <c r="I186" i="39" s="1"/>
  <c r="H194" i="39"/>
  <c r="I194" i="39" s="1"/>
  <c r="H198" i="39"/>
  <c r="I198" i="39" s="1"/>
  <c r="H212" i="39"/>
  <c r="I212" i="39" s="1"/>
  <c r="H213" i="39"/>
  <c r="I213" i="39" s="1"/>
  <c r="H226" i="39"/>
  <c r="I226" i="39" s="1"/>
  <c r="H300" i="39"/>
  <c r="I300" i="39" s="1"/>
  <c r="H243" i="39"/>
  <c r="I243" i="39" s="1"/>
  <c r="J257" i="39"/>
  <c r="H294" i="39"/>
  <c r="I294" i="39" s="1"/>
  <c r="H240" i="39"/>
  <c r="I240" i="39" s="1"/>
  <c r="H274" i="39"/>
  <c r="I274" i="39" s="1"/>
  <c r="H231" i="39"/>
  <c r="I231" i="39" s="1"/>
  <c r="H242" i="39"/>
  <c r="I242" i="39" s="1"/>
  <c r="H247" i="39"/>
  <c r="I247" i="39" s="1"/>
  <c r="H228" i="39"/>
  <c r="I228" i="39" s="1"/>
  <c r="H250" i="39"/>
  <c r="I250" i="39" s="1"/>
  <c r="H252" i="39"/>
  <c r="I252" i="39" s="1"/>
  <c r="H278" i="39"/>
  <c r="I278" i="39" s="1"/>
  <c r="H281" i="39"/>
  <c r="I281" i="39" s="1"/>
  <c r="H269" i="39"/>
  <c r="I269" i="39" s="1"/>
  <c r="H280" i="39"/>
  <c r="I280" i="39" s="1"/>
  <c r="H251" i="39"/>
  <c r="I251" i="39" s="1"/>
  <c r="H259" i="39"/>
  <c r="I259" i="39" s="1"/>
  <c r="H266" i="39"/>
  <c r="I266" i="39" s="1"/>
  <c r="H267" i="39"/>
  <c r="I267" i="39" s="1"/>
  <c r="H306" i="39"/>
  <c r="I306" i="39" s="1"/>
  <c r="H248" i="39"/>
  <c r="I248" i="39" s="1"/>
  <c r="H254" i="39"/>
  <c r="I254" i="39" s="1"/>
  <c r="H256" i="39"/>
  <c r="I256" i="39" s="1"/>
  <c r="H268" i="39"/>
  <c r="I268" i="39" s="1"/>
  <c r="H289" i="39"/>
  <c r="I289" i="39" s="1"/>
  <c r="H309" i="39"/>
  <c r="I309" i="39" s="1"/>
  <c r="H275" i="39"/>
  <c r="I275" i="39" s="1"/>
  <c r="H276" i="39"/>
  <c r="I276" i="39" s="1"/>
  <c r="H264" i="39"/>
  <c r="I264" i="39" s="1"/>
  <c r="H272" i="39"/>
  <c r="I272" i="39" s="1"/>
  <c r="H284" i="39"/>
  <c r="I284" i="39" s="1"/>
  <c r="H290" i="39"/>
  <c r="I290" i="39" s="1"/>
  <c r="H313" i="39"/>
  <c r="I313" i="39" s="1"/>
  <c r="H305" i="39"/>
  <c r="I305" i="39" s="1"/>
  <c r="H317" i="39"/>
  <c r="I317" i="39" s="1"/>
  <c r="H304" i="39"/>
  <c r="I304" i="39" s="1"/>
  <c r="H308" i="39"/>
  <c r="I308" i="39" s="1"/>
  <c r="H312" i="39"/>
  <c r="I312" i="39" s="1"/>
  <c r="H316" i="39"/>
  <c r="I316" i="39" s="1"/>
  <c r="H22" i="38"/>
  <c r="I22" i="38" s="1"/>
  <c r="H54" i="38"/>
  <c r="I54" i="38" s="1"/>
  <c r="H26" i="38"/>
  <c r="I26" i="38" s="1"/>
  <c r="H58" i="38"/>
  <c r="I58" i="38" s="1"/>
  <c r="H127" i="38"/>
  <c r="I127" i="38" s="1"/>
  <c r="H62" i="38"/>
  <c r="I62" i="38" s="1"/>
  <c r="H23" i="38"/>
  <c r="I23" i="38" s="1"/>
  <c r="H34" i="38"/>
  <c r="I34" i="38" s="1"/>
  <c r="H55" i="38"/>
  <c r="I55" i="38" s="1"/>
  <c r="H177" i="38"/>
  <c r="I177" i="38" s="1"/>
  <c r="H19" i="38"/>
  <c r="I19" i="38" s="1"/>
  <c r="F3" i="38" a="1"/>
  <c r="F3" i="38" s="1"/>
  <c r="H6" i="38"/>
  <c r="I6" i="38" s="1"/>
  <c r="H38" i="38"/>
  <c r="I38" i="38" s="1"/>
  <c r="H59" i="38"/>
  <c r="I59" i="38" s="1"/>
  <c r="H128" i="38"/>
  <c r="I128" i="38" s="1"/>
  <c r="H132" i="38"/>
  <c r="I132" i="38" s="1"/>
  <c r="H51" i="38"/>
  <c r="I51" i="38" s="1"/>
  <c r="D3" i="38"/>
  <c r="H10" i="38"/>
  <c r="I10" i="38" s="1"/>
  <c r="H31" i="38"/>
  <c r="I31" i="38" s="1"/>
  <c r="H42" i="38"/>
  <c r="I42" i="38" s="1"/>
  <c r="H63" i="38"/>
  <c r="I63" i="38" s="1"/>
  <c r="H113" i="38"/>
  <c r="I113" i="38" s="1"/>
  <c r="H30" i="38"/>
  <c r="I30" i="38" s="1"/>
  <c r="I11" i="38"/>
  <c r="H14" i="38"/>
  <c r="I14" i="38" s="1"/>
  <c r="H35" i="38"/>
  <c r="I35" i="38" s="1"/>
  <c r="H46" i="38"/>
  <c r="I46" i="38" s="1"/>
  <c r="H66" i="38"/>
  <c r="I66" i="38" s="1"/>
  <c r="H118" i="38"/>
  <c r="I118" i="38" s="1"/>
  <c r="H7" i="38"/>
  <c r="I7" i="38" s="1"/>
  <c r="I15" i="38"/>
  <c r="H18" i="38"/>
  <c r="I18" i="38" s="1"/>
  <c r="H39" i="38"/>
  <c r="I39" i="38" s="1"/>
  <c r="H50" i="38"/>
  <c r="I50" i="38" s="1"/>
  <c r="H72" i="38"/>
  <c r="I72" i="38" s="1"/>
  <c r="H135" i="38"/>
  <c r="I135" i="38" s="1"/>
  <c r="H82" i="38"/>
  <c r="I82" i="38" s="1"/>
  <c r="H83" i="38"/>
  <c r="I83" i="38" s="1"/>
  <c r="H98" i="38"/>
  <c r="I98" i="38" s="1"/>
  <c r="H76" i="38"/>
  <c r="I76" i="38" s="1"/>
  <c r="H77" i="38"/>
  <c r="I77" i="38" s="1"/>
  <c r="H80" i="38"/>
  <c r="I80" i="38" s="1"/>
  <c r="H90" i="38"/>
  <c r="I90" i="38" s="1"/>
  <c r="H91" i="38"/>
  <c r="I91" i="38" s="1"/>
  <c r="H139" i="38"/>
  <c r="I139" i="38" s="1"/>
  <c r="H166" i="38"/>
  <c r="I166" i="38" s="1"/>
  <c r="H68" i="38"/>
  <c r="I68" i="38" s="1"/>
  <c r="H84" i="38"/>
  <c r="I84" i="38" s="1"/>
  <c r="H95" i="38"/>
  <c r="I95" i="38" s="1"/>
  <c r="H109" i="38"/>
  <c r="I109" i="38" s="1"/>
  <c r="H126" i="38"/>
  <c r="I126" i="38" s="1"/>
  <c r="H130" i="38"/>
  <c r="I130" i="38" s="1"/>
  <c r="H157" i="38"/>
  <c r="I157" i="38" s="1"/>
  <c r="H88" i="38"/>
  <c r="I88" i="38" s="1"/>
  <c r="H100" i="38"/>
  <c r="I100" i="38" s="1"/>
  <c r="H120" i="38"/>
  <c r="I120" i="38" s="1"/>
  <c r="J125" i="38"/>
  <c r="H5" i="38"/>
  <c r="H9" i="38"/>
  <c r="I9" i="38" s="1"/>
  <c r="H13" i="38"/>
  <c r="I13" i="38" s="1"/>
  <c r="H17" i="38"/>
  <c r="I17" i="38" s="1"/>
  <c r="H21" i="38"/>
  <c r="I21" i="38" s="1"/>
  <c r="H25" i="38"/>
  <c r="I25" i="38" s="1"/>
  <c r="H29" i="38"/>
  <c r="I29" i="38" s="1"/>
  <c r="H33" i="38"/>
  <c r="I33" i="38" s="1"/>
  <c r="H37" i="38"/>
  <c r="I37" i="38" s="1"/>
  <c r="H41" i="38"/>
  <c r="I41" i="38" s="1"/>
  <c r="H45" i="38"/>
  <c r="I45" i="38" s="1"/>
  <c r="H49" i="38"/>
  <c r="I49" i="38" s="1"/>
  <c r="H53" i="38"/>
  <c r="I53" i="38" s="1"/>
  <c r="H57" i="38"/>
  <c r="I57" i="38" s="1"/>
  <c r="H61" i="38"/>
  <c r="I61" i="38" s="1"/>
  <c r="H65" i="38"/>
  <c r="I65" i="38" s="1"/>
  <c r="H92" i="38"/>
  <c r="I92" i="38" s="1"/>
  <c r="H96" i="38"/>
  <c r="I96" i="38" s="1"/>
  <c r="H111" i="38"/>
  <c r="I111" i="38" s="1"/>
  <c r="H119" i="38"/>
  <c r="I119" i="38" s="1"/>
  <c r="H151" i="38"/>
  <c r="I151" i="38" s="1"/>
  <c r="H146" i="38"/>
  <c r="I146" i="38" s="1"/>
  <c r="H142" i="38"/>
  <c r="I142" i="38" s="1"/>
  <c r="H147" i="38"/>
  <c r="I147" i="38" s="1"/>
  <c r="H181" i="38"/>
  <c r="I181" i="38" s="1"/>
  <c r="H143" i="38"/>
  <c r="I143" i="38" s="1"/>
  <c r="H149" i="38"/>
  <c r="I149" i="38" s="1"/>
  <c r="H174" i="38"/>
  <c r="I174" i="38" s="1"/>
  <c r="H212" i="38"/>
  <c r="I212" i="38" s="1"/>
  <c r="H131" i="38"/>
  <c r="I131" i="38" s="1"/>
  <c r="H180" i="38"/>
  <c r="I180" i="38" s="1"/>
  <c r="H201" i="38"/>
  <c r="I201" i="38" s="1"/>
  <c r="H115" i="38"/>
  <c r="I115" i="38" s="1"/>
  <c r="H123" i="38"/>
  <c r="I123" i="38" s="1"/>
  <c r="H155" i="38"/>
  <c r="I155" i="38" s="1"/>
  <c r="J173" i="38"/>
  <c r="H188" i="38"/>
  <c r="I188" i="38" s="1"/>
  <c r="H179" i="38"/>
  <c r="I179" i="38" s="1"/>
  <c r="H184" i="38"/>
  <c r="I184" i="38" s="1"/>
  <c r="H162" i="38"/>
  <c r="I162" i="38" s="1"/>
  <c r="H247" i="38"/>
  <c r="I247" i="38" s="1"/>
  <c r="H267" i="38"/>
  <c r="I267" i="38" s="1"/>
  <c r="H158" i="38"/>
  <c r="I158" i="38" s="1"/>
  <c r="H164" i="38"/>
  <c r="I164" i="38" s="1"/>
  <c r="H176" i="38"/>
  <c r="I176" i="38" s="1"/>
  <c r="H197" i="38"/>
  <c r="I197" i="38" s="1"/>
  <c r="H154" i="38"/>
  <c r="I154" i="38" s="1"/>
  <c r="H172" i="38"/>
  <c r="I172" i="38" s="1"/>
  <c r="H175" i="38"/>
  <c r="I175" i="38" s="1"/>
  <c r="H186" i="38"/>
  <c r="I186" i="38" s="1"/>
  <c r="H150" i="38"/>
  <c r="I150" i="38" s="1"/>
  <c r="H167" i="38"/>
  <c r="I167" i="38" s="1"/>
  <c r="H203" i="38"/>
  <c r="I203" i="38" s="1"/>
  <c r="H244" i="38"/>
  <c r="I244" i="38" s="1"/>
  <c r="H168" i="38"/>
  <c r="I168" i="38" s="1"/>
  <c r="H193" i="38"/>
  <c r="I193" i="38" s="1"/>
  <c r="H199" i="38"/>
  <c r="I199" i="38" s="1"/>
  <c r="H230" i="38"/>
  <c r="I230" i="38" s="1"/>
  <c r="J240" i="38"/>
  <c r="H196" i="38"/>
  <c r="I196" i="38" s="1"/>
  <c r="H232" i="38"/>
  <c r="I232" i="38" s="1"/>
  <c r="H185" i="38"/>
  <c r="I185" i="38" s="1"/>
  <c r="H297" i="38"/>
  <c r="I297" i="38" s="1"/>
  <c r="H192" i="38"/>
  <c r="I192" i="38" s="1"/>
  <c r="H198" i="38"/>
  <c r="I198" i="38" s="1"/>
  <c r="H227" i="38"/>
  <c r="I227" i="38" s="1"/>
  <c r="H239" i="38"/>
  <c r="I239" i="38" s="1"/>
  <c r="H249" i="38"/>
  <c r="I249" i="38" s="1"/>
  <c r="H312" i="38"/>
  <c r="I312" i="38" s="1"/>
  <c r="H254" i="38"/>
  <c r="I254" i="38" s="1"/>
  <c r="H208" i="38"/>
  <c r="I208" i="38" s="1"/>
  <c r="H213" i="38"/>
  <c r="I213" i="38" s="1"/>
  <c r="H223" i="38"/>
  <c r="I223" i="38" s="1"/>
  <c r="H279" i="38"/>
  <c r="I279" i="38" s="1"/>
  <c r="H219" i="38"/>
  <c r="I219" i="38" s="1"/>
  <c r="H235" i="38"/>
  <c r="I235" i="38" s="1"/>
  <c r="H251" i="38"/>
  <c r="I251" i="38" s="1"/>
  <c r="H214" i="38"/>
  <c r="I214" i="38" s="1"/>
  <c r="H272" i="38"/>
  <c r="I272" i="38" s="1"/>
  <c r="H206" i="38"/>
  <c r="I206" i="38" s="1"/>
  <c r="H222" i="38"/>
  <c r="I222" i="38" s="1"/>
  <c r="H231" i="38"/>
  <c r="I231" i="38" s="1"/>
  <c r="H243" i="38"/>
  <c r="I243" i="38" s="1"/>
  <c r="H263" i="38"/>
  <c r="I263" i="38" s="1"/>
  <c r="H259" i="38"/>
  <c r="I259" i="38" s="1"/>
  <c r="H264" i="38"/>
  <c r="I264" i="38" s="1"/>
  <c r="H226" i="38"/>
  <c r="I226" i="38" s="1"/>
  <c r="I257" i="38"/>
  <c r="H261" i="38"/>
  <c r="I261" i="38" s="1"/>
  <c r="H274" i="38"/>
  <c r="I274" i="38" s="1"/>
  <c r="H255" i="38"/>
  <c r="I255" i="38" s="1"/>
  <c r="H271" i="38"/>
  <c r="I271" i="38" s="1"/>
  <c r="H286" i="38"/>
  <c r="I286" i="38" s="1"/>
  <c r="H287" i="38"/>
  <c r="I287" i="38" s="1"/>
  <c r="H288" i="38"/>
  <c r="I288" i="38" s="1"/>
  <c r="H291" i="38"/>
  <c r="I291" i="38" s="1"/>
  <c r="H302" i="38"/>
  <c r="I302" i="38" s="1"/>
  <c r="H292" i="38"/>
  <c r="I292" i="38" s="1"/>
  <c r="H308" i="38"/>
  <c r="I308" i="38" s="1"/>
  <c r="H282" i="38"/>
  <c r="I282" i="38" s="1"/>
  <c r="H290" i="38"/>
  <c r="I290" i="38" s="1"/>
  <c r="H310" i="38"/>
  <c r="I310" i="38" s="1"/>
  <c r="H316" i="38"/>
  <c r="I316" i="38" s="1"/>
  <c r="H278" i="38"/>
  <c r="I278" i="38" s="1"/>
  <c r="H296" i="38"/>
  <c r="I296" i="38" s="1"/>
  <c r="H305" i="38"/>
  <c r="I305" i="38" s="1"/>
  <c r="H280" i="38"/>
  <c r="I280" i="38" s="1"/>
  <c r="H304" i="38"/>
  <c r="I304" i="38" s="1"/>
  <c r="H318" i="38"/>
  <c r="I318" i="38" s="1"/>
  <c r="H284" i="38"/>
  <c r="I284" i="38" s="1"/>
  <c r="H289" i="38"/>
  <c r="I289" i="38" s="1"/>
  <c r="H300" i="38"/>
  <c r="I300" i="38" s="1"/>
  <c r="H313" i="38"/>
  <c r="I313" i="38" s="1"/>
  <c r="H301" i="38"/>
  <c r="I301" i="38" s="1"/>
  <c r="H309" i="38"/>
  <c r="I309" i="38" s="1"/>
  <c r="H317" i="38"/>
  <c r="I317" i="38" s="1"/>
  <c r="H4" i="36"/>
  <c r="H74" i="36"/>
  <c r="I74" i="36" s="1"/>
  <c r="H8" i="36"/>
  <c r="I8" i="36" s="1"/>
  <c r="J15" i="36"/>
  <c r="H37" i="36"/>
  <c r="I37" i="36" s="1"/>
  <c r="H39" i="36"/>
  <c r="I39" i="36" s="1"/>
  <c r="H19" i="36"/>
  <c r="I19" i="36" s="1"/>
  <c r="D3" i="36"/>
  <c r="H30" i="36"/>
  <c r="I30" i="36" s="1"/>
  <c r="F3" i="36" a="1"/>
  <c r="F3" i="36" s="1"/>
  <c r="H36" i="36"/>
  <c r="I36" i="36" s="1"/>
  <c r="H58" i="36"/>
  <c r="I58" i="36" s="1"/>
  <c r="H54" i="36"/>
  <c r="I54" i="36" s="1"/>
  <c r="H12" i="36"/>
  <c r="I12" i="36" s="1"/>
  <c r="H16" i="36"/>
  <c r="I16" i="36" s="1"/>
  <c r="H20" i="36"/>
  <c r="I20" i="36" s="1"/>
  <c r="H24" i="36"/>
  <c r="I24" i="36" s="1"/>
  <c r="H38" i="36"/>
  <c r="I38" i="36" s="1"/>
  <c r="H41" i="36"/>
  <c r="I41" i="36" s="1"/>
  <c r="H50" i="36"/>
  <c r="I50" i="36" s="1"/>
  <c r="H70" i="36"/>
  <c r="I70" i="36" s="1"/>
  <c r="H31" i="36"/>
  <c r="I31" i="36" s="1"/>
  <c r="H95" i="36"/>
  <c r="I95" i="36" s="1"/>
  <c r="H88" i="36"/>
  <c r="I88" i="36" s="1"/>
  <c r="H46" i="36"/>
  <c r="I46" i="36" s="1"/>
  <c r="H61" i="36"/>
  <c r="I61" i="36" s="1"/>
  <c r="H63" i="36"/>
  <c r="I63" i="36" s="1"/>
  <c r="H81" i="36"/>
  <c r="I81" i="36" s="1"/>
  <c r="H160" i="36"/>
  <c r="I160" i="36" s="1"/>
  <c r="H76" i="36"/>
  <c r="I76" i="36" s="1"/>
  <c r="H80" i="36"/>
  <c r="I80" i="36" s="1"/>
  <c r="H87" i="36"/>
  <c r="I87" i="36" s="1"/>
  <c r="H105" i="36"/>
  <c r="I105" i="36" s="1"/>
  <c r="H107" i="36"/>
  <c r="I107" i="36" s="1"/>
  <c r="H121" i="36"/>
  <c r="I121" i="36" s="1"/>
  <c r="H45" i="36"/>
  <c r="I45" i="36" s="1"/>
  <c r="H49" i="36"/>
  <c r="I49" i="36" s="1"/>
  <c r="H53" i="36"/>
  <c r="I53" i="36" s="1"/>
  <c r="H57" i="36"/>
  <c r="I57" i="36" s="1"/>
  <c r="H68" i="36"/>
  <c r="I68" i="36" s="1"/>
  <c r="H85" i="36"/>
  <c r="I85" i="36" s="1"/>
  <c r="H66" i="36"/>
  <c r="I66" i="36" s="1"/>
  <c r="H91" i="36"/>
  <c r="I91" i="36" s="1"/>
  <c r="H93" i="36"/>
  <c r="I93" i="36" s="1"/>
  <c r="H97" i="36"/>
  <c r="I97" i="36" s="1"/>
  <c r="H101" i="36"/>
  <c r="I101" i="36" s="1"/>
  <c r="H113" i="36"/>
  <c r="I113" i="36" s="1"/>
  <c r="H116" i="36"/>
  <c r="I116" i="36" s="1"/>
  <c r="H129" i="36"/>
  <c r="I129" i="36" s="1"/>
  <c r="H40" i="36"/>
  <c r="I40" i="36" s="1"/>
  <c r="H44" i="36"/>
  <c r="I44" i="36" s="1"/>
  <c r="H48" i="36"/>
  <c r="I48" i="36" s="1"/>
  <c r="H52" i="36"/>
  <c r="I52" i="36" s="1"/>
  <c r="H56" i="36"/>
  <c r="I56" i="36" s="1"/>
  <c r="H60" i="36"/>
  <c r="I60" i="36" s="1"/>
  <c r="H72" i="36"/>
  <c r="I72" i="36" s="1"/>
  <c r="H114" i="36"/>
  <c r="I114" i="36" s="1"/>
  <c r="H128" i="36"/>
  <c r="I128" i="36" s="1"/>
  <c r="H132" i="36"/>
  <c r="I132" i="36" s="1"/>
  <c r="H62" i="36"/>
  <c r="I62" i="36" s="1"/>
  <c r="H78" i="36"/>
  <c r="I78" i="36" s="1"/>
  <c r="H84" i="36"/>
  <c r="I84" i="36" s="1"/>
  <c r="I127" i="36"/>
  <c r="H150" i="36"/>
  <c r="I150" i="36" s="1"/>
  <c r="H92" i="36"/>
  <c r="I92" i="36" s="1"/>
  <c r="H96" i="36"/>
  <c r="I96" i="36" s="1"/>
  <c r="H100" i="36"/>
  <c r="I100" i="36" s="1"/>
  <c r="H110" i="36"/>
  <c r="I110" i="36" s="1"/>
  <c r="H117" i="36"/>
  <c r="I117" i="36" s="1"/>
  <c r="H122" i="36"/>
  <c r="I122" i="36" s="1"/>
  <c r="H139" i="36"/>
  <c r="I139" i="36" s="1"/>
  <c r="H140" i="36"/>
  <c r="I140" i="36" s="1"/>
  <c r="H108" i="36"/>
  <c r="I108" i="36" s="1"/>
  <c r="H125" i="36"/>
  <c r="I125" i="36" s="1"/>
  <c r="H126" i="36"/>
  <c r="I126" i="36" s="1"/>
  <c r="H133" i="36"/>
  <c r="I133" i="36" s="1"/>
  <c r="H135" i="36"/>
  <c r="I135" i="36" s="1"/>
  <c r="H153" i="36"/>
  <c r="I153" i="36" s="1"/>
  <c r="H142" i="36"/>
  <c r="I142" i="36" s="1"/>
  <c r="H144" i="36"/>
  <c r="I144" i="36" s="1"/>
  <c r="H146" i="36"/>
  <c r="I146" i="36" s="1"/>
  <c r="H165" i="36"/>
  <c r="I165" i="36" s="1"/>
  <c r="H172" i="36"/>
  <c r="I172" i="36" s="1"/>
  <c r="H190" i="36"/>
  <c r="I190" i="36" s="1"/>
  <c r="H196" i="36"/>
  <c r="I196" i="36" s="1"/>
  <c r="H218" i="36"/>
  <c r="I218" i="36" s="1"/>
  <c r="H152" i="36"/>
  <c r="I152" i="36" s="1"/>
  <c r="H163" i="36"/>
  <c r="I163" i="36" s="1"/>
  <c r="H149" i="36"/>
  <c r="I149" i="36" s="1"/>
  <c r="H180" i="36"/>
  <c r="I180" i="36" s="1"/>
  <c r="H187" i="36"/>
  <c r="I187" i="36" s="1"/>
  <c r="H225" i="36"/>
  <c r="I225" i="36" s="1"/>
  <c r="H213" i="36"/>
  <c r="I213" i="36" s="1"/>
  <c r="H164" i="36"/>
  <c r="I164" i="36" s="1"/>
  <c r="H173" i="36"/>
  <c r="I173" i="36" s="1"/>
  <c r="H192" i="36"/>
  <c r="I192" i="36" s="1"/>
  <c r="H199" i="36"/>
  <c r="I199" i="36" s="1"/>
  <c r="H209" i="36"/>
  <c r="I209" i="36" s="1"/>
  <c r="I156" i="36"/>
  <c r="H162" i="36"/>
  <c r="I162" i="36" s="1"/>
  <c r="H166" i="36"/>
  <c r="I166" i="36" s="1"/>
  <c r="H171" i="36"/>
  <c r="I171" i="36" s="1"/>
  <c r="H212" i="36"/>
  <c r="I212" i="36" s="1"/>
  <c r="H202" i="36"/>
  <c r="I202" i="36" s="1"/>
  <c r="H204" i="36"/>
  <c r="I204" i="36" s="1"/>
  <c r="H226" i="36"/>
  <c r="I226" i="36" s="1"/>
  <c r="H176" i="36"/>
  <c r="I176" i="36" s="1"/>
  <c r="H184" i="36"/>
  <c r="I184" i="36" s="1"/>
  <c r="H191" i="36"/>
  <c r="I191" i="36" s="1"/>
  <c r="H224" i="36"/>
  <c r="I224" i="36" s="1"/>
  <c r="H206" i="36"/>
  <c r="I206" i="36" s="1"/>
  <c r="H178" i="36"/>
  <c r="I178" i="36" s="1"/>
  <c r="H188" i="36"/>
  <c r="I188" i="36" s="1"/>
  <c r="H195" i="36"/>
  <c r="I195" i="36" s="1"/>
  <c r="H219" i="36"/>
  <c r="I219" i="36" s="1"/>
  <c r="H200" i="36"/>
  <c r="I200" i="36" s="1"/>
  <c r="H207" i="36"/>
  <c r="I207" i="36" s="1"/>
  <c r="H232" i="36"/>
  <c r="I232" i="36" s="1"/>
  <c r="H253" i="36"/>
  <c r="I253" i="36" s="1"/>
  <c r="H220" i="36"/>
  <c r="I220" i="36" s="1"/>
  <c r="J259" i="36"/>
  <c r="H262" i="36"/>
  <c r="I262" i="36" s="1"/>
  <c r="H228" i="36"/>
  <c r="I228" i="36" s="1"/>
  <c r="H244" i="36"/>
  <c r="I244" i="36" s="1"/>
  <c r="H175" i="36"/>
  <c r="I175" i="36" s="1"/>
  <c r="H179" i="36"/>
  <c r="I179" i="36" s="1"/>
  <c r="H183" i="36"/>
  <c r="I183" i="36" s="1"/>
  <c r="H214" i="36"/>
  <c r="I214" i="36" s="1"/>
  <c r="H245" i="36"/>
  <c r="I245" i="36" s="1"/>
  <c r="H216" i="36"/>
  <c r="I216" i="36" s="1"/>
  <c r="H221" i="36"/>
  <c r="I221" i="36" s="1"/>
  <c r="H236" i="36"/>
  <c r="I236" i="36" s="1"/>
  <c r="H249" i="36"/>
  <c r="I249" i="36" s="1"/>
  <c r="H243" i="36"/>
  <c r="I243" i="36" s="1"/>
  <c r="H240" i="36"/>
  <c r="I240" i="36" s="1"/>
  <c r="H291" i="36"/>
  <c r="I291" i="36" s="1"/>
  <c r="H248" i="36"/>
  <c r="I248" i="36" s="1"/>
  <c r="H252" i="36"/>
  <c r="I252" i="36" s="1"/>
  <c r="H258" i="36"/>
  <c r="I258" i="36" s="1"/>
  <c r="H279" i="36"/>
  <c r="I279" i="36" s="1"/>
  <c r="H254" i="36"/>
  <c r="I254" i="36" s="1"/>
  <c r="H268" i="36"/>
  <c r="I268" i="36" s="1"/>
  <c r="H256" i="36"/>
  <c r="I256" i="36" s="1"/>
  <c r="H272" i="36"/>
  <c r="I272" i="36" s="1"/>
  <c r="H277" i="36"/>
  <c r="I277" i="36" s="1"/>
  <c r="H278" i="36"/>
  <c r="I278" i="36" s="1"/>
  <c r="H266" i="36"/>
  <c r="I266" i="36" s="1"/>
  <c r="H273" i="36"/>
  <c r="I273" i="36" s="1"/>
  <c r="H270" i="36"/>
  <c r="I270" i="36" s="1"/>
  <c r="H292" i="36"/>
  <c r="I292" i="36" s="1"/>
  <c r="H290" i="36"/>
  <c r="I290" i="36" s="1"/>
  <c r="H285" i="36"/>
  <c r="I285" i="36" s="1"/>
  <c r="H294" i="36"/>
  <c r="I294" i="36" s="1"/>
  <c r="H295" i="36"/>
  <c r="I295" i="36" s="1"/>
  <c r="H276" i="36"/>
  <c r="I276" i="36" s="1"/>
  <c r="H283" i="36"/>
  <c r="I283" i="36" s="1"/>
  <c r="H299" i="36"/>
  <c r="I299" i="36" s="1"/>
  <c r="H303" i="36"/>
  <c r="I303" i="36" s="1"/>
  <c r="H288" i="36"/>
  <c r="I288" i="36" s="1"/>
  <c r="H309" i="36"/>
  <c r="I309" i="36" s="1"/>
  <c r="H307" i="36"/>
  <c r="I307" i="36" s="1"/>
  <c r="H311" i="36"/>
  <c r="I311" i="36" s="1"/>
  <c r="H315" i="36"/>
  <c r="I315" i="36" s="1"/>
  <c r="H306" i="36"/>
  <c r="I306" i="36" s="1"/>
  <c r="H310" i="36"/>
  <c r="I310" i="36" s="1"/>
  <c r="H314" i="36"/>
  <c r="I314" i="36" s="1"/>
  <c r="H318" i="36"/>
  <c r="I318" i="36" s="1"/>
  <c r="I252" i="37" l="1"/>
  <c r="J252" i="37" s="1"/>
  <c r="I309" i="37"/>
  <c r="J309" i="37" s="1"/>
  <c r="I214" i="37"/>
  <c r="J214" i="37" s="1"/>
  <c r="I87" i="37"/>
  <c r="J87" i="37" s="1"/>
  <c r="I73" i="37"/>
  <c r="J73" i="37" s="1"/>
  <c r="I42" i="37"/>
  <c r="J42" i="37" s="1"/>
  <c r="I232" i="37"/>
  <c r="J232" i="37" s="1"/>
  <c r="I20" i="37"/>
  <c r="J20" i="37" s="1"/>
  <c r="I92" i="37"/>
  <c r="J92" i="37" s="1"/>
  <c r="I172" i="37"/>
  <c r="J172" i="37" s="1"/>
  <c r="I85" i="37"/>
  <c r="J85" i="37" s="1"/>
  <c r="I229" i="37"/>
  <c r="J229" i="37" s="1"/>
  <c r="I230" i="37"/>
  <c r="J230" i="37" s="1"/>
  <c r="I215" i="37"/>
  <c r="J215" i="37" s="1"/>
  <c r="I203" i="37"/>
  <c r="J203" i="37" s="1"/>
  <c r="I136" i="37"/>
  <c r="J136" i="37" s="1"/>
  <c r="I100" i="37"/>
  <c r="J100" i="37" s="1"/>
  <c r="I117" i="37"/>
  <c r="J117" i="37" s="1"/>
  <c r="I237" i="37"/>
  <c r="J237" i="37" s="1"/>
  <c r="I22" i="37"/>
  <c r="J22" i="37" s="1"/>
  <c r="I134" i="37"/>
  <c r="J134" i="37" s="1"/>
  <c r="I238" i="37"/>
  <c r="J238" i="37" s="1"/>
  <c r="I103" i="37"/>
  <c r="J103" i="37" s="1"/>
  <c r="I239" i="37"/>
  <c r="J239" i="37" s="1"/>
  <c r="I131" i="37"/>
  <c r="J131" i="37" s="1"/>
  <c r="I84" i="37"/>
  <c r="J84" i="37" s="1"/>
  <c r="I221" i="37"/>
  <c r="J221" i="37" s="1"/>
  <c r="I310" i="37"/>
  <c r="J310" i="37" s="1"/>
  <c r="I295" i="37"/>
  <c r="J295" i="37" s="1"/>
  <c r="I241" i="37"/>
  <c r="J241" i="37" s="1"/>
  <c r="I202" i="37"/>
  <c r="J202" i="37" s="1"/>
  <c r="I290" i="37"/>
  <c r="J290" i="37" s="1"/>
  <c r="I283" i="37"/>
  <c r="J283" i="37" s="1"/>
  <c r="I164" i="37"/>
  <c r="J164" i="37" s="1"/>
  <c r="I77" i="37"/>
  <c r="J77" i="37" s="1"/>
  <c r="I102" i="37"/>
  <c r="J102" i="37" s="1"/>
  <c r="I199" i="37"/>
  <c r="J199" i="37" s="1"/>
  <c r="I153" i="37"/>
  <c r="J153" i="37" s="1"/>
  <c r="I122" i="37"/>
  <c r="J122" i="37" s="1"/>
  <c r="I48" i="37"/>
  <c r="J48" i="37" s="1"/>
  <c r="I300" i="37"/>
  <c r="J300" i="37" s="1"/>
  <c r="I154" i="37"/>
  <c r="J154" i="37" s="1"/>
  <c r="I234" i="37"/>
  <c r="J234" i="37" s="1"/>
  <c r="I188" i="37"/>
  <c r="J188" i="37" s="1"/>
  <c r="I142" i="37"/>
  <c r="J142" i="37" s="1"/>
  <c r="I254" i="37"/>
  <c r="J254" i="37" s="1"/>
  <c r="I35" i="37"/>
  <c r="J35" i="37" s="1"/>
  <c r="I82" i="37"/>
  <c r="J82" i="37" s="1"/>
  <c r="I52" i="37"/>
  <c r="J52" i="37" s="1"/>
  <c r="I132" i="37"/>
  <c r="J132" i="37" s="1"/>
  <c r="I29" i="37"/>
  <c r="J29" i="37" s="1"/>
  <c r="I189" i="37"/>
  <c r="J189" i="37" s="1"/>
  <c r="I269" i="37"/>
  <c r="J269" i="37" s="1"/>
  <c r="I166" i="37"/>
  <c r="J166" i="37" s="1"/>
  <c r="I270" i="37"/>
  <c r="J270" i="37" s="1"/>
  <c r="I47" i="37"/>
  <c r="J47" i="37" s="1"/>
  <c r="I167" i="37"/>
  <c r="J167" i="37" s="1"/>
  <c r="I271" i="37"/>
  <c r="J271" i="37" s="1"/>
  <c r="I49" i="37"/>
  <c r="J49" i="37" s="1"/>
  <c r="I121" i="37"/>
  <c r="J121" i="37" s="1"/>
  <c r="I201" i="37"/>
  <c r="J201" i="37" s="1"/>
  <c r="I10" i="37"/>
  <c r="J10" i="37" s="1"/>
  <c r="I98" i="37"/>
  <c r="J98" i="37" s="1"/>
  <c r="I170" i="37"/>
  <c r="J170" i="37" s="1"/>
  <c r="I266" i="37"/>
  <c r="J266" i="37" s="1"/>
  <c r="I67" i="37"/>
  <c r="J67" i="37" s="1"/>
  <c r="I155" i="37"/>
  <c r="J155" i="37" s="1"/>
  <c r="I235" i="37"/>
  <c r="J235" i="37" s="1"/>
  <c r="I195" i="37"/>
  <c r="J195" i="37" s="1"/>
  <c r="I313" i="37"/>
  <c r="J313" i="37" s="1"/>
  <c r="I105" i="37"/>
  <c r="J105" i="37" s="1"/>
  <c r="I119" i="37"/>
  <c r="J119" i="37" s="1"/>
  <c r="I133" i="37"/>
  <c r="J133" i="37" s="1"/>
  <c r="I140" i="37"/>
  <c r="J140" i="37" s="1"/>
  <c r="I220" i="37"/>
  <c r="J220" i="37" s="1"/>
  <c r="I53" i="37"/>
  <c r="J53" i="37" s="1"/>
  <c r="I285" i="37"/>
  <c r="J285" i="37" s="1"/>
  <c r="I182" i="37"/>
  <c r="J182" i="37" s="1"/>
  <c r="I278" i="37"/>
  <c r="J278" i="37" s="1"/>
  <c r="I55" i="37"/>
  <c r="J55" i="37" s="1"/>
  <c r="I279" i="37"/>
  <c r="J279" i="37" s="1"/>
  <c r="I57" i="37"/>
  <c r="J57" i="37" s="1"/>
  <c r="I274" i="37"/>
  <c r="J274" i="37" s="1"/>
  <c r="I107" i="37"/>
  <c r="J107" i="37" s="1"/>
  <c r="I76" i="37"/>
  <c r="J76" i="37" s="1"/>
  <c r="I148" i="37"/>
  <c r="J148" i="37" s="1"/>
  <c r="I228" i="37"/>
  <c r="J228" i="37" s="1"/>
  <c r="I61" i="37"/>
  <c r="J61" i="37" s="1"/>
  <c r="I213" i="37"/>
  <c r="J213" i="37" s="1"/>
  <c r="I293" i="37"/>
  <c r="J293" i="37" s="1"/>
  <c r="I206" i="37"/>
  <c r="J206" i="37" s="1"/>
  <c r="I191" i="37"/>
  <c r="J191" i="37" s="1"/>
  <c r="I99" i="37"/>
  <c r="J99" i="37" s="1"/>
  <c r="J7" i="37"/>
  <c r="J5" i="37"/>
  <c r="J192" i="39"/>
  <c r="J104" i="39"/>
  <c r="J304" i="39"/>
  <c r="J240" i="39"/>
  <c r="J162" i="39"/>
  <c r="J214" i="39"/>
  <c r="J112" i="39"/>
  <c r="J124" i="39"/>
  <c r="J87" i="39"/>
  <c r="J22" i="39"/>
  <c r="J266" i="39"/>
  <c r="J294" i="39"/>
  <c r="J300" i="39"/>
  <c r="J154" i="39"/>
  <c r="J184" i="39"/>
  <c r="J55" i="39"/>
  <c r="J135" i="39"/>
  <c r="J287" i="39"/>
  <c r="J151" i="39"/>
  <c r="J41" i="39"/>
  <c r="J268" i="39"/>
  <c r="J273" i="39"/>
  <c r="J210" i="39"/>
  <c r="J140" i="39"/>
  <c r="J91" i="39"/>
  <c r="J59" i="39"/>
  <c r="J305" i="39"/>
  <c r="J281" i="39"/>
  <c r="J247" i="39"/>
  <c r="J200" i="39"/>
  <c r="J143" i="39"/>
  <c r="J179" i="39"/>
  <c r="J274" i="39"/>
  <c r="J35" i="39"/>
  <c r="J259" i="39"/>
  <c r="J193" i="39"/>
  <c r="J218" i="39"/>
  <c r="J191" i="39"/>
  <c r="J170" i="39"/>
  <c r="J27" i="39"/>
  <c r="J116" i="39"/>
  <c r="J10" i="39"/>
  <c r="J308" i="39"/>
  <c r="J228" i="39"/>
  <c r="J67" i="39"/>
  <c r="J6" i="39"/>
  <c r="J251" i="39"/>
  <c r="J185" i="39"/>
  <c r="J206" i="39"/>
  <c r="J169" i="39"/>
  <c r="J144" i="39"/>
  <c r="J75" i="39"/>
  <c r="J43" i="39"/>
  <c r="J20" i="39"/>
  <c r="J106" i="39"/>
  <c r="J312" i="39"/>
  <c r="J306" i="39"/>
  <c r="J178" i="39"/>
  <c r="J136" i="39"/>
  <c r="J39" i="39"/>
  <c r="J13" i="39"/>
  <c r="J80" i="39"/>
  <c r="J317" i="39"/>
  <c r="J301" i="39"/>
  <c r="J271" i="39"/>
  <c r="J309" i="39"/>
  <c r="J267" i="39"/>
  <c r="J278" i="39"/>
  <c r="J236" i="39"/>
  <c r="J212" i="39"/>
  <c r="J238" i="39"/>
  <c r="J194" i="39"/>
  <c r="J205" i="39"/>
  <c r="J148" i="39"/>
  <c r="J260" i="39"/>
  <c r="J189" i="39"/>
  <c r="J190" i="39"/>
  <c r="J176" i="39"/>
  <c r="J188" i="39"/>
  <c r="J128" i="39"/>
  <c r="J82" i="39"/>
  <c r="J92" i="39"/>
  <c r="J108" i="39"/>
  <c r="J44" i="39"/>
  <c r="J117" i="39"/>
  <c r="J47" i="39"/>
  <c r="J9" i="39"/>
  <c r="J17" i="39"/>
  <c r="J5" i="39"/>
  <c r="J297" i="39"/>
  <c r="J175" i="39"/>
  <c r="J115" i="39"/>
  <c r="J103" i="39"/>
  <c r="J86" i="39"/>
  <c r="J84" i="39"/>
  <c r="J37" i="39"/>
  <c r="J113" i="39"/>
  <c r="J31" i="39"/>
  <c r="J51" i="39"/>
  <c r="J313" i="39"/>
  <c r="J198" i="39"/>
  <c r="J202" i="39"/>
  <c r="J171" i="39"/>
  <c r="J132" i="39"/>
  <c r="J102" i="39"/>
  <c r="J72" i="39"/>
  <c r="J316" i="39"/>
  <c r="J290" i="39"/>
  <c r="J291" i="39"/>
  <c r="J250" i="39"/>
  <c r="J232" i="39"/>
  <c r="J243" i="39"/>
  <c r="J186" i="39"/>
  <c r="J225" i="39"/>
  <c r="J166" i="39"/>
  <c r="J174" i="39"/>
  <c r="J197" i="39"/>
  <c r="J130" i="39"/>
  <c r="J161" i="39"/>
  <c r="J100" i="39"/>
  <c r="J26" i="39"/>
  <c r="J63" i="39"/>
  <c r="J24" i="39"/>
  <c r="J296" i="39"/>
  <c r="J242" i="39"/>
  <c r="J172" i="39"/>
  <c r="J182" i="39"/>
  <c r="J159" i="39"/>
  <c r="J95" i="39"/>
  <c r="J293" i="39"/>
  <c r="J276" i="39"/>
  <c r="J282" i="39"/>
  <c r="J280" i="39"/>
  <c r="J269" i="39"/>
  <c r="J231" i="39"/>
  <c r="J229" i="39"/>
  <c r="J201" i="39"/>
  <c r="J164" i="39"/>
  <c r="J180" i="39"/>
  <c r="J107" i="39"/>
  <c r="J120" i="39"/>
  <c r="J97" i="39"/>
  <c r="J119" i="39"/>
  <c r="J68" i="39"/>
  <c r="J46" i="39"/>
  <c r="J12" i="39"/>
  <c r="J289" i="39"/>
  <c r="J168" i="39"/>
  <c r="J123" i="39"/>
  <c r="J275" i="39"/>
  <c r="J256" i="39"/>
  <c r="J255" i="39"/>
  <c r="J131" i="39"/>
  <c r="J101" i="39"/>
  <c r="J118" i="39"/>
  <c r="J74" i="39"/>
  <c r="J40" i="39"/>
  <c r="J38" i="39"/>
  <c r="I4" i="39"/>
  <c r="H3" i="39" a="1"/>
  <c r="H3" i="39" s="1"/>
  <c r="J252" i="39"/>
  <c r="J152" i="39"/>
  <c r="J127" i="39"/>
  <c r="J33" i="39"/>
  <c r="J18" i="39"/>
  <c r="J28" i="39"/>
  <c r="J14" i="39"/>
  <c r="J284" i="39"/>
  <c r="J264" i="39"/>
  <c r="J254" i="39"/>
  <c r="J226" i="39"/>
  <c r="J285" i="39"/>
  <c r="J222" i="39"/>
  <c r="J221" i="39"/>
  <c r="J156" i="39"/>
  <c r="J167" i="39"/>
  <c r="J146" i="39"/>
  <c r="J139" i="39"/>
  <c r="J150" i="39"/>
  <c r="J160" i="39"/>
  <c r="J111" i="39"/>
  <c r="J109" i="39"/>
  <c r="J110" i="39"/>
  <c r="J71" i="39"/>
  <c r="J76" i="39"/>
  <c r="J36" i="39"/>
  <c r="J64" i="39"/>
  <c r="J29" i="39"/>
  <c r="J292" i="39"/>
  <c r="J138" i="39"/>
  <c r="J23" i="39"/>
  <c r="J99" i="39"/>
  <c r="J272" i="39"/>
  <c r="J263" i="39"/>
  <c r="J248" i="39"/>
  <c r="J213" i="39"/>
  <c r="J220" i="39"/>
  <c r="J158" i="39"/>
  <c r="J149" i="39"/>
  <c r="J90" i="39"/>
  <c r="J88" i="39"/>
  <c r="J93" i="39"/>
  <c r="J52" i="39"/>
  <c r="J83" i="39"/>
  <c r="J8" i="39"/>
  <c r="J55" i="38"/>
  <c r="J29" i="38"/>
  <c r="J318" i="38"/>
  <c r="J251" i="38"/>
  <c r="J186" i="38"/>
  <c r="J120" i="38"/>
  <c r="J312" i="38"/>
  <c r="J13" i="38"/>
  <c r="J290" i="38"/>
  <c r="J314" i="38"/>
  <c r="J287" i="38"/>
  <c r="J227" i="38"/>
  <c r="J175" i="38"/>
  <c r="J92" i="38"/>
  <c r="J9" i="38"/>
  <c r="J90" i="38"/>
  <c r="J21" i="38"/>
  <c r="J19" i="38"/>
  <c r="J176" i="38"/>
  <c r="J206" i="38"/>
  <c r="J119" i="38"/>
  <c r="J300" i="38"/>
  <c r="J244" i="38"/>
  <c r="J111" i="38"/>
  <c r="J23" i="38"/>
  <c r="J304" i="38"/>
  <c r="J282" i="38"/>
  <c r="J286" i="38"/>
  <c r="J201" i="38"/>
  <c r="J174" i="38"/>
  <c r="J68" i="38"/>
  <c r="J37" i="38"/>
  <c r="H3" i="38" a="1"/>
  <c r="H3" i="38" s="1"/>
  <c r="I5" i="38"/>
  <c r="I3" i="38" s="1" a="1"/>
  <c r="I3" i="38" s="1"/>
  <c r="J88" i="38"/>
  <c r="J39" i="38"/>
  <c r="J14" i="38"/>
  <c r="J45" i="38"/>
  <c r="J288" i="38"/>
  <c r="J123" i="38"/>
  <c r="J83" i="38"/>
  <c r="J309" i="38"/>
  <c r="J280" i="38"/>
  <c r="J316" i="38"/>
  <c r="J302" i="38"/>
  <c r="J219" i="38"/>
  <c r="J185" i="38"/>
  <c r="J155" i="38"/>
  <c r="J96" i="38"/>
  <c r="J157" i="38"/>
  <c r="J80" i="38"/>
  <c r="J72" i="38"/>
  <c r="J66" i="38"/>
  <c r="J51" i="38"/>
  <c r="J259" i="38"/>
  <c r="J247" i="38"/>
  <c r="J272" i="38"/>
  <c r="J164" i="38"/>
  <c r="J103" i="38"/>
  <c r="J301" i="38"/>
  <c r="J308" i="38"/>
  <c r="J271" i="38"/>
  <c r="J264" i="38"/>
  <c r="J231" i="38"/>
  <c r="J279" i="38"/>
  <c r="J239" i="38"/>
  <c r="J149" i="38"/>
  <c r="J146" i="38"/>
  <c r="J61" i="38"/>
  <c r="J84" i="38"/>
  <c r="J166" i="38"/>
  <c r="J18" i="38"/>
  <c r="J63" i="38"/>
  <c r="J177" i="38"/>
  <c r="J127" i="38"/>
  <c r="J313" i="38"/>
  <c r="J49" i="38"/>
  <c r="J7" i="38"/>
  <c r="J306" i="38"/>
  <c r="J226" i="38"/>
  <c r="J188" i="38"/>
  <c r="J100" i="38"/>
  <c r="J50" i="38"/>
  <c r="J305" i="38"/>
  <c r="J255" i="38"/>
  <c r="J214" i="38"/>
  <c r="J208" i="38"/>
  <c r="J198" i="38"/>
  <c r="J199" i="38"/>
  <c r="J25" i="38"/>
  <c r="J42" i="38"/>
  <c r="J58" i="38"/>
  <c r="J26" i="38"/>
  <c r="J263" i="38"/>
  <c r="J192" i="38"/>
  <c r="J193" i="38"/>
  <c r="J197" i="38"/>
  <c r="J115" i="38"/>
  <c r="J180" i="38"/>
  <c r="J131" i="38"/>
  <c r="J212" i="38"/>
  <c r="J143" i="38"/>
  <c r="J147" i="38"/>
  <c r="J107" i="38"/>
  <c r="J53" i="38"/>
  <c r="J109" i="38"/>
  <c r="J57" i="38"/>
  <c r="J31" i="38"/>
  <c r="J128" i="38"/>
  <c r="J6" i="38"/>
  <c r="J22" i="38"/>
  <c r="J30" i="38"/>
  <c r="J113" i="38"/>
  <c r="J10" i="38"/>
  <c r="J70" i="38"/>
  <c r="J62" i="38"/>
  <c r="J77" i="38"/>
  <c r="J54" i="38"/>
  <c r="J250" i="38"/>
  <c r="J215" i="38"/>
  <c r="J254" i="38"/>
  <c r="J230" i="38"/>
  <c r="J168" i="38"/>
  <c r="J124" i="38"/>
  <c r="J142" i="38"/>
  <c r="J136" i="38"/>
  <c r="J98" i="38"/>
  <c r="J15" i="38"/>
  <c r="J27" i="38"/>
  <c r="J292" i="38"/>
  <c r="J253" i="38"/>
  <c r="J172" i="38"/>
  <c r="J116" i="38"/>
  <c r="J140" i="38"/>
  <c r="J102" i="38"/>
  <c r="J82" i="38"/>
  <c r="J47" i="38"/>
  <c r="J65" i="38"/>
  <c r="J59" i="38"/>
  <c r="J41" i="38"/>
  <c r="J33" i="38"/>
  <c r="J294" i="38"/>
  <c r="J224" i="38"/>
  <c r="J293" i="38"/>
  <c r="J298" i="38"/>
  <c r="J274" i="38"/>
  <c r="J222" i="38"/>
  <c r="J275" i="38"/>
  <c r="J162" i="38"/>
  <c r="J158" i="38"/>
  <c r="J159" i="38"/>
  <c r="J130" i="38"/>
  <c r="J317" i="38"/>
  <c r="J296" i="38"/>
  <c r="J310" i="38"/>
  <c r="J291" i="38"/>
  <c r="J261" i="38"/>
  <c r="J243" i="38"/>
  <c r="J223" i="38"/>
  <c r="J297" i="38"/>
  <c r="J232" i="38"/>
  <c r="J207" i="38"/>
  <c r="J203" i="38"/>
  <c r="J154" i="38"/>
  <c r="J99" i="38"/>
  <c r="J151" i="38"/>
  <c r="J139" i="38"/>
  <c r="J76" i="38"/>
  <c r="J135" i="38"/>
  <c r="J11" i="38"/>
  <c r="J132" i="38"/>
  <c r="J38" i="38"/>
  <c r="J289" i="38"/>
  <c r="J278" i="38"/>
  <c r="J257" i="38"/>
  <c r="J211" i="38"/>
  <c r="J235" i="38"/>
  <c r="J213" i="38"/>
  <c r="J249" i="38"/>
  <c r="J196" i="38"/>
  <c r="J167" i="38"/>
  <c r="J267" i="38"/>
  <c r="J184" i="38"/>
  <c r="J144" i="38"/>
  <c r="J181" i="38"/>
  <c r="J95" i="38"/>
  <c r="J126" i="38"/>
  <c r="J118" i="38"/>
  <c r="J46" i="38"/>
  <c r="J17" i="38"/>
  <c r="J35" i="38"/>
  <c r="J34" i="38"/>
  <c r="J71" i="38"/>
  <c r="J284" i="38"/>
  <c r="J210" i="38"/>
  <c r="J150" i="38"/>
  <c r="J179" i="38"/>
  <c r="J170" i="38"/>
  <c r="J91" i="38"/>
  <c r="J43" i="38"/>
  <c r="J4" i="38"/>
  <c r="J308" i="37"/>
  <c r="J276" i="37"/>
  <c r="J196" i="37"/>
  <c r="J316" i="37"/>
  <c r="J305" i="37"/>
  <c r="J312" i="37"/>
  <c r="J318" i="37"/>
  <c r="J277" i="37"/>
  <c r="J27" i="37"/>
  <c r="J314" i="37"/>
  <c r="J298" i="37"/>
  <c r="J116" i="37"/>
  <c r="J301" i="37"/>
  <c r="J174" i="37"/>
  <c r="J171" i="37"/>
  <c r="J291" i="37"/>
  <c r="J242" i="37"/>
  <c r="J212" i="37"/>
  <c r="J163" i="37"/>
  <c r="J83" i="37"/>
  <c r="J261" i="37"/>
  <c r="J236" i="37"/>
  <c r="J219" i="37"/>
  <c r="J218" i="37"/>
  <c r="J149" i="37"/>
  <c r="J123" i="37"/>
  <c r="J145" i="37"/>
  <c r="J111" i="37"/>
  <c r="J118" i="37"/>
  <c r="J194" i="37"/>
  <c r="J34" i="37"/>
  <c r="J43" i="37"/>
  <c r="J14" i="37"/>
  <c r="J31" i="37"/>
  <c r="J180" i="37"/>
  <c r="J240" i="37"/>
  <c r="J143" i="37"/>
  <c r="J304" i="37"/>
  <c r="J251" i="37"/>
  <c r="J272" i="37"/>
  <c r="J223" i="37"/>
  <c r="J217" i="37"/>
  <c r="J187" i="37"/>
  <c r="J113" i="37"/>
  <c r="J106" i="37"/>
  <c r="J120" i="37"/>
  <c r="J72" i="37"/>
  <c r="J41" i="37"/>
  <c r="J289" i="37"/>
  <c r="J287" i="37"/>
  <c r="J246" i="37"/>
  <c r="J248" i="37"/>
  <c r="J190" i="37"/>
  <c r="J184" i="37"/>
  <c r="J224" i="37"/>
  <c r="J97" i="37"/>
  <c r="J137" i="37"/>
  <c r="J40" i="37"/>
  <c r="J38" i="37"/>
  <c r="J306" i="37"/>
  <c r="J296" i="37"/>
  <c r="J130" i="37"/>
  <c r="J127" i="37"/>
  <c r="J18" i="37"/>
  <c r="J297" i="37"/>
  <c r="J205" i="37"/>
  <c r="J175" i="37"/>
  <c r="J210" i="37"/>
  <c r="J178" i="37"/>
  <c r="J95" i="37"/>
  <c r="J65" i="37"/>
  <c r="J317" i="37"/>
  <c r="J294" i="37"/>
  <c r="J284" i="37"/>
  <c r="J273" i="37"/>
  <c r="J233" i="37"/>
  <c r="J198" i="37"/>
  <c r="J141" i="37"/>
  <c r="J94" i="37"/>
  <c r="I6" i="37"/>
  <c r="H3" i="37" a="1"/>
  <c r="H3" i="37" s="1"/>
  <c r="J39" i="37"/>
  <c r="J44" i="37"/>
  <c r="J244" i="37"/>
  <c r="J268" i="37"/>
  <c r="J265" i="37"/>
  <c r="J231" i="37"/>
  <c r="J146" i="37"/>
  <c r="J109" i="37"/>
  <c r="J33" i="37"/>
  <c r="J93" i="37"/>
  <c r="J280" i="37"/>
  <c r="J186" i="37"/>
  <c r="J222" i="37"/>
  <c r="J183" i="37"/>
  <c r="J139" i="37"/>
  <c r="J207" i="37"/>
  <c r="J138" i="37"/>
  <c r="J125" i="37"/>
  <c r="J58" i="37"/>
  <c r="J46" i="37"/>
  <c r="J51" i="37"/>
  <c r="J192" i="37"/>
  <c r="J176" i="37"/>
  <c r="J115" i="37"/>
  <c r="J114" i="37"/>
  <c r="J129" i="37"/>
  <c r="J88" i="37"/>
  <c r="J90" i="37"/>
  <c r="J54" i="37"/>
  <c r="J69" i="37"/>
  <c r="J17" i="37"/>
  <c r="J4" i="37"/>
  <c r="J227" i="37"/>
  <c r="J158" i="37"/>
  <c r="J101" i="37"/>
  <c r="J110" i="37"/>
  <c r="J81" i="37"/>
  <c r="J36" i="37"/>
  <c r="J26" i="37"/>
  <c r="J21" i="37"/>
  <c r="J159" i="37"/>
  <c r="J226" i="37"/>
  <c r="J200" i="37"/>
  <c r="J162" i="37"/>
  <c r="J185" i="37"/>
  <c r="J124" i="37"/>
  <c r="J45" i="37"/>
  <c r="J96" i="37"/>
  <c r="J30" i="37"/>
  <c r="J78" i="37"/>
  <c r="J232" i="36"/>
  <c r="J163" i="36"/>
  <c r="J96" i="36"/>
  <c r="J97" i="36"/>
  <c r="J45" i="36"/>
  <c r="J54" i="36"/>
  <c r="J74" i="36"/>
  <c r="J318" i="36"/>
  <c r="J183" i="36"/>
  <c r="J226" i="36"/>
  <c r="J164" i="36"/>
  <c r="J146" i="36"/>
  <c r="J126" i="36"/>
  <c r="J92" i="36"/>
  <c r="J114" i="36"/>
  <c r="J31" i="36"/>
  <c r="J41" i="36"/>
  <c r="J314" i="36"/>
  <c r="J266" i="36"/>
  <c r="J179" i="36"/>
  <c r="J209" i="36"/>
  <c r="J144" i="36"/>
  <c r="J125" i="36"/>
  <c r="J129" i="36"/>
  <c r="J76" i="36"/>
  <c r="J310" i="36"/>
  <c r="J295" i="36"/>
  <c r="J221" i="36"/>
  <c r="J149" i="36"/>
  <c r="J165" i="36"/>
  <c r="J78" i="36"/>
  <c r="J85" i="36"/>
  <c r="J160" i="36"/>
  <c r="J61" i="36"/>
  <c r="J288" i="36"/>
  <c r="J248" i="36"/>
  <c r="J244" i="36"/>
  <c r="J191" i="36"/>
  <c r="J171" i="36"/>
  <c r="J192" i="36"/>
  <c r="J142" i="36"/>
  <c r="J60" i="36"/>
  <c r="J66" i="36"/>
  <c r="J68" i="36"/>
  <c r="J107" i="36"/>
  <c r="J20" i="36"/>
  <c r="J258" i="36"/>
  <c r="J283" i="36"/>
  <c r="J117" i="36"/>
  <c r="J56" i="36"/>
  <c r="J16" i="36"/>
  <c r="J37" i="36"/>
  <c r="J315" i="36"/>
  <c r="J303" i="36"/>
  <c r="J249" i="36"/>
  <c r="J162" i="36"/>
  <c r="J173" i="36"/>
  <c r="J196" i="36"/>
  <c r="J153" i="36"/>
  <c r="J52" i="36"/>
  <c r="J101" i="36"/>
  <c r="J12" i="36"/>
  <c r="J214" i="36"/>
  <c r="J276" i="36"/>
  <c r="J292" i="36"/>
  <c r="J277" i="36"/>
  <c r="J279" i="36"/>
  <c r="J240" i="36"/>
  <c r="J245" i="36"/>
  <c r="J228" i="36"/>
  <c r="J180" i="36"/>
  <c r="J135" i="36"/>
  <c r="J128" i="36"/>
  <c r="J48" i="36"/>
  <c r="J49" i="36"/>
  <c r="J290" i="36"/>
  <c r="J269" i="36"/>
  <c r="J252" i="36"/>
  <c r="J108" i="36"/>
  <c r="J112" i="36"/>
  <c r="J65" i="36"/>
  <c r="H3" i="36" a="1"/>
  <c r="H3" i="36" s="1"/>
  <c r="J309" i="36"/>
  <c r="J265" i="36"/>
  <c r="J202" i="36"/>
  <c r="J152" i="36"/>
  <c r="J140" i="36"/>
  <c r="J87" i="36"/>
  <c r="J46" i="36"/>
  <c r="J33" i="36"/>
  <c r="J19" i="36"/>
  <c r="I4" i="36"/>
  <c r="J178" i="36"/>
  <c r="J161" i="36"/>
  <c r="J122" i="36"/>
  <c r="J28" i="36"/>
  <c r="J8" i="36"/>
  <c r="J40" i="36"/>
  <c r="J306" i="36"/>
  <c r="J285" i="36"/>
  <c r="J275" i="36"/>
  <c r="J268" i="36"/>
  <c r="J235" i="36"/>
  <c r="J216" i="36"/>
  <c r="J200" i="36"/>
  <c r="J206" i="36"/>
  <c r="J204" i="36"/>
  <c r="J212" i="36"/>
  <c r="J156" i="36"/>
  <c r="J157" i="36"/>
  <c r="J139" i="36"/>
  <c r="J98" i="36"/>
  <c r="J53" i="36"/>
  <c r="J24" i="36"/>
  <c r="J287" i="36"/>
  <c r="J254" i="36"/>
  <c r="J236" i="36"/>
  <c r="J167" i="36"/>
  <c r="J175" i="36"/>
  <c r="J187" i="36"/>
  <c r="J137" i="36"/>
  <c r="J151" i="36"/>
  <c r="J130" i="36"/>
  <c r="J150" i="36"/>
  <c r="J132" i="36"/>
  <c r="J100" i="36"/>
  <c r="J88" i="36"/>
  <c r="J32" i="36"/>
  <c r="J50" i="36"/>
  <c r="J36" i="36"/>
  <c r="J39" i="36"/>
  <c r="J307" i="36"/>
  <c r="J282" i="36"/>
  <c r="J278" i="36"/>
  <c r="J243" i="36"/>
  <c r="J207" i="36"/>
  <c r="J213" i="36"/>
  <c r="J104" i="36"/>
  <c r="J270" i="36"/>
  <c r="J121" i="36"/>
  <c r="J80" i="36"/>
  <c r="J57" i="36"/>
  <c r="J293" i="36"/>
  <c r="J227" i="36"/>
  <c r="J220" i="36"/>
  <c r="J219" i="36"/>
  <c r="J145" i="36"/>
  <c r="J190" i="36"/>
  <c r="J124" i="36"/>
  <c r="J127" i="36"/>
  <c r="J94" i="36"/>
  <c r="J82" i="36"/>
  <c r="J133" i="36"/>
  <c r="J86" i="36"/>
  <c r="J38" i="36"/>
  <c r="J281" i="36"/>
  <c r="J291" i="36"/>
  <c r="J218" i="36"/>
  <c r="J62" i="36"/>
  <c r="J272" i="36"/>
  <c r="J195" i="36"/>
  <c r="J184" i="36"/>
  <c r="J199" i="36"/>
  <c r="J225" i="36"/>
  <c r="J120" i="36"/>
  <c r="J123" i="36"/>
  <c r="J131" i="36"/>
  <c r="J72" i="36"/>
  <c r="J93" i="36"/>
  <c r="J298" i="36"/>
  <c r="J294" i="36"/>
  <c r="J113" i="36"/>
  <c r="J102" i="36"/>
  <c r="J105" i="36"/>
  <c r="J63" i="36"/>
  <c r="J110" i="36"/>
  <c r="J58" i="36"/>
  <c r="J30" i="36"/>
  <c r="J274" i="36"/>
  <c r="J311" i="36"/>
  <c r="J286" i="36"/>
  <c r="J262" i="36"/>
  <c r="J224" i="36"/>
  <c r="J166" i="36"/>
  <c r="J299" i="36"/>
  <c r="J273" i="36"/>
  <c r="J256" i="36"/>
  <c r="J253" i="36"/>
  <c r="J188" i="36"/>
  <c r="J176" i="36"/>
  <c r="J141" i="36"/>
  <c r="J172" i="36"/>
  <c r="J143" i="36"/>
  <c r="J134" i="36"/>
  <c r="J84" i="36"/>
  <c r="J116" i="36"/>
  <c r="J91" i="36"/>
  <c r="J119" i="36"/>
  <c r="J103" i="36"/>
  <c r="J81" i="36"/>
  <c r="J29" i="36"/>
  <c r="J95" i="36"/>
  <c r="J70" i="36"/>
  <c r="J44" i="36"/>
  <c r="I3" i="37" l="1" a="1"/>
  <c r="I3" i="37" s="1"/>
  <c r="J4" i="39"/>
  <c r="I3" i="39" a="1"/>
  <c r="I3" i="39" s="1"/>
  <c r="J5" i="38"/>
  <c r="J3" i="38" s="1" a="1"/>
  <c r="J3" i="38" s="1"/>
  <c r="J6" i="37"/>
  <c r="J4" i="36"/>
  <c r="I3" i="36" a="1"/>
  <c r="I3" i="36" s="1"/>
  <c r="K320" i="38" l="1"/>
  <c r="L320" i="38" s="1"/>
  <c r="M320" i="38" s="1"/>
  <c r="K319" i="38"/>
  <c r="L319" i="38" s="1"/>
  <c r="M319" i="38" s="1"/>
  <c r="J3" i="39" a="1"/>
  <c r="J3" i="39" s="1"/>
  <c r="K273" i="38"/>
  <c r="L273" i="38" s="1"/>
  <c r="M273" i="38" s="1"/>
  <c r="K234" i="38"/>
  <c r="L234" i="38" s="1"/>
  <c r="M234" i="38" s="1"/>
  <c r="K209" i="38"/>
  <c r="L209" i="38" s="1"/>
  <c r="M209" i="38" s="1"/>
  <c r="K246" i="38"/>
  <c r="L246" i="38" s="1"/>
  <c r="M246" i="38" s="1"/>
  <c r="K156" i="38"/>
  <c r="L156" i="38" s="1"/>
  <c r="M156" i="38" s="1"/>
  <c r="K145" i="38"/>
  <c r="L145" i="38" s="1"/>
  <c r="M145" i="38" s="1"/>
  <c r="K138" i="38"/>
  <c r="L138" i="38" s="1"/>
  <c r="M138" i="38" s="1"/>
  <c r="K78" i="38"/>
  <c r="L78" i="38" s="1"/>
  <c r="M78" i="38" s="1"/>
  <c r="K122" i="38"/>
  <c r="L122" i="38" s="1"/>
  <c r="M122" i="38" s="1"/>
  <c r="K101" i="38"/>
  <c r="L101" i="38" s="1"/>
  <c r="M101" i="38" s="1"/>
  <c r="K110" i="38"/>
  <c r="L110" i="38" s="1"/>
  <c r="M110" i="38" s="1"/>
  <c r="K295" i="38"/>
  <c r="L295" i="38" s="1"/>
  <c r="M295" i="38" s="1"/>
  <c r="K152" i="38"/>
  <c r="L152" i="38" s="1"/>
  <c r="M152" i="38" s="1"/>
  <c r="K160" i="38"/>
  <c r="L160" i="38" s="1"/>
  <c r="M160" i="38" s="1"/>
  <c r="K202" i="38"/>
  <c r="L202" i="38" s="1"/>
  <c r="M202" i="38" s="1"/>
  <c r="K238" i="38"/>
  <c r="L238" i="38" s="1"/>
  <c r="M238" i="38" s="1"/>
  <c r="K299" i="38"/>
  <c r="L299" i="38" s="1"/>
  <c r="M299" i="38" s="1"/>
  <c r="K262" i="38"/>
  <c r="L262" i="38" s="1"/>
  <c r="M262" i="38" s="1"/>
  <c r="K182" i="38"/>
  <c r="L182" i="38" s="1"/>
  <c r="M182" i="38" s="1"/>
  <c r="K311" i="38"/>
  <c r="L311" i="38" s="1"/>
  <c r="M311" i="38" s="1"/>
  <c r="K217" i="38"/>
  <c r="L217" i="38" s="1"/>
  <c r="M217" i="38" s="1"/>
  <c r="K8" i="38"/>
  <c r="L8" i="38" s="1"/>
  <c r="M8" i="38" s="1"/>
  <c r="K237" i="38"/>
  <c r="L237" i="38" s="1"/>
  <c r="M237" i="38" s="1"/>
  <c r="K252" i="38"/>
  <c r="L252" i="38" s="1"/>
  <c r="M252" i="38" s="1"/>
  <c r="K64" i="38"/>
  <c r="L64" i="38" s="1"/>
  <c r="M64" i="38" s="1"/>
  <c r="K256" i="38"/>
  <c r="L256" i="38" s="1"/>
  <c r="M256" i="38" s="1"/>
  <c r="K307" i="38"/>
  <c r="L307" i="38" s="1"/>
  <c r="M307" i="38" s="1"/>
  <c r="K85" i="38"/>
  <c r="L85" i="38" s="1"/>
  <c r="M85" i="38" s="1"/>
  <c r="K194" i="38"/>
  <c r="L194" i="38" s="1"/>
  <c r="M194" i="38" s="1"/>
  <c r="K283" i="38"/>
  <c r="L283" i="38" s="1"/>
  <c r="M283" i="38" s="1"/>
  <c r="K112" i="38"/>
  <c r="L112" i="38" s="1"/>
  <c r="M112" i="38" s="1"/>
  <c r="K189" i="38"/>
  <c r="L189" i="38" s="1"/>
  <c r="M189" i="38" s="1"/>
  <c r="K245" i="38"/>
  <c r="L245" i="38" s="1"/>
  <c r="M245" i="38" s="1"/>
  <c r="K74" i="38"/>
  <c r="L74" i="38" s="1"/>
  <c r="M74" i="38" s="1"/>
  <c r="K81" i="38"/>
  <c r="L81" i="38" s="1"/>
  <c r="M81" i="38" s="1"/>
  <c r="K205" i="38"/>
  <c r="L205" i="38" s="1"/>
  <c r="M205" i="38" s="1"/>
  <c r="K86" i="38"/>
  <c r="L86" i="38" s="1"/>
  <c r="M86" i="38" s="1"/>
  <c r="K28" i="38"/>
  <c r="L28" i="38" s="1"/>
  <c r="M28" i="38" s="1"/>
  <c r="K104" i="38"/>
  <c r="L104" i="38" s="1"/>
  <c r="M104" i="38" s="1"/>
  <c r="K265" i="38"/>
  <c r="L265" i="38" s="1"/>
  <c r="M265" i="38" s="1"/>
  <c r="K178" i="38"/>
  <c r="L178" i="38" s="1"/>
  <c r="M178" i="38" s="1"/>
  <c r="K187" i="38"/>
  <c r="L187" i="38" s="1"/>
  <c r="M187" i="38" s="1"/>
  <c r="K229" i="38"/>
  <c r="L229" i="38" s="1"/>
  <c r="M229" i="38" s="1"/>
  <c r="K121" i="38"/>
  <c r="L121" i="38" s="1"/>
  <c r="M121" i="38" s="1"/>
  <c r="K133" i="38"/>
  <c r="L133" i="38" s="1"/>
  <c r="M133" i="38" s="1"/>
  <c r="K248" i="38"/>
  <c r="L248" i="38" s="1"/>
  <c r="M248" i="38" s="1"/>
  <c r="K117" i="38"/>
  <c r="L117" i="38" s="1"/>
  <c r="M117" i="38" s="1"/>
  <c r="K171" i="38"/>
  <c r="L171" i="38" s="1"/>
  <c r="M171" i="38" s="1"/>
  <c r="K216" i="38"/>
  <c r="L216" i="38" s="1"/>
  <c r="M216" i="38" s="1"/>
  <c r="K93" i="38"/>
  <c r="L93" i="38" s="1"/>
  <c r="M93" i="38" s="1"/>
  <c r="K200" i="38"/>
  <c r="L200" i="38" s="1"/>
  <c r="M200" i="38" s="1"/>
  <c r="K183" i="38"/>
  <c r="L183" i="38" s="1"/>
  <c r="M183" i="38" s="1"/>
  <c r="K276" i="38"/>
  <c r="L276" i="38" s="1"/>
  <c r="M276" i="38" s="1"/>
  <c r="K153" i="38"/>
  <c r="L153" i="38" s="1"/>
  <c r="M153" i="38" s="1"/>
  <c r="K225" i="38"/>
  <c r="L225" i="38" s="1"/>
  <c r="M225" i="38" s="1"/>
  <c r="K24" i="38"/>
  <c r="L24" i="38" s="1"/>
  <c r="M24" i="38" s="1"/>
  <c r="K105" i="38"/>
  <c r="L105" i="38" s="1"/>
  <c r="M105" i="38" s="1"/>
  <c r="K218" i="38"/>
  <c r="L218" i="38" s="1"/>
  <c r="M218" i="38" s="1"/>
  <c r="K87" i="38"/>
  <c r="L87" i="38" s="1"/>
  <c r="M87" i="38" s="1"/>
  <c r="K36" i="38"/>
  <c r="L36" i="38" s="1"/>
  <c r="M36" i="38" s="1"/>
  <c r="K269" i="38"/>
  <c r="L269" i="38" s="1"/>
  <c r="M269" i="38" s="1"/>
  <c r="K268" i="38"/>
  <c r="L268" i="38" s="1"/>
  <c r="M268" i="38" s="1"/>
  <c r="K241" i="38"/>
  <c r="L241" i="38" s="1"/>
  <c r="M241" i="38" s="1"/>
  <c r="K73" i="38"/>
  <c r="L73" i="38" s="1"/>
  <c r="M73" i="38" s="1"/>
  <c r="K285" i="38"/>
  <c r="L285" i="38" s="1"/>
  <c r="M285" i="38" s="1"/>
  <c r="K315" i="38"/>
  <c r="L315" i="38" s="1"/>
  <c r="M315" i="38" s="1"/>
  <c r="K270" i="38"/>
  <c r="L270" i="38" s="1"/>
  <c r="M270" i="38" s="1"/>
  <c r="K137" i="38"/>
  <c r="L137" i="38" s="1"/>
  <c r="M137" i="38" s="1"/>
  <c r="K141" i="38"/>
  <c r="L141" i="38" s="1"/>
  <c r="M141" i="38" s="1"/>
  <c r="K277" i="38"/>
  <c r="L277" i="38" s="1"/>
  <c r="M277" i="38" s="1"/>
  <c r="K97" i="38"/>
  <c r="L97" i="38" s="1"/>
  <c r="M97" i="38" s="1"/>
  <c r="K236" i="38"/>
  <c r="L236" i="38" s="1"/>
  <c r="M236" i="38" s="1"/>
  <c r="K260" i="38"/>
  <c r="L260" i="38" s="1"/>
  <c r="M260" i="38" s="1"/>
  <c r="K221" i="38"/>
  <c r="L221" i="38" s="1"/>
  <c r="M221" i="38" s="1"/>
  <c r="K240" i="38"/>
  <c r="L240" i="38" s="1"/>
  <c r="M240" i="38" s="1"/>
  <c r="K79" i="38"/>
  <c r="L79" i="38" s="1"/>
  <c r="M79" i="38" s="1"/>
  <c r="K32" i="38"/>
  <c r="L32" i="38" s="1"/>
  <c r="M32" i="38" s="1"/>
  <c r="K281" i="38"/>
  <c r="L281" i="38" s="1"/>
  <c r="M281" i="38" s="1"/>
  <c r="K125" i="38"/>
  <c r="L125" i="38" s="1"/>
  <c r="M125" i="38" s="1"/>
  <c r="K75" i="38"/>
  <c r="L75" i="38" s="1"/>
  <c r="M75" i="38" s="1"/>
  <c r="K69" i="38"/>
  <c r="L69" i="38" s="1"/>
  <c r="M69" i="38" s="1"/>
  <c r="K12" i="38"/>
  <c r="L12" i="38" s="1"/>
  <c r="M12" i="38" s="1"/>
  <c r="K173" i="38"/>
  <c r="L173" i="38" s="1"/>
  <c r="M173" i="38" s="1"/>
  <c r="K266" i="38"/>
  <c r="L266" i="38" s="1"/>
  <c r="M266" i="38" s="1"/>
  <c r="K48" i="38"/>
  <c r="L48" i="38" s="1"/>
  <c r="M48" i="38" s="1"/>
  <c r="K134" i="38"/>
  <c r="L134" i="38" s="1"/>
  <c r="M134" i="38" s="1"/>
  <c r="K228" i="38"/>
  <c r="L228" i="38" s="1"/>
  <c r="M228" i="38" s="1"/>
  <c r="K56" i="38"/>
  <c r="L56" i="38" s="1"/>
  <c r="M56" i="38" s="1"/>
  <c r="K108" i="38"/>
  <c r="L108" i="38" s="1"/>
  <c r="M108" i="38" s="1"/>
  <c r="K258" i="38"/>
  <c r="L258" i="38" s="1"/>
  <c r="M258" i="38" s="1"/>
  <c r="K40" i="38"/>
  <c r="L40" i="38" s="1"/>
  <c r="M40" i="38" s="1"/>
  <c r="K94" i="38"/>
  <c r="L94" i="38" s="1"/>
  <c r="M94" i="38" s="1"/>
  <c r="K114" i="38"/>
  <c r="L114" i="38" s="1"/>
  <c r="M114" i="38" s="1"/>
  <c r="K60" i="38"/>
  <c r="L60" i="38" s="1"/>
  <c r="M60" i="38" s="1"/>
  <c r="K161" i="38"/>
  <c r="L161" i="38" s="1"/>
  <c r="M161" i="38" s="1"/>
  <c r="K106" i="38"/>
  <c r="L106" i="38" s="1"/>
  <c r="M106" i="38" s="1"/>
  <c r="K204" i="38"/>
  <c r="L204" i="38" s="1"/>
  <c r="M204" i="38" s="1"/>
  <c r="K148" i="38"/>
  <c r="L148" i="38" s="1"/>
  <c r="M148" i="38" s="1"/>
  <c r="K163" i="38"/>
  <c r="L163" i="38" s="1"/>
  <c r="M163" i="38" s="1"/>
  <c r="K190" i="38"/>
  <c r="L190" i="38" s="1"/>
  <c r="M190" i="38" s="1"/>
  <c r="K16" i="38"/>
  <c r="L16" i="38" s="1"/>
  <c r="M16" i="38" s="1"/>
  <c r="K242" i="38"/>
  <c r="L242" i="38" s="1"/>
  <c r="M242" i="38" s="1"/>
  <c r="K195" i="38"/>
  <c r="L195" i="38" s="1"/>
  <c r="M195" i="38" s="1"/>
  <c r="K52" i="38"/>
  <c r="L52" i="38" s="1"/>
  <c r="M52" i="38" s="1"/>
  <c r="K220" i="38"/>
  <c r="L220" i="38" s="1"/>
  <c r="M220" i="38" s="1"/>
  <c r="K233" i="38"/>
  <c r="L233" i="38" s="1"/>
  <c r="M233" i="38" s="1"/>
  <c r="K67" i="38"/>
  <c r="L67" i="38" s="1"/>
  <c r="M67" i="38" s="1"/>
  <c r="K20" i="38"/>
  <c r="L20" i="38" s="1"/>
  <c r="M20" i="38" s="1"/>
  <c r="K191" i="38"/>
  <c r="L191" i="38" s="1"/>
  <c r="M191" i="38" s="1"/>
  <c r="K303" i="38"/>
  <c r="L303" i="38" s="1"/>
  <c r="M303" i="38" s="1"/>
  <c r="K89" i="38"/>
  <c r="L89" i="38" s="1"/>
  <c r="M89" i="38" s="1"/>
  <c r="K169" i="38"/>
  <c r="L169" i="38" s="1"/>
  <c r="M169" i="38" s="1"/>
  <c r="K165" i="38"/>
  <c r="L165" i="38" s="1"/>
  <c r="M165" i="38" s="1"/>
  <c r="K44" i="38"/>
  <c r="L44" i="38" s="1"/>
  <c r="M44" i="38" s="1"/>
  <c r="K129" i="38"/>
  <c r="L129" i="38" s="1"/>
  <c r="M129" i="38" s="1"/>
  <c r="K267" i="38"/>
  <c r="L267" i="38" s="1"/>
  <c r="M267" i="38" s="1"/>
  <c r="K317" i="38"/>
  <c r="L317" i="38" s="1"/>
  <c r="M317" i="38" s="1"/>
  <c r="K274" i="38"/>
  <c r="L274" i="38" s="1"/>
  <c r="M274" i="38" s="1"/>
  <c r="K118" i="38"/>
  <c r="L118" i="38" s="1"/>
  <c r="M118" i="38" s="1"/>
  <c r="K17" i="38"/>
  <c r="L17" i="38" s="1"/>
  <c r="M17" i="38" s="1"/>
  <c r="K136" i="38"/>
  <c r="L136" i="38" s="1"/>
  <c r="M136" i="38" s="1"/>
  <c r="K306" i="38"/>
  <c r="L306" i="38" s="1"/>
  <c r="M306" i="38" s="1"/>
  <c r="K287" i="38"/>
  <c r="L287" i="38" s="1"/>
  <c r="M287" i="38" s="1"/>
  <c r="K180" i="38"/>
  <c r="L180" i="38" s="1"/>
  <c r="M180" i="38" s="1"/>
  <c r="K9" i="38"/>
  <c r="L9" i="38" s="1"/>
  <c r="M9" i="38" s="1"/>
  <c r="K149" i="38"/>
  <c r="L149" i="38" s="1"/>
  <c r="M149" i="38" s="1"/>
  <c r="K116" i="38"/>
  <c r="L116" i="38" s="1"/>
  <c r="M116" i="38" s="1"/>
  <c r="K45" i="38"/>
  <c r="L45" i="38" s="1"/>
  <c r="M45" i="38" s="1"/>
  <c r="K41" i="38"/>
  <c r="L41" i="38" s="1"/>
  <c r="M41" i="38" s="1"/>
  <c r="K302" i="38"/>
  <c r="L302" i="38" s="1"/>
  <c r="M302" i="38" s="1"/>
  <c r="K223" i="38"/>
  <c r="L223" i="38" s="1"/>
  <c r="M223" i="38" s="1"/>
  <c r="K109" i="38"/>
  <c r="L109" i="38" s="1"/>
  <c r="M109" i="38" s="1"/>
  <c r="K239" i="38"/>
  <c r="L239" i="38" s="1"/>
  <c r="M239" i="38" s="1"/>
  <c r="K80" i="38"/>
  <c r="L80" i="38" s="1"/>
  <c r="M80" i="38" s="1"/>
  <c r="K250" i="38"/>
  <c r="L250" i="38" s="1"/>
  <c r="M250" i="38" s="1"/>
  <c r="K29" i="38"/>
  <c r="L29" i="38" s="1"/>
  <c r="M29" i="38" s="1"/>
  <c r="K296" i="38"/>
  <c r="L296" i="38" s="1"/>
  <c r="M296" i="38" s="1"/>
  <c r="K214" i="38"/>
  <c r="L214" i="38" s="1"/>
  <c r="M214" i="38" s="1"/>
  <c r="K126" i="38"/>
  <c r="L126" i="38" s="1"/>
  <c r="M126" i="38" s="1"/>
  <c r="K100" i="38"/>
  <c r="L100" i="38" s="1"/>
  <c r="M100" i="38" s="1"/>
  <c r="K14" i="38"/>
  <c r="L14" i="38" s="1"/>
  <c r="M14" i="38" s="1"/>
  <c r="K13" i="38"/>
  <c r="L13" i="38" s="1"/>
  <c r="M13" i="38" s="1"/>
  <c r="K231" i="38"/>
  <c r="L231" i="38" s="1"/>
  <c r="M231" i="38" s="1"/>
  <c r="K162" i="38"/>
  <c r="L162" i="38" s="1"/>
  <c r="M162" i="38" s="1"/>
  <c r="K130" i="38"/>
  <c r="L130" i="38" s="1"/>
  <c r="M130" i="38" s="1"/>
  <c r="K158" i="38"/>
  <c r="L158" i="38" s="1"/>
  <c r="M158" i="38" s="1"/>
  <c r="K264" i="38"/>
  <c r="L264" i="38" s="1"/>
  <c r="M264" i="38" s="1"/>
  <c r="K310" i="38"/>
  <c r="L310" i="38" s="1"/>
  <c r="M310" i="38" s="1"/>
  <c r="K22" i="38"/>
  <c r="L22" i="38" s="1"/>
  <c r="M22" i="38" s="1"/>
  <c r="K251" i="38"/>
  <c r="L251" i="38" s="1"/>
  <c r="M251" i="38" s="1"/>
  <c r="K95" i="38"/>
  <c r="L95" i="38" s="1"/>
  <c r="M95" i="38" s="1"/>
  <c r="K143" i="38"/>
  <c r="L143" i="38" s="1"/>
  <c r="M143" i="38" s="1"/>
  <c r="K23" i="38"/>
  <c r="L23" i="38" s="1"/>
  <c r="M23" i="38" s="1"/>
  <c r="K155" i="38"/>
  <c r="L155" i="38" s="1"/>
  <c r="M155" i="38" s="1"/>
  <c r="K76" i="38"/>
  <c r="L76" i="38" s="1"/>
  <c r="M76" i="38" s="1"/>
  <c r="K207" i="38"/>
  <c r="L207" i="38" s="1"/>
  <c r="M207" i="38" s="1"/>
  <c r="K208" i="38"/>
  <c r="L208" i="38" s="1"/>
  <c r="M208" i="38" s="1"/>
  <c r="K27" i="38"/>
  <c r="L27" i="38" s="1"/>
  <c r="M27" i="38" s="1"/>
  <c r="K318" i="38"/>
  <c r="L318" i="38" s="1"/>
  <c r="M318" i="38" s="1"/>
  <c r="K31" i="38"/>
  <c r="L31" i="38" s="1"/>
  <c r="M31" i="38" s="1"/>
  <c r="K314" i="38"/>
  <c r="L314" i="38" s="1"/>
  <c r="M314" i="38" s="1"/>
  <c r="K257" i="38"/>
  <c r="L257" i="38" s="1"/>
  <c r="M257" i="38" s="1"/>
  <c r="K259" i="38"/>
  <c r="L259" i="38" s="1"/>
  <c r="M259" i="38" s="1"/>
  <c r="K284" i="38"/>
  <c r="L284" i="38" s="1"/>
  <c r="M284" i="38" s="1"/>
  <c r="K58" i="38"/>
  <c r="L58" i="38" s="1"/>
  <c r="M58" i="38" s="1"/>
  <c r="K206" i="38"/>
  <c r="L206" i="38" s="1"/>
  <c r="M206" i="38" s="1"/>
  <c r="K292" i="38"/>
  <c r="L292" i="38" s="1"/>
  <c r="M292" i="38" s="1"/>
  <c r="K150" i="38"/>
  <c r="L150" i="38" s="1"/>
  <c r="M150" i="38" s="1"/>
  <c r="K170" i="38"/>
  <c r="L170" i="38" s="1"/>
  <c r="M170" i="38" s="1"/>
  <c r="K15" i="38"/>
  <c r="L15" i="38" s="1"/>
  <c r="M15" i="38" s="1"/>
  <c r="K226" i="38"/>
  <c r="L226" i="38" s="1"/>
  <c r="M226" i="38" s="1"/>
  <c r="K111" i="38"/>
  <c r="L111" i="38" s="1"/>
  <c r="M111" i="38" s="1"/>
  <c r="K198" i="38"/>
  <c r="L198" i="38" s="1"/>
  <c r="M198" i="38" s="1"/>
  <c r="K288" i="38"/>
  <c r="L288" i="38" s="1"/>
  <c r="M288" i="38" s="1"/>
  <c r="K254" i="38"/>
  <c r="L254" i="38" s="1"/>
  <c r="M254" i="38" s="1"/>
  <c r="K289" i="38"/>
  <c r="L289" i="38" s="1"/>
  <c r="M289" i="38" s="1"/>
  <c r="K98" i="38"/>
  <c r="L98" i="38" s="1"/>
  <c r="M98" i="38" s="1"/>
  <c r="K253" i="38"/>
  <c r="L253" i="38" s="1"/>
  <c r="M253" i="38" s="1"/>
  <c r="K42" i="38"/>
  <c r="L42" i="38" s="1"/>
  <c r="M42" i="38" s="1"/>
  <c r="K83" i="38"/>
  <c r="L83" i="38" s="1"/>
  <c r="M83" i="38" s="1"/>
  <c r="K33" i="38"/>
  <c r="L33" i="38" s="1"/>
  <c r="M33" i="38" s="1"/>
  <c r="K186" i="38"/>
  <c r="L186" i="38" s="1"/>
  <c r="M186" i="38" s="1"/>
  <c r="K65" i="38"/>
  <c r="L65" i="38" s="1"/>
  <c r="M65" i="38" s="1"/>
  <c r="K139" i="38"/>
  <c r="L139" i="38" s="1"/>
  <c r="M139" i="38" s="1"/>
  <c r="K115" i="38"/>
  <c r="L115" i="38" s="1"/>
  <c r="M115" i="38" s="1"/>
  <c r="K230" i="38"/>
  <c r="L230" i="38" s="1"/>
  <c r="M230" i="38" s="1"/>
  <c r="K177" i="38"/>
  <c r="L177" i="38" s="1"/>
  <c r="M177" i="38" s="1"/>
  <c r="K290" i="38"/>
  <c r="L290" i="38" s="1"/>
  <c r="M290" i="38" s="1"/>
  <c r="K199" i="38"/>
  <c r="L199" i="38" s="1"/>
  <c r="M199" i="38" s="1"/>
  <c r="K211" i="38"/>
  <c r="L211" i="38" s="1"/>
  <c r="M211" i="38" s="1"/>
  <c r="K35" i="38"/>
  <c r="L35" i="38" s="1"/>
  <c r="M35" i="38" s="1"/>
  <c r="K10" i="38"/>
  <c r="L10" i="38" s="1"/>
  <c r="M10" i="38" s="1"/>
  <c r="K19" i="38"/>
  <c r="L19" i="38" s="1"/>
  <c r="M19" i="38" s="1"/>
  <c r="K172" i="38"/>
  <c r="L172" i="38" s="1"/>
  <c r="M172" i="38" s="1"/>
  <c r="K34" i="38"/>
  <c r="L34" i="38" s="1"/>
  <c r="M34" i="38" s="1"/>
  <c r="K243" i="38"/>
  <c r="L243" i="38" s="1"/>
  <c r="M243" i="38" s="1"/>
  <c r="K107" i="38"/>
  <c r="L107" i="38" s="1"/>
  <c r="M107" i="38" s="1"/>
  <c r="K279" i="38"/>
  <c r="L279" i="38" s="1"/>
  <c r="M279" i="38" s="1"/>
  <c r="K96" i="38"/>
  <c r="L96" i="38" s="1"/>
  <c r="M96" i="38" s="1"/>
  <c r="K25" i="38"/>
  <c r="L25" i="38" s="1"/>
  <c r="M25" i="38" s="1"/>
  <c r="K43" i="38"/>
  <c r="L43" i="38" s="1"/>
  <c r="M43" i="38" s="1"/>
  <c r="K159" i="38"/>
  <c r="L159" i="38" s="1"/>
  <c r="M159" i="38" s="1"/>
  <c r="K49" i="38"/>
  <c r="L49" i="38" s="1"/>
  <c r="M49" i="38" s="1"/>
  <c r="K38" i="38"/>
  <c r="L38" i="38" s="1"/>
  <c r="M38" i="38" s="1"/>
  <c r="K7" i="38"/>
  <c r="L7" i="38" s="1"/>
  <c r="M7" i="38" s="1"/>
  <c r="K18" i="38"/>
  <c r="L18" i="38" s="1"/>
  <c r="M18" i="38" s="1"/>
  <c r="K151" i="38"/>
  <c r="L151" i="38" s="1"/>
  <c r="M151" i="38" s="1"/>
  <c r="K144" i="38"/>
  <c r="L144" i="38" s="1"/>
  <c r="M144" i="38" s="1"/>
  <c r="K30" i="38"/>
  <c r="L30" i="38" s="1"/>
  <c r="M30" i="38" s="1"/>
  <c r="K305" i="38"/>
  <c r="L305" i="38" s="1"/>
  <c r="M305" i="38" s="1"/>
  <c r="K46" i="38"/>
  <c r="L46" i="38" s="1"/>
  <c r="M46" i="38" s="1"/>
  <c r="K261" i="38"/>
  <c r="L261" i="38" s="1"/>
  <c r="M261" i="38" s="1"/>
  <c r="K147" i="38"/>
  <c r="L147" i="38" s="1"/>
  <c r="M147" i="38" s="1"/>
  <c r="K39" i="38"/>
  <c r="L39" i="38" s="1"/>
  <c r="M39" i="38" s="1"/>
  <c r="K123" i="38"/>
  <c r="L123" i="38" s="1"/>
  <c r="M123" i="38" s="1"/>
  <c r="K166" i="38"/>
  <c r="L166" i="38" s="1"/>
  <c r="M166" i="38" s="1"/>
  <c r="K66" i="38"/>
  <c r="L66" i="38" s="1"/>
  <c r="M66" i="38" s="1"/>
  <c r="K179" i="38"/>
  <c r="L179" i="38" s="1"/>
  <c r="M179" i="38" s="1"/>
  <c r="K54" i="38"/>
  <c r="L54" i="38" s="1"/>
  <c r="M54" i="38" s="1"/>
  <c r="K82" i="38"/>
  <c r="L82" i="38" s="1"/>
  <c r="M82" i="38" s="1"/>
  <c r="K128" i="38"/>
  <c r="L128" i="38" s="1"/>
  <c r="M128" i="38" s="1"/>
  <c r="K312" i="38"/>
  <c r="L312" i="38" s="1"/>
  <c r="M312" i="38" s="1"/>
  <c r="K167" i="38"/>
  <c r="L167" i="38" s="1"/>
  <c r="M167" i="38" s="1"/>
  <c r="K174" i="38"/>
  <c r="L174" i="38" s="1"/>
  <c r="M174" i="38" s="1"/>
  <c r="K222" i="38"/>
  <c r="L222" i="38" s="1"/>
  <c r="M222" i="38" s="1"/>
  <c r="K37" i="38"/>
  <c r="L37" i="38" s="1"/>
  <c r="M37" i="38" s="1"/>
  <c r="K213" i="38"/>
  <c r="L213" i="38" s="1"/>
  <c r="M213" i="38" s="1"/>
  <c r="K77" i="38"/>
  <c r="L77" i="38" s="1"/>
  <c r="M77" i="38" s="1"/>
  <c r="K132" i="38"/>
  <c r="L132" i="38" s="1"/>
  <c r="M132" i="38" s="1"/>
  <c r="K26" i="38"/>
  <c r="L26" i="38" s="1"/>
  <c r="M26" i="38" s="1"/>
  <c r="K219" i="38"/>
  <c r="L219" i="38" s="1"/>
  <c r="M219" i="38" s="1"/>
  <c r="K175" i="38"/>
  <c r="L175" i="38" s="1"/>
  <c r="M175" i="38" s="1"/>
  <c r="K63" i="38"/>
  <c r="L63" i="38" s="1"/>
  <c r="M63" i="38" s="1"/>
  <c r="K188" i="38"/>
  <c r="L188" i="38" s="1"/>
  <c r="M188" i="38" s="1"/>
  <c r="K68" i="38"/>
  <c r="L68" i="38" s="1"/>
  <c r="M68" i="38" s="1"/>
  <c r="K59" i="38"/>
  <c r="L59" i="38" s="1"/>
  <c r="M59" i="38" s="1"/>
  <c r="K71" i="38"/>
  <c r="L71" i="38" s="1"/>
  <c r="M71" i="38" s="1"/>
  <c r="K102" i="38"/>
  <c r="L102" i="38" s="1"/>
  <c r="M102" i="38" s="1"/>
  <c r="K176" i="38"/>
  <c r="L176" i="38" s="1"/>
  <c r="M176" i="38" s="1"/>
  <c r="K201" i="38"/>
  <c r="L201" i="38" s="1"/>
  <c r="M201" i="38" s="1"/>
  <c r="K203" i="38"/>
  <c r="L203" i="38" s="1"/>
  <c r="M203" i="38" s="1"/>
  <c r="K61" i="38"/>
  <c r="L61" i="38" s="1"/>
  <c r="M61" i="38" s="1"/>
  <c r="K263" i="38"/>
  <c r="L263" i="38" s="1"/>
  <c r="M263" i="38" s="1"/>
  <c r="K297" i="38"/>
  <c r="L297" i="38" s="1"/>
  <c r="M297" i="38" s="1"/>
  <c r="K53" i="38"/>
  <c r="L53" i="38" s="1"/>
  <c r="M53" i="38" s="1"/>
  <c r="K127" i="38"/>
  <c r="L127" i="38" s="1"/>
  <c r="M127" i="38" s="1"/>
  <c r="K62" i="38"/>
  <c r="L62" i="38" s="1"/>
  <c r="M62" i="38" s="1"/>
  <c r="K140" i="38"/>
  <c r="L140" i="38" s="1"/>
  <c r="M140" i="38" s="1"/>
  <c r="K232" i="38"/>
  <c r="L232" i="38" s="1"/>
  <c r="M232" i="38" s="1"/>
  <c r="K184" i="38"/>
  <c r="L184" i="38" s="1"/>
  <c r="M184" i="38" s="1"/>
  <c r="K215" i="38"/>
  <c r="L215" i="38" s="1"/>
  <c r="M215" i="38" s="1"/>
  <c r="K50" i="38"/>
  <c r="L50" i="38" s="1"/>
  <c r="M50" i="38" s="1"/>
  <c r="K92" i="38"/>
  <c r="L92" i="38" s="1"/>
  <c r="M92" i="38" s="1"/>
  <c r="K210" i="38"/>
  <c r="L210" i="38" s="1"/>
  <c r="M210" i="38" s="1"/>
  <c r="K313" i="38"/>
  <c r="L313" i="38" s="1"/>
  <c r="M313" i="38" s="1"/>
  <c r="K271" i="38"/>
  <c r="L271" i="38" s="1"/>
  <c r="M271" i="38" s="1"/>
  <c r="K146" i="38"/>
  <c r="L146" i="38" s="1"/>
  <c r="M146" i="38" s="1"/>
  <c r="K88" i="38"/>
  <c r="L88" i="38" s="1"/>
  <c r="M88" i="38" s="1"/>
  <c r="K249" i="38"/>
  <c r="L249" i="38" s="1"/>
  <c r="M249" i="38" s="1"/>
  <c r="K280" i="38"/>
  <c r="L280" i="38" s="1"/>
  <c r="M280" i="38" s="1"/>
  <c r="K157" i="38"/>
  <c r="L157" i="38" s="1"/>
  <c r="M157" i="38" s="1"/>
  <c r="K193" i="38"/>
  <c r="L193" i="38" s="1"/>
  <c r="M193" i="38" s="1"/>
  <c r="K99" i="38"/>
  <c r="L99" i="38" s="1"/>
  <c r="M99" i="38" s="1"/>
  <c r="K309" i="38"/>
  <c r="L309" i="38" s="1"/>
  <c r="M309" i="38" s="1"/>
  <c r="K235" i="38"/>
  <c r="L235" i="38" s="1"/>
  <c r="M235" i="38" s="1"/>
  <c r="K119" i="38"/>
  <c r="L119" i="38" s="1"/>
  <c r="M119" i="38" s="1"/>
  <c r="K135" i="38"/>
  <c r="L135" i="38" s="1"/>
  <c r="M135" i="38" s="1"/>
  <c r="K47" i="38"/>
  <c r="L47" i="38" s="1"/>
  <c r="M47" i="38" s="1"/>
  <c r="K51" i="38"/>
  <c r="L51" i="38" s="1"/>
  <c r="M51" i="38" s="1"/>
  <c r="K227" i="38"/>
  <c r="L227" i="38" s="1"/>
  <c r="M227" i="38" s="1"/>
  <c r="K124" i="38"/>
  <c r="L124" i="38" s="1"/>
  <c r="M124" i="38" s="1"/>
  <c r="K168" i="38"/>
  <c r="L168" i="38" s="1"/>
  <c r="M168" i="38" s="1"/>
  <c r="K91" i="38"/>
  <c r="L91" i="38" s="1"/>
  <c r="M91" i="38" s="1"/>
  <c r="K113" i="38"/>
  <c r="L113" i="38" s="1"/>
  <c r="M113" i="38" s="1"/>
  <c r="K275" i="38"/>
  <c r="L275" i="38" s="1"/>
  <c r="M275" i="38" s="1"/>
  <c r="K192" i="38"/>
  <c r="L192" i="38" s="1"/>
  <c r="M192" i="38" s="1"/>
  <c r="K272" i="38"/>
  <c r="L272" i="38" s="1"/>
  <c r="M272" i="38" s="1"/>
  <c r="K304" i="38"/>
  <c r="L304" i="38" s="1"/>
  <c r="M304" i="38" s="1"/>
  <c r="K84" i="38"/>
  <c r="L84" i="38" s="1"/>
  <c r="M84" i="38" s="1"/>
  <c r="K224" i="38"/>
  <c r="L224" i="38" s="1"/>
  <c r="M224" i="38" s="1"/>
  <c r="K154" i="38"/>
  <c r="L154" i="38" s="1"/>
  <c r="M154" i="38" s="1"/>
  <c r="K6" i="38"/>
  <c r="L6" i="38" s="1"/>
  <c r="M6" i="38" s="1"/>
  <c r="K55" i="38"/>
  <c r="L55" i="38" s="1"/>
  <c r="M55" i="38" s="1"/>
  <c r="K244" i="38"/>
  <c r="L244" i="38" s="1"/>
  <c r="M244" i="38" s="1"/>
  <c r="K181" i="38"/>
  <c r="L181" i="38" s="1"/>
  <c r="M181" i="38" s="1"/>
  <c r="K298" i="38"/>
  <c r="L298" i="38" s="1"/>
  <c r="M298" i="38" s="1"/>
  <c r="K131" i="38"/>
  <c r="L131" i="38" s="1"/>
  <c r="M131" i="38" s="1"/>
  <c r="K301" i="38"/>
  <c r="L301" i="38" s="1"/>
  <c r="M301" i="38" s="1"/>
  <c r="K300" i="38"/>
  <c r="L300" i="38" s="1"/>
  <c r="M300" i="38" s="1"/>
  <c r="K4" i="38"/>
  <c r="K278" i="38"/>
  <c r="L278" i="38" s="1"/>
  <c r="M278" i="38" s="1"/>
  <c r="K57" i="38"/>
  <c r="L57" i="38" s="1"/>
  <c r="M57" i="38" s="1"/>
  <c r="K103" i="38"/>
  <c r="L103" i="38" s="1"/>
  <c r="M103" i="38" s="1"/>
  <c r="K11" i="38"/>
  <c r="L11" i="38" s="1"/>
  <c r="M11" i="38" s="1"/>
  <c r="K185" i="38"/>
  <c r="L185" i="38" s="1"/>
  <c r="M185" i="38" s="1"/>
  <c r="K70" i="38"/>
  <c r="L70" i="38" s="1"/>
  <c r="M70" i="38" s="1"/>
  <c r="K308" i="38"/>
  <c r="L308" i="38" s="1"/>
  <c r="M308" i="38" s="1"/>
  <c r="K282" i="38"/>
  <c r="L282" i="38" s="1"/>
  <c r="M282" i="38" s="1"/>
  <c r="K212" i="38"/>
  <c r="L212" i="38" s="1"/>
  <c r="M212" i="38" s="1"/>
  <c r="K294" i="38"/>
  <c r="L294" i="38" s="1"/>
  <c r="M294" i="38" s="1"/>
  <c r="K255" i="38"/>
  <c r="L255" i="38" s="1"/>
  <c r="M255" i="38" s="1"/>
  <c r="K316" i="38"/>
  <c r="L316" i="38" s="1"/>
  <c r="M316" i="38" s="1"/>
  <c r="K21" i="38"/>
  <c r="L21" i="38" s="1"/>
  <c r="M21" i="38" s="1"/>
  <c r="K72" i="38"/>
  <c r="L72" i="38" s="1"/>
  <c r="M72" i="38" s="1"/>
  <c r="K142" i="38"/>
  <c r="L142" i="38" s="1"/>
  <c r="M142" i="38" s="1"/>
  <c r="K291" i="38"/>
  <c r="L291" i="38" s="1"/>
  <c r="M291" i="38" s="1"/>
  <c r="K164" i="38"/>
  <c r="L164" i="38" s="1"/>
  <c r="M164" i="38" s="1"/>
  <c r="K286" i="38"/>
  <c r="L286" i="38" s="1"/>
  <c r="M286" i="38" s="1"/>
  <c r="K90" i="38"/>
  <c r="L90" i="38" s="1"/>
  <c r="M90" i="38" s="1"/>
  <c r="K196" i="38"/>
  <c r="L196" i="38" s="1"/>
  <c r="M196" i="38" s="1"/>
  <c r="K293" i="38"/>
  <c r="L293" i="38" s="1"/>
  <c r="M293" i="38" s="1"/>
  <c r="K197" i="38"/>
  <c r="L197" i="38" s="1"/>
  <c r="M197" i="38" s="1"/>
  <c r="K247" i="38"/>
  <c r="L247" i="38" s="1"/>
  <c r="M247" i="38" s="1"/>
  <c r="K120" i="38"/>
  <c r="L120" i="38" s="1"/>
  <c r="M120" i="38" s="1"/>
  <c r="K5" i="38"/>
  <c r="L5" i="38" s="1"/>
  <c r="M5" i="38" s="1"/>
  <c r="J3" i="37" a="1"/>
  <c r="J3" i="37" s="1"/>
  <c r="J3" i="36" a="1"/>
  <c r="J3" i="36" s="1"/>
  <c r="K4" i="36" l="1"/>
  <c r="L4" i="36" s="1"/>
  <c r="K319" i="36"/>
  <c r="L319" i="36" s="1"/>
  <c r="M319" i="36" s="1"/>
  <c r="N319" i="36" s="1"/>
  <c r="K320" i="36"/>
  <c r="L320" i="36" s="1"/>
  <c r="M320" i="36" s="1"/>
  <c r="N320" i="36" s="1"/>
  <c r="K319" i="37"/>
  <c r="L319" i="37" s="1"/>
  <c r="M319" i="37" s="1"/>
  <c r="K320" i="37"/>
  <c r="L320" i="37" s="1"/>
  <c r="M320" i="37" s="1"/>
  <c r="N320" i="38"/>
  <c r="K4" i="39"/>
  <c r="L4" i="39" s="1"/>
  <c r="K320" i="39"/>
  <c r="L320" i="39" s="1"/>
  <c r="M320" i="39" s="1"/>
  <c r="K319" i="39"/>
  <c r="L319" i="39" s="1"/>
  <c r="M319" i="39" s="1"/>
  <c r="N319" i="38"/>
  <c r="K311" i="39"/>
  <c r="L311" i="39" s="1"/>
  <c r="M311" i="39" s="1"/>
  <c r="K98" i="39"/>
  <c r="L98" i="39" s="1"/>
  <c r="M98" i="39" s="1"/>
  <c r="K25" i="39"/>
  <c r="L25" i="39" s="1"/>
  <c r="M25" i="39" s="1"/>
  <c r="K230" i="39"/>
  <c r="L230" i="39" s="1"/>
  <c r="M230" i="39" s="1"/>
  <c r="K302" i="39"/>
  <c r="L302" i="39" s="1"/>
  <c r="M302" i="39" s="1"/>
  <c r="K183" i="39"/>
  <c r="L183" i="39" s="1"/>
  <c r="M183" i="39" s="1"/>
  <c r="K165" i="39"/>
  <c r="L165" i="39" s="1"/>
  <c r="M165" i="39" s="1"/>
  <c r="K133" i="39"/>
  <c r="L133" i="39" s="1"/>
  <c r="M133" i="39" s="1"/>
  <c r="K96" i="39"/>
  <c r="L96" i="39" s="1"/>
  <c r="M96" i="39" s="1"/>
  <c r="K246" i="39"/>
  <c r="L246" i="39" s="1"/>
  <c r="M246" i="39" s="1"/>
  <c r="K224" i="39"/>
  <c r="L224" i="39" s="1"/>
  <c r="M224" i="39" s="1"/>
  <c r="K245" i="39"/>
  <c r="L245" i="39" s="1"/>
  <c r="M245" i="39" s="1"/>
  <c r="K19" i="39"/>
  <c r="L19" i="39" s="1"/>
  <c r="M19" i="39" s="1"/>
  <c r="K196" i="39"/>
  <c r="L196" i="39" s="1"/>
  <c r="M196" i="39" s="1"/>
  <c r="K50" i="39"/>
  <c r="L50" i="39" s="1"/>
  <c r="M50" i="39" s="1"/>
  <c r="K163" i="39"/>
  <c r="L163" i="39" s="1"/>
  <c r="M163" i="39" s="1"/>
  <c r="K105" i="39"/>
  <c r="L105" i="39" s="1"/>
  <c r="M105" i="39" s="1"/>
  <c r="K157" i="39"/>
  <c r="L157" i="39" s="1"/>
  <c r="M157" i="39" s="1"/>
  <c r="K299" i="39"/>
  <c r="L299" i="39" s="1"/>
  <c r="M299" i="39" s="1"/>
  <c r="K298" i="39"/>
  <c r="L298" i="39" s="1"/>
  <c r="M298" i="39" s="1"/>
  <c r="K233" i="39"/>
  <c r="L233" i="39" s="1"/>
  <c r="M233" i="39" s="1"/>
  <c r="K303" i="39"/>
  <c r="L303" i="39" s="1"/>
  <c r="M303" i="39" s="1"/>
  <c r="K153" i="39"/>
  <c r="L153" i="39" s="1"/>
  <c r="M153" i="39" s="1"/>
  <c r="K15" i="39"/>
  <c r="L15" i="39" s="1"/>
  <c r="M15" i="39" s="1"/>
  <c r="K79" i="39"/>
  <c r="L79" i="39" s="1"/>
  <c r="M79" i="39" s="1"/>
  <c r="K122" i="39"/>
  <c r="L122" i="39" s="1"/>
  <c r="M122" i="39" s="1"/>
  <c r="K129" i="39"/>
  <c r="L129" i="39" s="1"/>
  <c r="M129" i="39" s="1"/>
  <c r="K262" i="39"/>
  <c r="L262" i="39" s="1"/>
  <c r="M262" i="39" s="1"/>
  <c r="K155" i="39"/>
  <c r="L155" i="39" s="1"/>
  <c r="M155" i="39" s="1"/>
  <c r="K208" i="39"/>
  <c r="L208" i="39" s="1"/>
  <c r="M208" i="39" s="1"/>
  <c r="K286" i="39"/>
  <c r="L286" i="39" s="1"/>
  <c r="M286" i="39" s="1"/>
  <c r="K177" i="39"/>
  <c r="L177" i="39" s="1"/>
  <c r="M177" i="39" s="1"/>
  <c r="K69" i="39"/>
  <c r="L69" i="39" s="1"/>
  <c r="M69" i="39" s="1"/>
  <c r="K89" i="39"/>
  <c r="L89" i="39" s="1"/>
  <c r="M89" i="39" s="1"/>
  <c r="K11" i="39"/>
  <c r="L11" i="39" s="1"/>
  <c r="M11" i="39" s="1"/>
  <c r="K30" i="39"/>
  <c r="L30" i="39" s="1"/>
  <c r="M30" i="39" s="1"/>
  <c r="K270" i="39"/>
  <c r="L270" i="39" s="1"/>
  <c r="M270" i="39" s="1"/>
  <c r="K142" i="39"/>
  <c r="L142" i="39" s="1"/>
  <c r="M142" i="39" s="1"/>
  <c r="K249" i="39"/>
  <c r="L249" i="39" s="1"/>
  <c r="M249" i="39" s="1"/>
  <c r="K199" i="39"/>
  <c r="L199" i="39" s="1"/>
  <c r="M199" i="39" s="1"/>
  <c r="K241" i="39"/>
  <c r="L241" i="39" s="1"/>
  <c r="M241" i="39" s="1"/>
  <c r="K61" i="39"/>
  <c r="L61" i="39" s="1"/>
  <c r="M61" i="39" s="1"/>
  <c r="K187" i="39"/>
  <c r="L187" i="39" s="1"/>
  <c r="M187" i="39" s="1"/>
  <c r="K261" i="39"/>
  <c r="L261" i="39" s="1"/>
  <c r="M261" i="39" s="1"/>
  <c r="K126" i="39"/>
  <c r="L126" i="39" s="1"/>
  <c r="M126" i="39" s="1"/>
  <c r="K310" i="39"/>
  <c r="L310" i="39" s="1"/>
  <c r="M310" i="39" s="1"/>
  <c r="K56" i="39"/>
  <c r="L56" i="39" s="1"/>
  <c r="M56" i="39" s="1"/>
  <c r="K315" i="39"/>
  <c r="L315" i="39" s="1"/>
  <c r="M315" i="39" s="1"/>
  <c r="K235" i="39"/>
  <c r="L235" i="39" s="1"/>
  <c r="M235" i="39" s="1"/>
  <c r="K295" i="39"/>
  <c r="L295" i="39" s="1"/>
  <c r="M295" i="39" s="1"/>
  <c r="K70" i="39"/>
  <c r="L70" i="39" s="1"/>
  <c r="M70" i="39" s="1"/>
  <c r="K227" i="39"/>
  <c r="L227" i="39" s="1"/>
  <c r="M227" i="39" s="1"/>
  <c r="K219" i="39"/>
  <c r="L219" i="39" s="1"/>
  <c r="M219" i="39" s="1"/>
  <c r="K253" i="39"/>
  <c r="L253" i="39" s="1"/>
  <c r="M253" i="39" s="1"/>
  <c r="K81" i="39"/>
  <c r="L81" i="39" s="1"/>
  <c r="M81" i="39" s="1"/>
  <c r="K258" i="39"/>
  <c r="L258" i="39" s="1"/>
  <c r="M258" i="39" s="1"/>
  <c r="K16" i="39"/>
  <c r="L16" i="39" s="1"/>
  <c r="M16" i="39" s="1"/>
  <c r="K318" i="39"/>
  <c r="L318" i="39" s="1"/>
  <c r="M318" i="39" s="1"/>
  <c r="K207" i="39"/>
  <c r="L207" i="39" s="1"/>
  <c r="M207" i="39" s="1"/>
  <c r="K288" i="39"/>
  <c r="L288" i="39" s="1"/>
  <c r="M288" i="39" s="1"/>
  <c r="K121" i="39"/>
  <c r="L121" i="39" s="1"/>
  <c r="M121" i="39" s="1"/>
  <c r="K137" i="39"/>
  <c r="L137" i="39" s="1"/>
  <c r="M137" i="39" s="1"/>
  <c r="K147" i="39"/>
  <c r="L147" i="39" s="1"/>
  <c r="M147" i="39" s="1"/>
  <c r="K66" i="39"/>
  <c r="L66" i="39" s="1"/>
  <c r="M66" i="39" s="1"/>
  <c r="K42" i="39"/>
  <c r="L42" i="39" s="1"/>
  <c r="M42" i="39" s="1"/>
  <c r="K234" i="39"/>
  <c r="L234" i="39" s="1"/>
  <c r="M234" i="39" s="1"/>
  <c r="K204" i="39"/>
  <c r="L204" i="39" s="1"/>
  <c r="M204" i="39" s="1"/>
  <c r="K49" i="39"/>
  <c r="L49" i="39" s="1"/>
  <c r="M49" i="39" s="1"/>
  <c r="K65" i="39"/>
  <c r="L65" i="39" s="1"/>
  <c r="M65" i="39" s="1"/>
  <c r="K265" i="39"/>
  <c r="L265" i="39" s="1"/>
  <c r="M265" i="39" s="1"/>
  <c r="K314" i="39"/>
  <c r="L314" i="39" s="1"/>
  <c r="M314" i="39" s="1"/>
  <c r="K58" i="39"/>
  <c r="L58" i="39" s="1"/>
  <c r="M58" i="39" s="1"/>
  <c r="K60" i="39"/>
  <c r="L60" i="39" s="1"/>
  <c r="M60" i="39" s="1"/>
  <c r="K279" i="39"/>
  <c r="L279" i="39" s="1"/>
  <c r="M279" i="39" s="1"/>
  <c r="K77" i="39"/>
  <c r="L77" i="39" s="1"/>
  <c r="M77" i="39" s="1"/>
  <c r="K283" i="39"/>
  <c r="L283" i="39" s="1"/>
  <c r="M283" i="39" s="1"/>
  <c r="K209" i="39"/>
  <c r="L209" i="39" s="1"/>
  <c r="M209" i="39" s="1"/>
  <c r="K141" i="39"/>
  <c r="L141" i="39" s="1"/>
  <c r="M141" i="39" s="1"/>
  <c r="K307" i="39"/>
  <c r="L307" i="39" s="1"/>
  <c r="M307" i="39" s="1"/>
  <c r="K211" i="39"/>
  <c r="L211" i="39" s="1"/>
  <c r="M211" i="39" s="1"/>
  <c r="K57" i="39"/>
  <c r="L57" i="39" s="1"/>
  <c r="M57" i="39" s="1"/>
  <c r="K237" i="39"/>
  <c r="L237" i="39" s="1"/>
  <c r="M237" i="39" s="1"/>
  <c r="K125" i="39"/>
  <c r="L125" i="39" s="1"/>
  <c r="M125" i="39" s="1"/>
  <c r="K215" i="39"/>
  <c r="L215" i="39" s="1"/>
  <c r="M215" i="39" s="1"/>
  <c r="K203" i="39"/>
  <c r="L203" i="39" s="1"/>
  <c r="M203" i="39" s="1"/>
  <c r="K62" i="39"/>
  <c r="L62" i="39" s="1"/>
  <c r="M62" i="39" s="1"/>
  <c r="K173" i="39"/>
  <c r="L173" i="39" s="1"/>
  <c r="M173" i="39" s="1"/>
  <c r="K45" i="39"/>
  <c r="L45" i="39" s="1"/>
  <c r="M45" i="39" s="1"/>
  <c r="K216" i="39"/>
  <c r="L216" i="39" s="1"/>
  <c r="M216" i="39" s="1"/>
  <c r="K277" i="39"/>
  <c r="L277" i="39" s="1"/>
  <c r="M277" i="39" s="1"/>
  <c r="K34" i="39"/>
  <c r="L34" i="39" s="1"/>
  <c r="M34" i="39" s="1"/>
  <c r="K48" i="39"/>
  <c r="L48" i="39" s="1"/>
  <c r="M48" i="39" s="1"/>
  <c r="K73" i="39"/>
  <c r="L73" i="39" s="1"/>
  <c r="M73" i="39" s="1"/>
  <c r="K53" i="39"/>
  <c r="L53" i="39" s="1"/>
  <c r="M53" i="39" s="1"/>
  <c r="K223" i="39"/>
  <c r="L223" i="39" s="1"/>
  <c r="M223" i="39" s="1"/>
  <c r="K195" i="39"/>
  <c r="L195" i="39" s="1"/>
  <c r="M195" i="39" s="1"/>
  <c r="K114" i="39"/>
  <c r="L114" i="39" s="1"/>
  <c r="M114" i="39" s="1"/>
  <c r="K244" i="39"/>
  <c r="L244" i="39" s="1"/>
  <c r="M244" i="39" s="1"/>
  <c r="K85" i="39"/>
  <c r="L85" i="39" s="1"/>
  <c r="M85" i="39" s="1"/>
  <c r="K78" i="39"/>
  <c r="L78" i="39" s="1"/>
  <c r="M78" i="39" s="1"/>
  <c r="K217" i="39"/>
  <c r="L217" i="39" s="1"/>
  <c r="M217" i="39" s="1"/>
  <c r="K239" i="39"/>
  <c r="L239" i="39" s="1"/>
  <c r="M239" i="39" s="1"/>
  <c r="K32" i="39"/>
  <c r="L32" i="39" s="1"/>
  <c r="M32" i="39" s="1"/>
  <c r="K54" i="39"/>
  <c r="L54" i="39" s="1"/>
  <c r="M54" i="39" s="1"/>
  <c r="K94" i="39"/>
  <c r="L94" i="39" s="1"/>
  <c r="M94" i="39" s="1"/>
  <c r="K145" i="39"/>
  <c r="L145" i="39" s="1"/>
  <c r="M145" i="39" s="1"/>
  <c r="K21" i="39"/>
  <c r="L21" i="39" s="1"/>
  <c r="M21" i="39" s="1"/>
  <c r="K181" i="39"/>
  <c r="L181" i="39" s="1"/>
  <c r="M181" i="39" s="1"/>
  <c r="K257" i="39"/>
  <c r="L257" i="39" s="1"/>
  <c r="M257" i="39" s="1"/>
  <c r="K134" i="39"/>
  <c r="L134" i="39" s="1"/>
  <c r="M134" i="39" s="1"/>
  <c r="K7" i="39"/>
  <c r="L7" i="39" s="1"/>
  <c r="M7" i="39" s="1"/>
  <c r="K88" i="39"/>
  <c r="L88" i="39" s="1"/>
  <c r="M88" i="39" s="1"/>
  <c r="K68" i="39"/>
  <c r="L68" i="39" s="1"/>
  <c r="M68" i="39" s="1"/>
  <c r="K111" i="39"/>
  <c r="L111" i="39" s="1"/>
  <c r="M111" i="39" s="1"/>
  <c r="K43" i="39"/>
  <c r="L43" i="39" s="1"/>
  <c r="M43" i="39" s="1"/>
  <c r="K99" i="39"/>
  <c r="L99" i="39" s="1"/>
  <c r="M99" i="39" s="1"/>
  <c r="K136" i="39"/>
  <c r="L136" i="39" s="1"/>
  <c r="M136" i="39" s="1"/>
  <c r="K284" i="39"/>
  <c r="L284" i="39" s="1"/>
  <c r="M284" i="39" s="1"/>
  <c r="K312" i="39"/>
  <c r="L312" i="39" s="1"/>
  <c r="M312" i="39" s="1"/>
  <c r="K118" i="39"/>
  <c r="L118" i="39" s="1"/>
  <c r="M118" i="39" s="1"/>
  <c r="K38" i="39"/>
  <c r="L38" i="39" s="1"/>
  <c r="M38" i="39" s="1"/>
  <c r="K289" i="39"/>
  <c r="L289" i="39" s="1"/>
  <c r="M289" i="39" s="1"/>
  <c r="K140" i="39"/>
  <c r="L140" i="39" s="1"/>
  <c r="M140" i="39" s="1"/>
  <c r="K256" i="39"/>
  <c r="L256" i="39" s="1"/>
  <c r="M256" i="39" s="1"/>
  <c r="K188" i="39"/>
  <c r="L188" i="39" s="1"/>
  <c r="M188" i="39" s="1"/>
  <c r="K22" i="39"/>
  <c r="L22" i="39" s="1"/>
  <c r="M22" i="39" s="1"/>
  <c r="K172" i="39"/>
  <c r="L172" i="39" s="1"/>
  <c r="M172" i="39" s="1"/>
  <c r="K144" i="39"/>
  <c r="L144" i="39" s="1"/>
  <c r="M144" i="39" s="1"/>
  <c r="K151" i="39"/>
  <c r="L151" i="39" s="1"/>
  <c r="M151" i="39" s="1"/>
  <c r="K226" i="39"/>
  <c r="L226" i="39" s="1"/>
  <c r="M226" i="39" s="1"/>
  <c r="K148" i="39"/>
  <c r="L148" i="39" s="1"/>
  <c r="M148" i="39" s="1"/>
  <c r="K162" i="39"/>
  <c r="L162" i="39" s="1"/>
  <c r="M162" i="39" s="1"/>
  <c r="K37" i="39"/>
  <c r="L37" i="39" s="1"/>
  <c r="M37" i="39" s="1"/>
  <c r="K20" i="39"/>
  <c r="L20" i="39" s="1"/>
  <c r="M20" i="39" s="1"/>
  <c r="K305" i="39"/>
  <c r="L305" i="39" s="1"/>
  <c r="M305" i="39" s="1"/>
  <c r="K276" i="39"/>
  <c r="L276" i="39" s="1"/>
  <c r="M276" i="39" s="1"/>
  <c r="K9" i="39"/>
  <c r="L9" i="39" s="1"/>
  <c r="M9" i="39" s="1"/>
  <c r="K8" i="39"/>
  <c r="L8" i="39" s="1"/>
  <c r="M8" i="39" s="1"/>
  <c r="K304" i="39"/>
  <c r="L304" i="39" s="1"/>
  <c r="M304" i="39" s="1"/>
  <c r="K180" i="39"/>
  <c r="L180" i="39" s="1"/>
  <c r="M180" i="39" s="1"/>
  <c r="K313" i="39"/>
  <c r="L313" i="39" s="1"/>
  <c r="M313" i="39" s="1"/>
  <c r="K154" i="39"/>
  <c r="L154" i="39" s="1"/>
  <c r="M154" i="39" s="1"/>
  <c r="K12" i="39"/>
  <c r="L12" i="39" s="1"/>
  <c r="M12" i="39" s="1"/>
  <c r="K251" i="39"/>
  <c r="L251" i="39" s="1"/>
  <c r="M251" i="39" s="1"/>
  <c r="K212" i="39"/>
  <c r="L212" i="39" s="1"/>
  <c r="M212" i="39" s="1"/>
  <c r="K248" i="39"/>
  <c r="L248" i="39" s="1"/>
  <c r="M248" i="39" s="1"/>
  <c r="K90" i="39"/>
  <c r="L90" i="39" s="1"/>
  <c r="M90" i="39" s="1"/>
  <c r="K293" i="39"/>
  <c r="L293" i="39" s="1"/>
  <c r="M293" i="39" s="1"/>
  <c r="K164" i="39"/>
  <c r="L164" i="39" s="1"/>
  <c r="M164" i="39" s="1"/>
  <c r="K214" i="39"/>
  <c r="L214" i="39" s="1"/>
  <c r="M214" i="39" s="1"/>
  <c r="K182" i="39"/>
  <c r="L182" i="39" s="1"/>
  <c r="M182" i="39" s="1"/>
  <c r="K294" i="39"/>
  <c r="L294" i="39" s="1"/>
  <c r="M294" i="39" s="1"/>
  <c r="K106" i="39"/>
  <c r="L106" i="39" s="1"/>
  <c r="M106" i="39" s="1"/>
  <c r="K167" i="39"/>
  <c r="L167" i="39" s="1"/>
  <c r="M167" i="39" s="1"/>
  <c r="K231" i="39"/>
  <c r="L231" i="39" s="1"/>
  <c r="M231" i="39" s="1"/>
  <c r="K272" i="39"/>
  <c r="L272" i="39" s="1"/>
  <c r="M272" i="39" s="1"/>
  <c r="K176" i="39"/>
  <c r="L176" i="39" s="1"/>
  <c r="M176" i="39" s="1"/>
  <c r="K206" i="39"/>
  <c r="L206" i="39" s="1"/>
  <c r="M206" i="39" s="1"/>
  <c r="K240" i="39"/>
  <c r="L240" i="39" s="1"/>
  <c r="M240" i="39" s="1"/>
  <c r="K161" i="39"/>
  <c r="L161" i="39" s="1"/>
  <c r="M161" i="39" s="1"/>
  <c r="K179" i="39"/>
  <c r="L179" i="39" s="1"/>
  <c r="M179" i="39" s="1"/>
  <c r="K287" i="39"/>
  <c r="L287" i="39" s="1"/>
  <c r="M287" i="39" s="1"/>
  <c r="K112" i="39"/>
  <c r="L112" i="39" s="1"/>
  <c r="M112" i="39" s="1"/>
  <c r="K242" i="39"/>
  <c r="L242" i="39" s="1"/>
  <c r="M242" i="39" s="1"/>
  <c r="K29" i="39"/>
  <c r="L29" i="39" s="1"/>
  <c r="M29" i="39" s="1"/>
  <c r="K178" i="39"/>
  <c r="L178" i="39" s="1"/>
  <c r="M178" i="39" s="1"/>
  <c r="K280" i="39"/>
  <c r="L280" i="39" s="1"/>
  <c r="M280" i="39" s="1"/>
  <c r="K268" i="39"/>
  <c r="L268" i="39" s="1"/>
  <c r="M268" i="39" s="1"/>
  <c r="K143" i="39"/>
  <c r="L143" i="39" s="1"/>
  <c r="M143" i="39" s="1"/>
  <c r="K93" i="39"/>
  <c r="L93" i="39" s="1"/>
  <c r="M93" i="39" s="1"/>
  <c r="K194" i="39"/>
  <c r="L194" i="39" s="1"/>
  <c r="M194" i="39" s="1"/>
  <c r="K254" i="39"/>
  <c r="L254" i="39" s="1"/>
  <c r="M254" i="39" s="1"/>
  <c r="K259" i="39"/>
  <c r="L259" i="39" s="1"/>
  <c r="M259" i="39" s="1"/>
  <c r="K222" i="39"/>
  <c r="L222" i="39" s="1"/>
  <c r="M222" i="39" s="1"/>
  <c r="K317" i="39"/>
  <c r="L317" i="39" s="1"/>
  <c r="M317" i="39" s="1"/>
  <c r="K192" i="39"/>
  <c r="L192" i="39" s="1"/>
  <c r="M192" i="39" s="1"/>
  <c r="K220" i="39"/>
  <c r="L220" i="39" s="1"/>
  <c r="M220" i="39" s="1"/>
  <c r="K213" i="39"/>
  <c r="L213" i="39" s="1"/>
  <c r="M213" i="39" s="1"/>
  <c r="K271" i="39"/>
  <c r="L271" i="39" s="1"/>
  <c r="M271" i="39" s="1"/>
  <c r="K131" i="39"/>
  <c r="L131" i="39" s="1"/>
  <c r="M131" i="39" s="1"/>
  <c r="K115" i="39"/>
  <c r="L115" i="39" s="1"/>
  <c r="M115" i="39" s="1"/>
  <c r="K159" i="39"/>
  <c r="L159" i="39" s="1"/>
  <c r="M159" i="39" s="1"/>
  <c r="K285" i="39"/>
  <c r="L285" i="39" s="1"/>
  <c r="M285" i="39" s="1"/>
  <c r="K13" i="39"/>
  <c r="L13" i="39" s="1"/>
  <c r="M13" i="39" s="1"/>
  <c r="K263" i="39"/>
  <c r="L263" i="39" s="1"/>
  <c r="M263" i="39" s="1"/>
  <c r="K269" i="39"/>
  <c r="L269" i="39" s="1"/>
  <c r="M269" i="39" s="1"/>
  <c r="K275" i="39"/>
  <c r="L275" i="39" s="1"/>
  <c r="M275" i="39" s="1"/>
  <c r="K52" i="39"/>
  <c r="L52" i="39" s="1"/>
  <c r="M52" i="39" s="1"/>
  <c r="K139" i="39"/>
  <c r="L139" i="39" s="1"/>
  <c r="M139" i="39" s="1"/>
  <c r="K91" i="39"/>
  <c r="L91" i="39" s="1"/>
  <c r="M91" i="39" s="1"/>
  <c r="K127" i="39"/>
  <c r="L127" i="39" s="1"/>
  <c r="M127" i="39" s="1"/>
  <c r="K228" i="39"/>
  <c r="L228" i="39" s="1"/>
  <c r="M228" i="39" s="1"/>
  <c r="K243" i="39"/>
  <c r="L243" i="39" s="1"/>
  <c r="M243" i="39" s="1"/>
  <c r="K290" i="39"/>
  <c r="L290" i="39" s="1"/>
  <c r="M290" i="39" s="1"/>
  <c r="K107" i="39"/>
  <c r="L107" i="39" s="1"/>
  <c r="M107" i="39" s="1"/>
  <c r="K300" i="39"/>
  <c r="L300" i="39" s="1"/>
  <c r="M300" i="39" s="1"/>
  <c r="K119" i="39"/>
  <c r="L119" i="39" s="1"/>
  <c r="M119" i="39" s="1"/>
  <c r="K205" i="39"/>
  <c r="L205" i="39" s="1"/>
  <c r="M205" i="39" s="1"/>
  <c r="K46" i="39"/>
  <c r="L46" i="39" s="1"/>
  <c r="M46" i="39" s="1"/>
  <c r="K174" i="39"/>
  <c r="L174" i="39" s="1"/>
  <c r="M174" i="39" s="1"/>
  <c r="K6" i="39"/>
  <c r="L6" i="39" s="1"/>
  <c r="M6" i="39" s="1"/>
  <c r="K55" i="39"/>
  <c r="L55" i="39" s="1"/>
  <c r="M55" i="39" s="1"/>
  <c r="K33" i="39"/>
  <c r="L33" i="39" s="1"/>
  <c r="M33" i="39" s="1"/>
  <c r="K80" i="39"/>
  <c r="L80" i="39" s="1"/>
  <c r="M80" i="39" s="1"/>
  <c r="K101" i="39"/>
  <c r="L101" i="39" s="1"/>
  <c r="M101" i="39" s="1"/>
  <c r="K84" i="39"/>
  <c r="L84" i="39" s="1"/>
  <c r="M84" i="39" s="1"/>
  <c r="K185" i="39"/>
  <c r="L185" i="39" s="1"/>
  <c r="M185" i="39" s="1"/>
  <c r="K273" i="39"/>
  <c r="L273" i="39" s="1"/>
  <c r="M273" i="39" s="1"/>
  <c r="K95" i="39"/>
  <c r="L95" i="39" s="1"/>
  <c r="M95" i="39" s="1"/>
  <c r="K189" i="39"/>
  <c r="L189" i="39" s="1"/>
  <c r="M189" i="39" s="1"/>
  <c r="K252" i="39"/>
  <c r="L252" i="39" s="1"/>
  <c r="M252" i="39" s="1"/>
  <c r="K202" i="39"/>
  <c r="L202" i="39" s="1"/>
  <c r="M202" i="39" s="1"/>
  <c r="K236" i="39"/>
  <c r="L236" i="39" s="1"/>
  <c r="M236" i="39" s="1"/>
  <c r="K67" i="39"/>
  <c r="L67" i="39" s="1"/>
  <c r="M67" i="39" s="1"/>
  <c r="K97" i="39"/>
  <c r="L97" i="39" s="1"/>
  <c r="M97" i="39" s="1"/>
  <c r="K175" i="39"/>
  <c r="L175" i="39" s="1"/>
  <c r="M175" i="39" s="1"/>
  <c r="K135" i="39"/>
  <c r="L135" i="39" s="1"/>
  <c r="M135" i="39" s="1"/>
  <c r="K130" i="39"/>
  <c r="L130" i="39" s="1"/>
  <c r="M130" i="39" s="1"/>
  <c r="K24" i="39"/>
  <c r="L24" i="39" s="1"/>
  <c r="M24" i="39" s="1"/>
  <c r="K92" i="39"/>
  <c r="L92" i="39" s="1"/>
  <c r="M92" i="39" s="1"/>
  <c r="K267" i="39"/>
  <c r="L267" i="39" s="1"/>
  <c r="M267" i="39" s="1"/>
  <c r="K44" i="39"/>
  <c r="L44" i="39" s="1"/>
  <c r="M44" i="39" s="1"/>
  <c r="K201" i="39"/>
  <c r="L201" i="39" s="1"/>
  <c r="M201" i="39" s="1"/>
  <c r="K128" i="39"/>
  <c r="L128" i="39" s="1"/>
  <c r="M128" i="39" s="1"/>
  <c r="K35" i="39"/>
  <c r="L35" i="39" s="1"/>
  <c r="M35" i="39" s="1"/>
  <c r="K28" i="39"/>
  <c r="L28" i="39" s="1"/>
  <c r="M28" i="39" s="1"/>
  <c r="K292" i="39"/>
  <c r="L292" i="39" s="1"/>
  <c r="M292" i="39" s="1"/>
  <c r="K23" i="39"/>
  <c r="L23" i="39" s="1"/>
  <c r="M23" i="39" s="1"/>
  <c r="K229" i="39"/>
  <c r="L229" i="39" s="1"/>
  <c r="M229" i="39" s="1"/>
  <c r="K250" i="39"/>
  <c r="L250" i="39" s="1"/>
  <c r="M250" i="39" s="1"/>
  <c r="K309" i="39"/>
  <c r="L309" i="39" s="1"/>
  <c r="M309" i="39" s="1"/>
  <c r="K198" i="39"/>
  <c r="L198" i="39" s="1"/>
  <c r="M198" i="39" s="1"/>
  <c r="K18" i="39"/>
  <c r="L18" i="39" s="1"/>
  <c r="M18" i="39" s="1"/>
  <c r="K149" i="39"/>
  <c r="L149" i="39" s="1"/>
  <c r="M149" i="39" s="1"/>
  <c r="K82" i="39"/>
  <c r="L82" i="39" s="1"/>
  <c r="M82" i="39" s="1"/>
  <c r="K100" i="39"/>
  <c r="L100" i="39" s="1"/>
  <c r="M100" i="39" s="1"/>
  <c r="K260" i="39"/>
  <c r="L260" i="39" s="1"/>
  <c r="M260" i="39" s="1"/>
  <c r="K51" i="39"/>
  <c r="L51" i="39" s="1"/>
  <c r="M51" i="39" s="1"/>
  <c r="K301" i="39"/>
  <c r="L301" i="39" s="1"/>
  <c r="M301" i="39" s="1"/>
  <c r="K113" i="39"/>
  <c r="L113" i="39" s="1"/>
  <c r="M113" i="39" s="1"/>
  <c r="K238" i="39"/>
  <c r="L238" i="39" s="1"/>
  <c r="M238" i="39" s="1"/>
  <c r="K64" i="39"/>
  <c r="L64" i="39" s="1"/>
  <c r="M64" i="39" s="1"/>
  <c r="K308" i="39"/>
  <c r="L308" i="39" s="1"/>
  <c r="M308" i="39" s="1"/>
  <c r="K282" i="39"/>
  <c r="L282" i="39" s="1"/>
  <c r="M282" i="39" s="1"/>
  <c r="K59" i="39"/>
  <c r="L59" i="39" s="1"/>
  <c r="M59" i="39" s="1"/>
  <c r="K138" i="39"/>
  <c r="L138" i="39" s="1"/>
  <c r="M138" i="39" s="1"/>
  <c r="K296" i="39"/>
  <c r="L296" i="39" s="1"/>
  <c r="M296" i="39" s="1"/>
  <c r="K291" i="39"/>
  <c r="L291" i="39" s="1"/>
  <c r="M291" i="39" s="1"/>
  <c r="K71" i="39"/>
  <c r="L71" i="39" s="1"/>
  <c r="M71" i="39" s="1"/>
  <c r="K255" i="39"/>
  <c r="L255" i="39" s="1"/>
  <c r="M255" i="39" s="1"/>
  <c r="K186" i="39"/>
  <c r="L186" i="39" s="1"/>
  <c r="M186" i="39" s="1"/>
  <c r="K316" i="39"/>
  <c r="L316" i="39" s="1"/>
  <c r="M316" i="39" s="1"/>
  <c r="K278" i="39"/>
  <c r="L278" i="39" s="1"/>
  <c r="M278" i="39" s="1"/>
  <c r="K120" i="39"/>
  <c r="L120" i="39" s="1"/>
  <c r="M120" i="39" s="1"/>
  <c r="K169" i="39"/>
  <c r="L169" i="39" s="1"/>
  <c r="M169" i="39" s="1"/>
  <c r="K191" i="39"/>
  <c r="L191" i="39" s="1"/>
  <c r="M191" i="39" s="1"/>
  <c r="K193" i="39"/>
  <c r="L193" i="39" s="1"/>
  <c r="M193" i="39" s="1"/>
  <c r="K102" i="39"/>
  <c r="L102" i="39" s="1"/>
  <c r="M102" i="39" s="1"/>
  <c r="K17" i="39"/>
  <c r="L17" i="39" s="1"/>
  <c r="M17" i="39" s="1"/>
  <c r="K232" i="39"/>
  <c r="L232" i="39" s="1"/>
  <c r="M232" i="39" s="1"/>
  <c r="K160" i="39"/>
  <c r="L160" i="39" s="1"/>
  <c r="M160" i="39" s="1"/>
  <c r="K63" i="39"/>
  <c r="L63" i="39" s="1"/>
  <c r="M63" i="39" s="1"/>
  <c r="K170" i="39"/>
  <c r="L170" i="39" s="1"/>
  <c r="M170" i="39" s="1"/>
  <c r="K274" i="39"/>
  <c r="L274" i="39" s="1"/>
  <c r="M274" i="39" s="1"/>
  <c r="K26" i="39"/>
  <c r="L26" i="39" s="1"/>
  <c r="M26" i="39" s="1"/>
  <c r="K109" i="39"/>
  <c r="L109" i="39" s="1"/>
  <c r="M109" i="39" s="1"/>
  <c r="K76" i="39"/>
  <c r="L76" i="39" s="1"/>
  <c r="M76" i="39" s="1"/>
  <c r="K158" i="39"/>
  <c r="L158" i="39" s="1"/>
  <c r="M158" i="39" s="1"/>
  <c r="K166" i="39"/>
  <c r="L166" i="39" s="1"/>
  <c r="M166" i="39" s="1"/>
  <c r="K264" i="39"/>
  <c r="L264" i="39" s="1"/>
  <c r="M264" i="39" s="1"/>
  <c r="K27" i="39"/>
  <c r="L27" i="39" s="1"/>
  <c r="M27" i="39" s="1"/>
  <c r="K197" i="39"/>
  <c r="L197" i="39" s="1"/>
  <c r="M197" i="39" s="1"/>
  <c r="K306" i="39"/>
  <c r="L306" i="39" s="1"/>
  <c r="M306" i="39" s="1"/>
  <c r="K184" i="39"/>
  <c r="L184" i="39" s="1"/>
  <c r="M184" i="39" s="1"/>
  <c r="K247" i="39"/>
  <c r="L247" i="39" s="1"/>
  <c r="M247" i="39" s="1"/>
  <c r="K297" i="39"/>
  <c r="L297" i="39" s="1"/>
  <c r="M297" i="39" s="1"/>
  <c r="K123" i="39"/>
  <c r="L123" i="39" s="1"/>
  <c r="M123" i="39" s="1"/>
  <c r="K36" i="39"/>
  <c r="L36" i="39" s="1"/>
  <c r="M36" i="39" s="1"/>
  <c r="K14" i="39"/>
  <c r="L14" i="39" s="1"/>
  <c r="M14" i="39" s="1"/>
  <c r="K74" i="39"/>
  <c r="L74" i="39" s="1"/>
  <c r="M74" i="39" s="1"/>
  <c r="K75" i="39"/>
  <c r="L75" i="39" s="1"/>
  <c r="M75" i="39" s="1"/>
  <c r="K47" i="39"/>
  <c r="L47" i="39" s="1"/>
  <c r="M47" i="39" s="1"/>
  <c r="K31" i="39"/>
  <c r="L31" i="39" s="1"/>
  <c r="M31" i="39" s="1"/>
  <c r="K146" i="39"/>
  <c r="L146" i="39" s="1"/>
  <c r="M146" i="39" s="1"/>
  <c r="K225" i="39"/>
  <c r="L225" i="39" s="1"/>
  <c r="M225" i="39" s="1"/>
  <c r="K72" i="39"/>
  <c r="L72" i="39" s="1"/>
  <c r="M72" i="39" s="1"/>
  <c r="K150" i="39"/>
  <c r="L150" i="39" s="1"/>
  <c r="M150" i="39" s="1"/>
  <c r="K168" i="39"/>
  <c r="L168" i="39" s="1"/>
  <c r="M168" i="39" s="1"/>
  <c r="K110" i="39"/>
  <c r="L110" i="39" s="1"/>
  <c r="M110" i="39" s="1"/>
  <c r="K41" i="39"/>
  <c r="L41" i="39" s="1"/>
  <c r="M41" i="39" s="1"/>
  <c r="K83" i="39"/>
  <c r="L83" i="39" s="1"/>
  <c r="M83" i="39" s="1"/>
  <c r="K10" i="39"/>
  <c r="L10" i="39" s="1"/>
  <c r="M10" i="39" s="1"/>
  <c r="K86" i="39"/>
  <c r="L86" i="39" s="1"/>
  <c r="M86" i="39" s="1"/>
  <c r="K108" i="39"/>
  <c r="L108" i="39" s="1"/>
  <c r="M108" i="39" s="1"/>
  <c r="K87" i="39"/>
  <c r="L87" i="39" s="1"/>
  <c r="M87" i="39" s="1"/>
  <c r="K190" i="39"/>
  <c r="L190" i="39" s="1"/>
  <c r="M190" i="39" s="1"/>
  <c r="K117" i="39"/>
  <c r="L117" i="39" s="1"/>
  <c r="M117" i="39" s="1"/>
  <c r="K221" i="39"/>
  <c r="L221" i="39" s="1"/>
  <c r="M221" i="39" s="1"/>
  <c r="K116" i="39"/>
  <c r="L116" i="39" s="1"/>
  <c r="M116" i="39" s="1"/>
  <c r="K218" i="39"/>
  <c r="L218" i="39" s="1"/>
  <c r="M218" i="39" s="1"/>
  <c r="K132" i="39"/>
  <c r="L132" i="39" s="1"/>
  <c r="M132" i="39" s="1"/>
  <c r="K104" i="39"/>
  <c r="L104" i="39" s="1"/>
  <c r="M104" i="39" s="1"/>
  <c r="K152" i="39"/>
  <c r="L152" i="39" s="1"/>
  <c r="M152" i="39" s="1"/>
  <c r="K156" i="39"/>
  <c r="L156" i="39" s="1"/>
  <c r="M156" i="39" s="1"/>
  <c r="K103" i="39"/>
  <c r="L103" i="39" s="1"/>
  <c r="M103" i="39" s="1"/>
  <c r="K39" i="39"/>
  <c r="L39" i="39" s="1"/>
  <c r="M39" i="39" s="1"/>
  <c r="K171" i="39"/>
  <c r="L171" i="39" s="1"/>
  <c r="M171" i="39" s="1"/>
  <c r="K40" i="39"/>
  <c r="L40" i="39" s="1"/>
  <c r="M40" i="39" s="1"/>
  <c r="K200" i="39"/>
  <c r="L200" i="39" s="1"/>
  <c r="M200" i="39" s="1"/>
  <c r="K266" i="39"/>
  <c r="L266" i="39" s="1"/>
  <c r="M266" i="39" s="1"/>
  <c r="K210" i="39"/>
  <c r="L210" i="39" s="1"/>
  <c r="M210" i="39" s="1"/>
  <c r="K124" i="39"/>
  <c r="L124" i="39" s="1"/>
  <c r="M124" i="39" s="1"/>
  <c r="K281" i="39"/>
  <c r="L281" i="39" s="1"/>
  <c r="M281" i="39" s="1"/>
  <c r="K5" i="39"/>
  <c r="L5" i="39" s="1"/>
  <c r="M5" i="39" s="1"/>
  <c r="N196" i="38"/>
  <c r="N193" i="38"/>
  <c r="N161" i="38"/>
  <c r="N11" i="38"/>
  <c r="N304" i="38"/>
  <c r="N210" i="38"/>
  <c r="N102" i="38"/>
  <c r="N312" i="38"/>
  <c r="N39" i="38"/>
  <c r="N279" i="38"/>
  <c r="N186" i="38"/>
  <c r="N206" i="38"/>
  <c r="N251" i="38"/>
  <c r="N250" i="38"/>
  <c r="N118" i="38"/>
  <c r="N89" i="38"/>
  <c r="N228" i="38"/>
  <c r="N97" i="38"/>
  <c r="N225" i="38"/>
  <c r="N104" i="38"/>
  <c r="N237" i="38"/>
  <c r="N238" i="38"/>
  <c r="N255" i="38"/>
  <c r="N181" i="38"/>
  <c r="N51" i="38"/>
  <c r="N92" i="38"/>
  <c r="N53" i="38"/>
  <c r="N132" i="38"/>
  <c r="N147" i="38"/>
  <c r="N107" i="38"/>
  <c r="N33" i="38"/>
  <c r="N58" i="38"/>
  <c r="N22" i="38"/>
  <c r="N80" i="38"/>
  <c r="N149" i="38"/>
  <c r="N303" i="38"/>
  <c r="N60" i="38"/>
  <c r="N281" i="38"/>
  <c r="N268" i="38"/>
  <c r="N248" i="38"/>
  <c r="N283" i="38"/>
  <c r="N202" i="38"/>
  <c r="N294" i="38"/>
  <c r="N192" i="38"/>
  <c r="N50" i="38"/>
  <c r="N77" i="38"/>
  <c r="N38" i="38"/>
  <c r="N83" i="38"/>
  <c r="N284" i="38"/>
  <c r="N14" i="38"/>
  <c r="N317" i="38"/>
  <c r="N16" i="38"/>
  <c r="N48" i="38"/>
  <c r="N141" i="38"/>
  <c r="N133" i="38"/>
  <c r="N145" i="38"/>
  <c r="N5" i="38"/>
  <c r="N55" i="38"/>
  <c r="N249" i="38"/>
  <c r="N213" i="38"/>
  <c r="N34" i="38"/>
  <c r="N259" i="38"/>
  <c r="N109" i="38"/>
  <c r="N20" i="38"/>
  <c r="N79" i="38"/>
  <c r="N183" i="38"/>
  <c r="N152" i="38"/>
  <c r="N184" i="38"/>
  <c r="N316" i="38"/>
  <c r="N298" i="38"/>
  <c r="N227" i="38"/>
  <c r="N127" i="38"/>
  <c r="N26" i="38"/>
  <c r="N18" i="38"/>
  <c r="N211" i="38"/>
  <c r="N288" i="38"/>
  <c r="N27" i="38"/>
  <c r="N231" i="38"/>
  <c r="N116" i="38"/>
  <c r="N195" i="38"/>
  <c r="N125" i="38"/>
  <c r="N241" i="38"/>
  <c r="N117" i="38"/>
  <c r="N112" i="38"/>
  <c r="N78" i="38"/>
  <c r="N90" i="38"/>
  <c r="N103" i="38"/>
  <c r="N272" i="38"/>
  <c r="N157" i="38"/>
  <c r="N71" i="38"/>
  <c r="N128" i="38"/>
  <c r="N7" i="38"/>
  <c r="N199" i="38"/>
  <c r="N198" i="38"/>
  <c r="N208" i="38"/>
  <c r="N13" i="38"/>
  <c r="N274" i="38"/>
  <c r="N242" i="38"/>
  <c r="N134" i="38"/>
  <c r="N277" i="38"/>
  <c r="N153" i="38"/>
  <c r="N28" i="38"/>
  <c r="N138" i="38"/>
  <c r="N286" i="38"/>
  <c r="N244" i="38"/>
  <c r="N280" i="38"/>
  <c r="N59" i="38"/>
  <c r="N261" i="38"/>
  <c r="N290" i="38"/>
  <c r="N207" i="38"/>
  <c r="N239" i="38"/>
  <c r="N191" i="38"/>
  <c r="N114" i="38"/>
  <c r="N32" i="38"/>
  <c r="N276" i="38"/>
  <c r="N160" i="38"/>
  <c r="N278" i="38"/>
  <c r="N263" i="38"/>
  <c r="N46" i="38"/>
  <c r="N42" i="38"/>
  <c r="N264" i="38"/>
  <c r="N267" i="38"/>
  <c r="N266" i="38"/>
  <c r="N137" i="38"/>
  <c r="N121" i="38"/>
  <c r="N120" i="38"/>
  <c r="N113" i="38"/>
  <c r="N61" i="38"/>
  <c r="N305" i="38"/>
  <c r="N230" i="38"/>
  <c r="N257" i="38"/>
  <c r="N126" i="38"/>
  <c r="N129" i="38"/>
  <c r="N40" i="38"/>
  <c r="N270" i="38"/>
  <c r="N229" i="38"/>
  <c r="N311" i="38"/>
  <c r="N247" i="38"/>
  <c r="N142" i="38"/>
  <c r="N308" i="38"/>
  <c r="N300" i="38"/>
  <c r="N154" i="38"/>
  <c r="N91" i="38"/>
  <c r="N235" i="38"/>
  <c r="N146" i="38"/>
  <c r="N232" i="38"/>
  <c r="N203" i="38"/>
  <c r="N63" i="38"/>
  <c r="N222" i="38"/>
  <c r="N66" i="38"/>
  <c r="N30" i="38"/>
  <c r="N43" i="38"/>
  <c r="N19" i="38"/>
  <c r="N115" i="38"/>
  <c r="N98" i="38"/>
  <c r="N170" i="38"/>
  <c r="N314" i="38"/>
  <c r="N23" i="38"/>
  <c r="N130" i="38"/>
  <c r="N214" i="38"/>
  <c r="N302" i="38"/>
  <c r="N306" i="38"/>
  <c r="N44" i="38"/>
  <c r="N233" i="38"/>
  <c r="N148" i="38"/>
  <c r="N258" i="38"/>
  <c r="N12" i="38"/>
  <c r="N221" i="38"/>
  <c r="N315" i="38"/>
  <c r="N218" i="38"/>
  <c r="N93" i="38"/>
  <c r="N187" i="38"/>
  <c r="N74" i="38"/>
  <c r="N256" i="38"/>
  <c r="N182" i="38"/>
  <c r="N110" i="38"/>
  <c r="N209" i="38"/>
  <c r="N8" i="38"/>
  <c r="N57" i="38"/>
  <c r="N47" i="38"/>
  <c r="N297" i="38"/>
  <c r="N82" i="38"/>
  <c r="N243" i="38"/>
  <c r="N111" i="38"/>
  <c r="N310" i="38"/>
  <c r="N9" i="38"/>
  <c r="N194" i="38"/>
  <c r="N212" i="38"/>
  <c r="N135" i="38"/>
  <c r="N68" i="38"/>
  <c r="N49" i="38"/>
  <c r="N226" i="38"/>
  <c r="N100" i="38"/>
  <c r="N190" i="38"/>
  <c r="N85" i="38"/>
  <c r="N291" i="38"/>
  <c r="K3" i="38" a="1"/>
  <c r="K3" i="38" s="1"/>
  <c r="L4" i="38"/>
  <c r="N119" i="38"/>
  <c r="N188" i="38"/>
  <c r="N179" i="38"/>
  <c r="N172" i="38"/>
  <c r="N15" i="38"/>
  <c r="N158" i="38"/>
  <c r="N223" i="38"/>
  <c r="N67" i="38"/>
  <c r="N173" i="38"/>
  <c r="N200" i="38"/>
  <c r="N246" i="38"/>
  <c r="N197" i="38"/>
  <c r="N72" i="38"/>
  <c r="N70" i="38"/>
  <c r="N301" i="38"/>
  <c r="N224" i="38"/>
  <c r="N168" i="38"/>
  <c r="N309" i="38"/>
  <c r="N271" i="38"/>
  <c r="N140" i="38"/>
  <c r="N201" i="38"/>
  <c r="N175" i="38"/>
  <c r="N174" i="38"/>
  <c r="N166" i="38"/>
  <c r="N144" i="38"/>
  <c r="N25" i="38"/>
  <c r="N10" i="38"/>
  <c r="N139" i="38"/>
  <c r="N289" i="38"/>
  <c r="N150" i="38"/>
  <c r="N31" i="38"/>
  <c r="N143" i="38"/>
  <c r="N296" i="38"/>
  <c r="N41" i="38"/>
  <c r="N136" i="38"/>
  <c r="N165" i="38"/>
  <c r="N220" i="38"/>
  <c r="N204" i="38"/>
  <c r="N108" i="38"/>
  <c r="N69" i="38"/>
  <c r="N260" i="38"/>
  <c r="N285" i="38"/>
  <c r="N105" i="38"/>
  <c r="N216" i="38"/>
  <c r="N178" i="38"/>
  <c r="N245" i="38"/>
  <c r="N64" i="38"/>
  <c r="N262" i="38"/>
  <c r="N101" i="38"/>
  <c r="N234" i="38"/>
  <c r="N269" i="38"/>
  <c r="N86" i="38"/>
  <c r="N217" i="38"/>
  <c r="N164" i="38"/>
  <c r="N275" i="38"/>
  <c r="N215" i="38"/>
  <c r="N54" i="38"/>
  <c r="N177" i="38"/>
  <c r="N76" i="38"/>
  <c r="N180" i="38"/>
  <c r="N94" i="38"/>
  <c r="N36" i="38"/>
  <c r="N205" i="38"/>
  <c r="N156" i="38"/>
  <c r="N282" i="38"/>
  <c r="N6" i="38"/>
  <c r="N88" i="38"/>
  <c r="N37" i="38"/>
  <c r="N159" i="38"/>
  <c r="N253" i="38"/>
  <c r="N155" i="38"/>
  <c r="N287" i="38"/>
  <c r="N163" i="38"/>
  <c r="N240" i="38"/>
  <c r="N87" i="38"/>
  <c r="N81" i="38"/>
  <c r="N307" i="38"/>
  <c r="N295" i="38"/>
  <c r="N293" i="38"/>
  <c r="N21" i="38"/>
  <c r="N185" i="38"/>
  <c r="N131" i="38"/>
  <c r="N84" i="38"/>
  <c r="N124" i="38"/>
  <c r="N99" i="38"/>
  <c r="N313" i="38"/>
  <c r="N62" i="38"/>
  <c r="N176" i="38"/>
  <c r="N219" i="38"/>
  <c r="N167" i="38"/>
  <c r="N123" i="38"/>
  <c r="N151" i="38"/>
  <c r="N96" i="38"/>
  <c r="N35" i="38"/>
  <c r="N65" i="38"/>
  <c r="N254" i="38"/>
  <c r="N292" i="38"/>
  <c r="N318" i="38"/>
  <c r="N95" i="38"/>
  <c r="N162" i="38"/>
  <c r="N29" i="38"/>
  <c r="N45" i="38"/>
  <c r="N17" i="38"/>
  <c r="N169" i="38"/>
  <c r="N52" i="38"/>
  <c r="N106" i="38"/>
  <c r="N56" i="38"/>
  <c r="N75" i="38"/>
  <c r="N236" i="38"/>
  <c r="N73" i="38"/>
  <c r="N24" i="38"/>
  <c r="N171" i="38"/>
  <c r="N265" i="38"/>
  <c r="N189" i="38"/>
  <c r="N252" i="38"/>
  <c r="N299" i="38"/>
  <c r="N122" i="38"/>
  <c r="N273" i="38"/>
  <c r="K263" i="37"/>
  <c r="L263" i="37" s="1"/>
  <c r="M263" i="37" s="1"/>
  <c r="N263" i="37" s="1"/>
  <c r="K292" i="37"/>
  <c r="L292" i="37" s="1"/>
  <c r="M292" i="37" s="1"/>
  <c r="N292" i="37" s="1"/>
  <c r="K157" i="37"/>
  <c r="L157" i="37" s="1"/>
  <c r="M157" i="37" s="1"/>
  <c r="N157" i="37" s="1"/>
  <c r="K152" i="37"/>
  <c r="L152" i="37" s="1"/>
  <c r="M152" i="37" s="1"/>
  <c r="N152" i="37" s="1"/>
  <c r="K13" i="37"/>
  <c r="L13" i="37" s="1"/>
  <c r="M13" i="37" s="1"/>
  <c r="N13" i="37" s="1"/>
  <c r="K9" i="37"/>
  <c r="L9" i="37" s="1"/>
  <c r="M9" i="37" s="1"/>
  <c r="N9" i="37" s="1"/>
  <c r="K42" i="37"/>
  <c r="L42" i="37" s="1"/>
  <c r="M42" i="37" s="1"/>
  <c r="N42" i="37" s="1"/>
  <c r="K173" i="37"/>
  <c r="L173" i="37" s="1"/>
  <c r="M173" i="37" s="1"/>
  <c r="N173" i="37" s="1"/>
  <c r="K302" i="37"/>
  <c r="L302" i="37" s="1"/>
  <c r="M302" i="37" s="1"/>
  <c r="N302" i="37" s="1"/>
  <c r="K79" i="37"/>
  <c r="L79" i="37" s="1"/>
  <c r="M79" i="37" s="1"/>
  <c r="N79" i="37" s="1"/>
  <c r="K208" i="37"/>
  <c r="L208" i="37" s="1"/>
  <c r="M208" i="37" s="1"/>
  <c r="N208" i="37" s="1"/>
  <c r="K220" i="37"/>
  <c r="L220" i="37" s="1"/>
  <c r="M220" i="37" s="1"/>
  <c r="N220" i="37" s="1"/>
  <c r="K245" i="37"/>
  <c r="L245" i="37" s="1"/>
  <c r="M245" i="37" s="1"/>
  <c r="N245" i="37" s="1"/>
  <c r="K195" i="37"/>
  <c r="L195" i="37" s="1"/>
  <c r="M195" i="37" s="1"/>
  <c r="N195" i="37" s="1"/>
  <c r="K295" i="37"/>
  <c r="L295" i="37" s="1"/>
  <c r="M295" i="37" s="1"/>
  <c r="N295" i="37" s="1"/>
  <c r="K160" i="37"/>
  <c r="L160" i="37" s="1"/>
  <c r="M160" i="37" s="1"/>
  <c r="N160" i="37" s="1"/>
  <c r="K282" i="37"/>
  <c r="L282" i="37" s="1"/>
  <c r="M282" i="37" s="1"/>
  <c r="N282" i="37" s="1"/>
  <c r="K288" i="37"/>
  <c r="L288" i="37" s="1"/>
  <c r="M288" i="37" s="1"/>
  <c r="N288" i="37" s="1"/>
  <c r="K161" i="37"/>
  <c r="L161" i="37" s="1"/>
  <c r="M161" i="37" s="1"/>
  <c r="N161" i="37" s="1"/>
  <c r="K290" i="37"/>
  <c r="L290" i="37" s="1"/>
  <c r="M290" i="37" s="1"/>
  <c r="N290" i="37" s="1"/>
  <c r="K28" i="37"/>
  <c r="L28" i="37" s="1"/>
  <c r="M28" i="37" s="1"/>
  <c r="N28" i="37" s="1"/>
  <c r="K252" i="37"/>
  <c r="L252" i="37" s="1"/>
  <c r="M252" i="37" s="1"/>
  <c r="N252" i="37" s="1"/>
  <c r="K134" i="37"/>
  <c r="L134" i="37" s="1"/>
  <c r="M134" i="37" s="1"/>
  <c r="N134" i="37" s="1"/>
  <c r="K315" i="37"/>
  <c r="L315" i="37" s="1"/>
  <c r="M315" i="37" s="1"/>
  <c r="N315" i="37" s="1"/>
  <c r="K250" i="37"/>
  <c r="L250" i="37" s="1"/>
  <c r="M250" i="37" s="1"/>
  <c r="N250" i="37" s="1"/>
  <c r="K119" i="37"/>
  <c r="L119" i="37" s="1"/>
  <c r="M119" i="37" s="1"/>
  <c r="N119" i="37" s="1"/>
  <c r="K204" i="37"/>
  <c r="L204" i="37" s="1"/>
  <c r="M204" i="37" s="1"/>
  <c r="N204" i="37" s="1"/>
  <c r="K260" i="37"/>
  <c r="L260" i="37" s="1"/>
  <c r="M260" i="37" s="1"/>
  <c r="N260" i="37" s="1"/>
  <c r="K86" i="37"/>
  <c r="L86" i="37" s="1"/>
  <c r="M86" i="37" s="1"/>
  <c r="N86" i="37" s="1"/>
  <c r="K32" i="37"/>
  <c r="L32" i="37" s="1"/>
  <c r="M32" i="37" s="1"/>
  <c r="N32" i="37" s="1"/>
  <c r="K108" i="37"/>
  <c r="L108" i="37" s="1"/>
  <c r="M108" i="37" s="1"/>
  <c r="N108" i="37" s="1"/>
  <c r="K278" i="37"/>
  <c r="L278" i="37" s="1"/>
  <c r="M278" i="37" s="1"/>
  <c r="N278" i="37" s="1"/>
  <c r="K151" i="37"/>
  <c r="L151" i="37" s="1"/>
  <c r="M151" i="37" s="1"/>
  <c r="N151" i="37" s="1"/>
  <c r="K243" i="37"/>
  <c r="L243" i="37" s="1"/>
  <c r="M243" i="37" s="1"/>
  <c r="N243" i="37" s="1"/>
  <c r="K303" i="37"/>
  <c r="L303" i="37" s="1"/>
  <c r="M303" i="37" s="1"/>
  <c r="N303" i="37" s="1"/>
  <c r="K271" i="37"/>
  <c r="L271" i="37" s="1"/>
  <c r="M271" i="37" s="1"/>
  <c r="N271" i="37" s="1"/>
  <c r="K216" i="37"/>
  <c r="L216" i="37" s="1"/>
  <c r="M216" i="37" s="1"/>
  <c r="N216" i="37" s="1"/>
  <c r="K179" i="37"/>
  <c r="L179" i="37" s="1"/>
  <c r="M179" i="37" s="1"/>
  <c r="N179" i="37" s="1"/>
  <c r="K147" i="37"/>
  <c r="L147" i="37" s="1"/>
  <c r="M147" i="37" s="1"/>
  <c r="N147" i="37" s="1"/>
  <c r="K63" i="37"/>
  <c r="L63" i="37" s="1"/>
  <c r="M63" i="37" s="1"/>
  <c r="N63" i="37" s="1"/>
  <c r="K264" i="37"/>
  <c r="L264" i="37" s="1"/>
  <c r="M264" i="37" s="1"/>
  <c r="N264" i="37" s="1"/>
  <c r="K311" i="37"/>
  <c r="L311" i="37" s="1"/>
  <c r="M311" i="37" s="1"/>
  <c r="N311" i="37" s="1"/>
  <c r="K247" i="37"/>
  <c r="L247" i="37" s="1"/>
  <c r="M247" i="37" s="1"/>
  <c r="N247" i="37" s="1"/>
  <c r="K299" i="37"/>
  <c r="L299" i="37" s="1"/>
  <c r="M299" i="37" s="1"/>
  <c r="N299" i="37" s="1"/>
  <c r="K257" i="37"/>
  <c r="L257" i="37" s="1"/>
  <c r="M257" i="37" s="1"/>
  <c r="N257" i="37" s="1"/>
  <c r="K310" i="37"/>
  <c r="L310" i="37" s="1"/>
  <c r="M310" i="37" s="1"/>
  <c r="N310" i="37" s="1"/>
  <c r="K275" i="37"/>
  <c r="L275" i="37" s="1"/>
  <c r="M275" i="37" s="1"/>
  <c r="N275" i="37" s="1"/>
  <c r="K256" i="37"/>
  <c r="L256" i="37" s="1"/>
  <c r="M256" i="37" s="1"/>
  <c r="N256" i="37" s="1"/>
  <c r="K64" i="37"/>
  <c r="L64" i="37" s="1"/>
  <c r="M64" i="37" s="1"/>
  <c r="N64" i="37" s="1"/>
  <c r="K249" i="37"/>
  <c r="L249" i="37" s="1"/>
  <c r="M249" i="37" s="1"/>
  <c r="N249" i="37" s="1"/>
  <c r="K68" i="37"/>
  <c r="L68" i="37" s="1"/>
  <c r="M68" i="37" s="1"/>
  <c r="N68" i="37" s="1"/>
  <c r="K52" i="37"/>
  <c r="L52" i="37" s="1"/>
  <c r="M52" i="37" s="1"/>
  <c r="N52" i="37" s="1"/>
  <c r="K156" i="37"/>
  <c r="L156" i="37" s="1"/>
  <c r="M156" i="37" s="1"/>
  <c r="N156" i="37" s="1"/>
  <c r="K254" i="37"/>
  <c r="L254" i="37" s="1"/>
  <c r="M254" i="37" s="1"/>
  <c r="N254" i="37" s="1"/>
  <c r="K259" i="37"/>
  <c r="L259" i="37" s="1"/>
  <c r="M259" i="37" s="1"/>
  <c r="N259" i="37" s="1"/>
  <c r="K258" i="37"/>
  <c r="L258" i="37" s="1"/>
  <c r="M258" i="37" s="1"/>
  <c r="N258" i="37" s="1"/>
  <c r="K307" i="37"/>
  <c r="L307" i="37" s="1"/>
  <c r="M307" i="37" s="1"/>
  <c r="N307" i="37" s="1"/>
  <c r="K135" i="37"/>
  <c r="L135" i="37" s="1"/>
  <c r="M135" i="37" s="1"/>
  <c r="N135" i="37" s="1"/>
  <c r="K56" i="37"/>
  <c r="L56" i="37" s="1"/>
  <c r="M56" i="37" s="1"/>
  <c r="N56" i="37" s="1"/>
  <c r="K5" i="37"/>
  <c r="L5" i="37" s="1"/>
  <c r="M5" i="37" s="1"/>
  <c r="N5" i="37" s="1"/>
  <c r="K181" i="37"/>
  <c r="L181" i="37" s="1"/>
  <c r="M181" i="37" s="1"/>
  <c r="N181" i="37" s="1"/>
  <c r="K281" i="37"/>
  <c r="L281" i="37" s="1"/>
  <c r="M281" i="37" s="1"/>
  <c r="N281" i="37" s="1"/>
  <c r="K150" i="37"/>
  <c r="L150" i="37" s="1"/>
  <c r="M150" i="37" s="1"/>
  <c r="N150" i="37" s="1"/>
  <c r="K136" i="37"/>
  <c r="L136" i="37" s="1"/>
  <c r="M136" i="37" s="1"/>
  <c r="N136" i="37" s="1"/>
  <c r="K286" i="37"/>
  <c r="L286" i="37" s="1"/>
  <c r="M286" i="37" s="1"/>
  <c r="N286" i="37" s="1"/>
  <c r="K76" i="37"/>
  <c r="L76" i="37" s="1"/>
  <c r="M76" i="37" s="1"/>
  <c r="N76" i="37" s="1"/>
  <c r="K50" i="37"/>
  <c r="L50" i="37" s="1"/>
  <c r="M50" i="37" s="1"/>
  <c r="N50" i="37" s="1"/>
  <c r="K189" i="37"/>
  <c r="L189" i="37" s="1"/>
  <c r="M189" i="37" s="1"/>
  <c r="N189" i="37" s="1"/>
  <c r="K7" i="37"/>
  <c r="L7" i="37" s="1"/>
  <c r="M7" i="37" s="1"/>
  <c r="N7" i="37" s="1"/>
  <c r="K225" i="37"/>
  <c r="L225" i="37" s="1"/>
  <c r="M225" i="37" s="1"/>
  <c r="N225" i="37" s="1"/>
  <c r="K70" i="37"/>
  <c r="L70" i="37" s="1"/>
  <c r="M70" i="37" s="1"/>
  <c r="N70" i="37" s="1"/>
  <c r="K62" i="37"/>
  <c r="L62" i="37" s="1"/>
  <c r="M62" i="37" s="1"/>
  <c r="N62" i="37" s="1"/>
  <c r="K213" i="37"/>
  <c r="L213" i="37" s="1"/>
  <c r="M213" i="37" s="1"/>
  <c r="N213" i="37" s="1"/>
  <c r="K67" i="37"/>
  <c r="L67" i="37" s="1"/>
  <c r="M67" i="37" s="1"/>
  <c r="N67" i="37" s="1"/>
  <c r="K91" i="37"/>
  <c r="L91" i="37" s="1"/>
  <c r="M91" i="37" s="1"/>
  <c r="N91" i="37" s="1"/>
  <c r="K211" i="37"/>
  <c r="L211" i="37" s="1"/>
  <c r="M211" i="37" s="1"/>
  <c r="N211" i="37" s="1"/>
  <c r="K132" i="37"/>
  <c r="L132" i="37" s="1"/>
  <c r="M132" i="37" s="1"/>
  <c r="N132" i="37" s="1"/>
  <c r="K126" i="37"/>
  <c r="L126" i="37" s="1"/>
  <c r="M126" i="37" s="1"/>
  <c r="N126" i="37" s="1"/>
  <c r="K255" i="37"/>
  <c r="L255" i="37" s="1"/>
  <c r="M255" i="37" s="1"/>
  <c r="N255" i="37" s="1"/>
  <c r="K20" i="37"/>
  <c r="L20" i="37" s="1"/>
  <c r="M20" i="37" s="1"/>
  <c r="N20" i="37" s="1"/>
  <c r="K25" i="37"/>
  <c r="L25" i="37" s="1"/>
  <c r="M25" i="37" s="1"/>
  <c r="N25" i="37" s="1"/>
  <c r="K128" i="37"/>
  <c r="L128" i="37" s="1"/>
  <c r="M128" i="37" s="1"/>
  <c r="N128" i="37" s="1"/>
  <c r="K37" i="37"/>
  <c r="L37" i="37" s="1"/>
  <c r="M37" i="37" s="1"/>
  <c r="N37" i="37" s="1"/>
  <c r="K89" i="37"/>
  <c r="L89" i="37" s="1"/>
  <c r="M89" i="37" s="1"/>
  <c r="N89" i="37" s="1"/>
  <c r="K172" i="37"/>
  <c r="L172" i="37" s="1"/>
  <c r="M172" i="37" s="1"/>
  <c r="N172" i="37" s="1"/>
  <c r="K144" i="37"/>
  <c r="L144" i="37" s="1"/>
  <c r="M144" i="37" s="1"/>
  <c r="N144" i="37" s="1"/>
  <c r="K165" i="37"/>
  <c r="L165" i="37" s="1"/>
  <c r="M165" i="37" s="1"/>
  <c r="N165" i="37" s="1"/>
  <c r="K112" i="37"/>
  <c r="L112" i="37" s="1"/>
  <c r="M112" i="37" s="1"/>
  <c r="N112" i="37" s="1"/>
  <c r="K60" i="37"/>
  <c r="L60" i="37" s="1"/>
  <c r="M60" i="37" s="1"/>
  <c r="N60" i="37" s="1"/>
  <c r="K140" i="37"/>
  <c r="L140" i="37" s="1"/>
  <c r="M140" i="37" s="1"/>
  <c r="N140" i="37" s="1"/>
  <c r="K177" i="37"/>
  <c r="L177" i="37" s="1"/>
  <c r="M177" i="37" s="1"/>
  <c r="N177" i="37" s="1"/>
  <c r="K262" i="37"/>
  <c r="L262" i="37" s="1"/>
  <c r="M262" i="37" s="1"/>
  <c r="N262" i="37" s="1"/>
  <c r="K188" i="37"/>
  <c r="L188" i="37" s="1"/>
  <c r="M188" i="37" s="1"/>
  <c r="N188" i="37" s="1"/>
  <c r="K35" i="37"/>
  <c r="L35" i="37" s="1"/>
  <c r="M35" i="37" s="1"/>
  <c r="N35" i="37" s="1"/>
  <c r="K74" i="37"/>
  <c r="L74" i="37" s="1"/>
  <c r="M74" i="37" s="1"/>
  <c r="N74" i="37" s="1"/>
  <c r="K274" i="37"/>
  <c r="L274" i="37" s="1"/>
  <c r="M274" i="37" s="1"/>
  <c r="N274" i="37" s="1"/>
  <c r="K24" i="37"/>
  <c r="L24" i="37" s="1"/>
  <c r="M24" i="37" s="1"/>
  <c r="N24" i="37" s="1"/>
  <c r="K92" i="37"/>
  <c r="L92" i="37" s="1"/>
  <c r="M92" i="37" s="1"/>
  <c r="N92" i="37" s="1"/>
  <c r="K66" i="37"/>
  <c r="L66" i="37" s="1"/>
  <c r="M66" i="37" s="1"/>
  <c r="N66" i="37" s="1"/>
  <c r="K11" i="37"/>
  <c r="L11" i="37" s="1"/>
  <c r="M11" i="37" s="1"/>
  <c r="N11" i="37" s="1"/>
  <c r="K8" i="37"/>
  <c r="L8" i="37" s="1"/>
  <c r="M8" i="37" s="1"/>
  <c r="N8" i="37" s="1"/>
  <c r="K168" i="37"/>
  <c r="L168" i="37" s="1"/>
  <c r="M168" i="37" s="1"/>
  <c r="N168" i="37" s="1"/>
  <c r="K59" i="37"/>
  <c r="L59" i="37" s="1"/>
  <c r="M59" i="37" s="1"/>
  <c r="N59" i="37" s="1"/>
  <c r="K267" i="37"/>
  <c r="L267" i="37" s="1"/>
  <c r="M267" i="37" s="1"/>
  <c r="N267" i="37" s="1"/>
  <c r="K80" i="37"/>
  <c r="L80" i="37" s="1"/>
  <c r="M80" i="37" s="1"/>
  <c r="N80" i="37" s="1"/>
  <c r="K47" i="37"/>
  <c r="L47" i="37" s="1"/>
  <c r="M47" i="37" s="1"/>
  <c r="N47" i="37" s="1"/>
  <c r="K209" i="37"/>
  <c r="L209" i="37" s="1"/>
  <c r="M209" i="37" s="1"/>
  <c r="N209" i="37" s="1"/>
  <c r="K169" i="37"/>
  <c r="L169" i="37" s="1"/>
  <c r="M169" i="37" s="1"/>
  <c r="N169" i="37" s="1"/>
  <c r="K148" i="37"/>
  <c r="L148" i="37" s="1"/>
  <c r="M148" i="37" s="1"/>
  <c r="N148" i="37" s="1"/>
  <c r="K12" i="37"/>
  <c r="L12" i="37" s="1"/>
  <c r="M12" i="37" s="1"/>
  <c r="N12" i="37" s="1"/>
  <c r="K23" i="37"/>
  <c r="L23" i="37" s="1"/>
  <c r="M23" i="37" s="1"/>
  <c r="N23" i="37" s="1"/>
  <c r="K170" i="37"/>
  <c r="L170" i="37" s="1"/>
  <c r="M170" i="37" s="1"/>
  <c r="N170" i="37" s="1"/>
  <c r="K193" i="37"/>
  <c r="L193" i="37" s="1"/>
  <c r="M193" i="37" s="1"/>
  <c r="N193" i="37" s="1"/>
  <c r="K197" i="37"/>
  <c r="L197" i="37" s="1"/>
  <c r="M197" i="37" s="1"/>
  <c r="N197" i="37" s="1"/>
  <c r="K16" i="37"/>
  <c r="L16" i="37" s="1"/>
  <c r="M16" i="37" s="1"/>
  <c r="N16" i="37" s="1"/>
  <c r="K19" i="37"/>
  <c r="L19" i="37" s="1"/>
  <c r="M19" i="37" s="1"/>
  <c r="N19" i="37" s="1"/>
  <c r="K104" i="37"/>
  <c r="L104" i="37" s="1"/>
  <c r="M104" i="37" s="1"/>
  <c r="N104" i="37" s="1"/>
  <c r="K283" i="37"/>
  <c r="L283" i="37" s="1"/>
  <c r="M283" i="37" s="1"/>
  <c r="N283" i="37" s="1"/>
  <c r="K15" i="37"/>
  <c r="L15" i="37" s="1"/>
  <c r="M15" i="37" s="1"/>
  <c r="N15" i="37" s="1"/>
  <c r="K253" i="37"/>
  <c r="L253" i="37" s="1"/>
  <c r="M253" i="37" s="1"/>
  <c r="N253" i="37" s="1"/>
  <c r="K235" i="37"/>
  <c r="L235" i="37" s="1"/>
  <c r="M235" i="37" s="1"/>
  <c r="N235" i="37" s="1"/>
  <c r="K75" i="37"/>
  <c r="L75" i="37" s="1"/>
  <c r="M75" i="37" s="1"/>
  <c r="N75" i="37" s="1"/>
  <c r="K142" i="37"/>
  <c r="L142" i="37" s="1"/>
  <c r="M142" i="37" s="1"/>
  <c r="N142" i="37" s="1"/>
  <c r="K71" i="37"/>
  <c r="L71" i="37" s="1"/>
  <c r="M71" i="37" s="1"/>
  <c r="N71" i="37" s="1"/>
  <c r="K129" i="37"/>
  <c r="L129" i="37" s="1"/>
  <c r="M129" i="37" s="1"/>
  <c r="N129" i="37" s="1"/>
  <c r="K26" i="37"/>
  <c r="L26" i="37" s="1"/>
  <c r="M26" i="37" s="1"/>
  <c r="N26" i="37" s="1"/>
  <c r="K285" i="37"/>
  <c r="L285" i="37" s="1"/>
  <c r="M285" i="37" s="1"/>
  <c r="N285" i="37" s="1"/>
  <c r="K58" i="37"/>
  <c r="L58" i="37" s="1"/>
  <c r="M58" i="37" s="1"/>
  <c r="N58" i="37" s="1"/>
  <c r="K81" i="37"/>
  <c r="L81" i="37" s="1"/>
  <c r="M81" i="37" s="1"/>
  <c r="N81" i="37" s="1"/>
  <c r="K36" i="37"/>
  <c r="L36" i="37" s="1"/>
  <c r="M36" i="37" s="1"/>
  <c r="N36" i="37" s="1"/>
  <c r="K96" i="37"/>
  <c r="L96" i="37" s="1"/>
  <c r="M96" i="37" s="1"/>
  <c r="N96" i="37" s="1"/>
  <c r="K233" i="37"/>
  <c r="L233" i="37" s="1"/>
  <c r="M233" i="37" s="1"/>
  <c r="N233" i="37" s="1"/>
  <c r="K93" i="37"/>
  <c r="L93" i="37" s="1"/>
  <c r="M93" i="37" s="1"/>
  <c r="N93" i="37" s="1"/>
  <c r="K269" i="37"/>
  <c r="L269" i="37" s="1"/>
  <c r="M269" i="37" s="1"/>
  <c r="N269" i="37" s="1"/>
  <c r="K218" i="37"/>
  <c r="L218" i="37" s="1"/>
  <c r="M218" i="37" s="1"/>
  <c r="N218" i="37" s="1"/>
  <c r="K133" i="37"/>
  <c r="L133" i="37" s="1"/>
  <c r="M133" i="37" s="1"/>
  <c r="N133" i="37" s="1"/>
  <c r="K217" i="37"/>
  <c r="L217" i="37" s="1"/>
  <c r="M217" i="37" s="1"/>
  <c r="N217" i="37" s="1"/>
  <c r="K186" i="37"/>
  <c r="L186" i="37" s="1"/>
  <c r="M186" i="37" s="1"/>
  <c r="N186" i="37" s="1"/>
  <c r="K77" i="37"/>
  <c r="L77" i="37" s="1"/>
  <c r="M77" i="37" s="1"/>
  <c r="N77" i="37" s="1"/>
  <c r="K229" i="37"/>
  <c r="L229" i="37" s="1"/>
  <c r="M229" i="37" s="1"/>
  <c r="N229" i="37" s="1"/>
  <c r="K237" i="37"/>
  <c r="L237" i="37" s="1"/>
  <c r="M237" i="37" s="1"/>
  <c r="N237" i="37" s="1"/>
  <c r="K318" i="37"/>
  <c r="L318" i="37" s="1"/>
  <c r="M318" i="37" s="1"/>
  <c r="N318" i="37" s="1"/>
  <c r="K313" i="37"/>
  <c r="L313" i="37" s="1"/>
  <c r="M313" i="37" s="1"/>
  <c r="N313" i="37" s="1"/>
  <c r="K214" i="37"/>
  <c r="L214" i="37" s="1"/>
  <c r="M214" i="37" s="1"/>
  <c r="N214" i="37" s="1"/>
  <c r="K99" i="37"/>
  <c r="L99" i="37" s="1"/>
  <c r="M99" i="37" s="1"/>
  <c r="N99" i="37" s="1"/>
  <c r="K194" i="37"/>
  <c r="L194" i="37" s="1"/>
  <c r="M194" i="37" s="1"/>
  <c r="N194" i="37" s="1"/>
  <c r="K196" i="37"/>
  <c r="L196" i="37" s="1"/>
  <c r="M196" i="37" s="1"/>
  <c r="N196" i="37" s="1"/>
  <c r="K65" i="37"/>
  <c r="L65" i="37" s="1"/>
  <c r="M65" i="37" s="1"/>
  <c r="N65" i="37" s="1"/>
  <c r="K158" i="37"/>
  <c r="L158" i="37" s="1"/>
  <c r="M158" i="37" s="1"/>
  <c r="N158" i="37" s="1"/>
  <c r="K29" i="37"/>
  <c r="L29" i="37" s="1"/>
  <c r="M29" i="37" s="1"/>
  <c r="N29" i="37" s="1"/>
  <c r="K248" i="37"/>
  <c r="L248" i="37" s="1"/>
  <c r="M248" i="37" s="1"/>
  <c r="N248" i="37" s="1"/>
  <c r="K174" i="37"/>
  <c r="L174" i="37" s="1"/>
  <c r="M174" i="37" s="1"/>
  <c r="N174" i="37" s="1"/>
  <c r="K164" i="37"/>
  <c r="L164" i="37" s="1"/>
  <c r="M164" i="37" s="1"/>
  <c r="N164" i="37" s="1"/>
  <c r="K238" i="37"/>
  <c r="L238" i="37" s="1"/>
  <c r="M238" i="37" s="1"/>
  <c r="N238" i="37" s="1"/>
  <c r="K280" i="37"/>
  <c r="L280" i="37" s="1"/>
  <c r="M280" i="37" s="1"/>
  <c r="N280" i="37" s="1"/>
  <c r="K240" i="37"/>
  <c r="L240" i="37" s="1"/>
  <c r="M240" i="37" s="1"/>
  <c r="N240" i="37" s="1"/>
  <c r="K175" i="37"/>
  <c r="L175" i="37" s="1"/>
  <c r="M175" i="37" s="1"/>
  <c r="N175" i="37" s="1"/>
  <c r="K120" i="37"/>
  <c r="L120" i="37" s="1"/>
  <c r="M120" i="37" s="1"/>
  <c r="N120" i="37" s="1"/>
  <c r="K227" i="37"/>
  <c r="L227" i="37" s="1"/>
  <c r="M227" i="37" s="1"/>
  <c r="N227" i="37" s="1"/>
  <c r="K199" i="37"/>
  <c r="L199" i="37" s="1"/>
  <c r="M199" i="37" s="1"/>
  <c r="N199" i="37" s="1"/>
  <c r="K139" i="37"/>
  <c r="L139" i="37" s="1"/>
  <c r="M139" i="37" s="1"/>
  <c r="N139" i="37" s="1"/>
  <c r="K130" i="37"/>
  <c r="L130" i="37" s="1"/>
  <c r="M130" i="37" s="1"/>
  <c r="N130" i="37" s="1"/>
  <c r="K203" i="37"/>
  <c r="L203" i="37" s="1"/>
  <c r="M203" i="37" s="1"/>
  <c r="N203" i="37" s="1"/>
  <c r="K22" i="37"/>
  <c r="L22" i="37" s="1"/>
  <c r="M22" i="37" s="1"/>
  <c r="N22" i="37" s="1"/>
  <c r="K221" i="37"/>
  <c r="L221" i="37" s="1"/>
  <c r="M221" i="37" s="1"/>
  <c r="N221" i="37" s="1"/>
  <c r="K159" i="37"/>
  <c r="L159" i="37" s="1"/>
  <c r="M159" i="37" s="1"/>
  <c r="N159" i="37" s="1"/>
  <c r="K34" i="37"/>
  <c r="L34" i="37" s="1"/>
  <c r="M34" i="37" s="1"/>
  <c r="N34" i="37" s="1"/>
  <c r="K198" i="37"/>
  <c r="L198" i="37" s="1"/>
  <c r="M198" i="37" s="1"/>
  <c r="N198" i="37" s="1"/>
  <c r="K117" i="37"/>
  <c r="L117" i="37" s="1"/>
  <c r="M117" i="37" s="1"/>
  <c r="N117" i="37" s="1"/>
  <c r="K110" i="37"/>
  <c r="L110" i="37" s="1"/>
  <c r="M110" i="37" s="1"/>
  <c r="N110" i="37" s="1"/>
  <c r="K102" i="37"/>
  <c r="L102" i="37" s="1"/>
  <c r="M102" i="37" s="1"/>
  <c r="N102" i="37" s="1"/>
  <c r="K84" i="37"/>
  <c r="L84" i="37" s="1"/>
  <c r="M84" i="37" s="1"/>
  <c r="N84" i="37" s="1"/>
  <c r="K115" i="37"/>
  <c r="L115" i="37" s="1"/>
  <c r="M115" i="37" s="1"/>
  <c r="N115" i="37" s="1"/>
  <c r="K261" i="37"/>
  <c r="L261" i="37" s="1"/>
  <c r="M261" i="37" s="1"/>
  <c r="N261" i="37" s="1"/>
  <c r="K121" i="37"/>
  <c r="L121" i="37" s="1"/>
  <c r="M121" i="37" s="1"/>
  <c r="N121" i="37" s="1"/>
  <c r="K162" i="37"/>
  <c r="L162" i="37" s="1"/>
  <c r="M162" i="37" s="1"/>
  <c r="N162" i="37" s="1"/>
  <c r="K53" i="37"/>
  <c r="L53" i="37" s="1"/>
  <c r="M53" i="37" s="1"/>
  <c r="N53" i="37" s="1"/>
  <c r="K30" i="37"/>
  <c r="L30" i="37" s="1"/>
  <c r="M30" i="37" s="1"/>
  <c r="N30" i="37" s="1"/>
  <c r="K4" i="37"/>
  <c r="K17" i="37"/>
  <c r="L17" i="37" s="1"/>
  <c r="M17" i="37" s="1"/>
  <c r="N17" i="37" s="1"/>
  <c r="K87" i="37"/>
  <c r="L87" i="37" s="1"/>
  <c r="M87" i="37" s="1"/>
  <c r="N87" i="37" s="1"/>
  <c r="K138" i="37"/>
  <c r="L138" i="37" s="1"/>
  <c r="M138" i="37" s="1"/>
  <c r="N138" i="37" s="1"/>
  <c r="K246" i="37"/>
  <c r="L246" i="37" s="1"/>
  <c r="M246" i="37" s="1"/>
  <c r="N246" i="37" s="1"/>
  <c r="K230" i="37"/>
  <c r="L230" i="37" s="1"/>
  <c r="M230" i="37" s="1"/>
  <c r="N230" i="37" s="1"/>
  <c r="K201" i="37"/>
  <c r="L201" i="37" s="1"/>
  <c r="M201" i="37" s="1"/>
  <c r="N201" i="37" s="1"/>
  <c r="K270" i="37"/>
  <c r="L270" i="37" s="1"/>
  <c r="M270" i="37" s="1"/>
  <c r="N270" i="37" s="1"/>
  <c r="K94" i="37"/>
  <c r="L94" i="37" s="1"/>
  <c r="M94" i="37" s="1"/>
  <c r="N94" i="37" s="1"/>
  <c r="K180" i="37"/>
  <c r="L180" i="37" s="1"/>
  <c r="M180" i="37" s="1"/>
  <c r="N180" i="37" s="1"/>
  <c r="K40" i="37"/>
  <c r="L40" i="37" s="1"/>
  <c r="M40" i="37" s="1"/>
  <c r="N40" i="37" s="1"/>
  <c r="K272" i="37"/>
  <c r="L272" i="37" s="1"/>
  <c r="M272" i="37" s="1"/>
  <c r="N272" i="37" s="1"/>
  <c r="K85" i="37"/>
  <c r="L85" i="37" s="1"/>
  <c r="M85" i="37" s="1"/>
  <c r="N85" i="37" s="1"/>
  <c r="K187" i="37"/>
  <c r="L187" i="37" s="1"/>
  <c r="M187" i="37" s="1"/>
  <c r="N187" i="37" s="1"/>
  <c r="K231" i="37"/>
  <c r="L231" i="37" s="1"/>
  <c r="M231" i="37" s="1"/>
  <c r="N231" i="37" s="1"/>
  <c r="K190" i="37"/>
  <c r="L190" i="37" s="1"/>
  <c r="M190" i="37" s="1"/>
  <c r="N190" i="37" s="1"/>
  <c r="K111" i="37"/>
  <c r="L111" i="37" s="1"/>
  <c r="M111" i="37" s="1"/>
  <c r="N111" i="37" s="1"/>
  <c r="K61" i="37"/>
  <c r="L61" i="37" s="1"/>
  <c r="M61" i="37" s="1"/>
  <c r="N61" i="37" s="1"/>
  <c r="K98" i="37"/>
  <c r="L98" i="37" s="1"/>
  <c r="M98" i="37" s="1"/>
  <c r="N98" i="37" s="1"/>
  <c r="K141" i="37"/>
  <c r="L141" i="37" s="1"/>
  <c r="M141" i="37" s="1"/>
  <c r="N141" i="37" s="1"/>
  <c r="K51" i="37"/>
  <c r="L51" i="37" s="1"/>
  <c r="M51" i="37" s="1"/>
  <c r="N51" i="37" s="1"/>
  <c r="K176" i="37"/>
  <c r="L176" i="37" s="1"/>
  <c r="M176" i="37" s="1"/>
  <c r="N176" i="37" s="1"/>
  <c r="K222" i="37"/>
  <c r="L222" i="37" s="1"/>
  <c r="M222" i="37" s="1"/>
  <c r="N222" i="37" s="1"/>
  <c r="K184" i="37"/>
  <c r="L184" i="37" s="1"/>
  <c r="M184" i="37" s="1"/>
  <c r="N184" i="37" s="1"/>
  <c r="K73" i="37"/>
  <c r="L73" i="37" s="1"/>
  <c r="M73" i="37" s="1"/>
  <c r="N73" i="37" s="1"/>
  <c r="K78" i="37"/>
  <c r="L78" i="37" s="1"/>
  <c r="M78" i="37" s="1"/>
  <c r="N78" i="37" s="1"/>
  <c r="K125" i="37"/>
  <c r="L125" i="37" s="1"/>
  <c r="M125" i="37" s="1"/>
  <c r="N125" i="37" s="1"/>
  <c r="K234" i="37"/>
  <c r="L234" i="37" s="1"/>
  <c r="M234" i="37" s="1"/>
  <c r="N234" i="37" s="1"/>
  <c r="K146" i="37"/>
  <c r="L146" i="37" s="1"/>
  <c r="M146" i="37" s="1"/>
  <c r="N146" i="37" s="1"/>
  <c r="K100" i="37"/>
  <c r="L100" i="37" s="1"/>
  <c r="M100" i="37" s="1"/>
  <c r="N100" i="37" s="1"/>
  <c r="K55" i="37"/>
  <c r="L55" i="37" s="1"/>
  <c r="M55" i="37" s="1"/>
  <c r="N55" i="37" s="1"/>
  <c r="K265" i="37"/>
  <c r="L265" i="37" s="1"/>
  <c r="M265" i="37" s="1"/>
  <c r="N265" i="37" s="1"/>
  <c r="K312" i="37"/>
  <c r="L312" i="37" s="1"/>
  <c r="M312" i="37" s="1"/>
  <c r="N312" i="37" s="1"/>
  <c r="K33" i="37"/>
  <c r="L33" i="37" s="1"/>
  <c r="M33" i="37" s="1"/>
  <c r="N33" i="37" s="1"/>
  <c r="K72" i="37"/>
  <c r="L72" i="37" s="1"/>
  <c r="M72" i="37" s="1"/>
  <c r="N72" i="37" s="1"/>
  <c r="K276" i="37"/>
  <c r="L276" i="37" s="1"/>
  <c r="M276" i="37" s="1"/>
  <c r="N276" i="37" s="1"/>
  <c r="K109" i="37"/>
  <c r="L109" i="37" s="1"/>
  <c r="M109" i="37" s="1"/>
  <c r="N109" i="37" s="1"/>
  <c r="K123" i="37"/>
  <c r="L123" i="37" s="1"/>
  <c r="M123" i="37" s="1"/>
  <c r="N123" i="37" s="1"/>
  <c r="K191" i="37"/>
  <c r="L191" i="37" s="1"/>
  <c r="M191" i="37" s="1"/>
  <c r="N191" i="37" s="1"/>
  <c r="K43" i="37"/>
  <c r="L43" i="37" s="1"/>
  <c r="M43" i="37" s="1"/>
  <c r="N43" i="37" s="1"/>
  <c r="K107" i="37"/>
  <c r="L107" i="37" s="1"/>
  <c r="M107" i="37" s="1"/>
  <c r="N107" i="37" s="1"/>
  <c r="K122" i="37"/>
  <c r="L122" i="37" s="1"/>
  <c r="M122" i="37" s="1"/>
  <c r="N122" i="37" s="1"/>
  <c r="K206" i="37"/>
  <c r="L206" i="37" s="1"/>
  <c r="M206" i="37" s="1"/>
  <c r="N206" i="37" s="1"/>
  <c r="K31" i="37"/>
  <c r="L31" i="37" s="1"/>
  <c r="M31" i="37" s="1"/>
  <c r="N31" i="37" s="1"/>
  <c r="K268" i="37"/>
  <c r="L268" i="37" s="1"/>
  <c r="M268" i="37" s="1"/>
  <c r="N268" i="37" s="1"/>
  <c r="K41" i="37"/>
  <c r="L41" i="37" s="1"/>
  <c r="M41" i="37" s="1"/>
  <c r="N41" i="37" s="1"/>
  <c r="K212" i="37"/>
  <c r="L212" i="37" s="1"/>
  <c r="M212" i="37" s="1"/>
  <c r="N212" i="37" s="1"/>
  <c r="K207" i="37"/>
  <c r="L207" i="37" s="1"/>
  <c r="M207" i="37" s="1"/>
  <c r="N207" i="37" s="1"/>
  <c r="K143" i="37"/>
  <c r="L143" i="37" s="1"/>
  <c r="M143" i="37" s="1"/>
  <c r="N143" i="37" s="1"/>
  <c r="K14" i="37"/>
  <c r="L14" i="37" s="1"/>
  <c r="M14" i="37" s="1"/>
  <c r="N14" i="37" s="1"/>
  <c r="K124" i="37"/>
  <c r="L124" i="37" s="1"/>
  <c r="M124" i="37" s="1"/>
  <c r="N124" i="37" s="1"/>
  <c r="K106" i="37"/>
  <c r="L106" i="37" s="1"/>
  <c r="M106" i="37" s="1"/>
  <c r="N106" i="37" s="1"/>
  <c r="K185" i="37"/>
  <c r="L185" i="37" s="1"/>
  <c r="M185" i="37" s="1"/>
  <c r="N185" i="37" s="1"/>
  <c r="K183" i="37"/>
  <c r="L183" i="37" s="1"/>
  <c r="M183" i="37" s="1"/>
  <c r="N183" i="37" s="1"/>
  <c r="K155" i="37"/>
  <c r="L155" i="37" s="1"/>
  <c r="M155" i="37" s="1"/>
  <c r="N155" i="37" s="1"/>
  <c r="K244" i="37"/>
  <c r="L244" i="37" s="1"/>
  <c r="M244" i="37" s="1"/>
  <c r="N244" i="37" s="1"/>
  <c r="K21" i="37"/>
  <c r="L21" i="37" s="1"/>
  <c r="M21" i="37" s="1"/>
  <c r="N21" i="37" s="1"/>
  <c r="K202" i="37"/>
  <c r="L202" i="37" s="1"/>
  <c r="M202" i="37" s="1"/>
  <c r="N202" i="37" s="1"/>
  <c r="K114" i="37"/>
  <c r="L114" i="37" s="1"/>
  <c r="M114" i="37" s="1"/>
  <c r="N114" i="37" s="1"/>
  <c r="K182" i="37"/>
  <c r="L182" i="37" s="1"/>
  <c r="M182" i="37" s="1"/>
  <c r="N182" i="37" s="1"/>
  <c r="K294" i="37"/>
  <c r="L294" i="37" s="1"/>
  <c r="M294" i="37" s="1"/>
  <c r="N294" i="37" s="1"/>
  <c r="K113" i="37"/>
  <c r="L113" i="37" s="1"/>
  <c r="M113" i="37" s="1"/>
  <c r="N113" i="37" s="1"/>
  <c r="K308" i="37"/>
  <c r="L308" i="37" s="1"/>
  <c r="M308" i="37" s="1"/>
  <c r="N308" i="37" s="1"/>
  <c r="K228" i="37"/>
  <c r="L228" i="37" s="1"/>
  <c r="M228" i="37" s="1"/>
  <c r="N228" i="37" s="1"/>
  <c r="K316" i="37"/>
  <c r="L316" i="37" s="1"/>
  <c r="M316" i="37" s="1"/>
  <c r="N316" i="37" s="1"/>
  <c r="K18" i="37"/>
  <c r="L18" i="37" s="1"/>
  <c r="M18" i="37" s="1"/>
  <c r="N18" i="37" s="1"/>
  <c r="K236" i="37"/>
  <c r="L236" i="37" s="1"/>
  <c r="M236" i="37" s="1"/>
  <c r="N236" i="37" s="1"/>
  <c r="K97" i="37"/>
  <c r="L97" i="37" s="1"/>
  <c r="M97" i="37" s="1"/>
  <c r="N97" i="37" s="1"/>
  <c r="K154" i="37"/>
  <c r="L154" i="37" s="1"/>
  <c r="M154" i="37" s="1"/>
  <c r="N154" i="37" s="1"/>
  <c r="K131" i="37"/>
  <c r="L131" i="37" s="1"/>
  <c r="M131" i="37" s="1"/>
  <c r="N131" i="37" s="1"/>
  <c r="K118" i="37"/>
  <c r="L118" i="37" s="1"/>
  <c r="M118" i="37" s="1"/>
  <c r="N118" i="37" s="1"/>
  <c r="K273" i="37"/>
  <c r="L273" i="37" s="1"/>
  <c r="M273" i="37" s="1"/>
  <c r="N273" i="37" s="1"/>
  <c r="K223" i="37"/>
  <c r="L223" i="37" s="1"/>
  <c r="M223" i="37" s="1"/>
  <c r="N223" i="37" s="1"/>
  <c r="K291" i="37"/>
  <c r="L291" i="37" s="1"/>
  <c r="M291" i="37" s="1"/>
  <c r="N291" i="37" s="1"/>
  <c r="K44" i="37"/>
  <c r="L44" i="37" s="1"/>
  <c r="M44" i="37" s="1"/>
  <c r="N44" i="37" s="1"/>
  <c r="K219" i="37"/>
  <c r="L219" i="37" s="1"/>
  <c r="M219" i="37" s="1"/>
  <c r="N219" i="37" s="1"/>
  <c r="K149" i="37"/>
  <c r="L149" i="37" s="1"/>
  <c r="M149" i="37" s="1"/>
  <c r="N149" i="37" s="1"/>
  <c r="K297" i="37"/>
  <c r="L297" i="37" s="1"/>
  <c r="M297" i="37" s="1"/>
  <c r="N297" i="37" s="1"/>
  <c r="K145" i="37"/>
  <c r="L145" i="37" s="1"/>
  <c r="M145" i="37" s="1"/>
  <c r="N145" i="37" s="1"/>
  <c r="K284" i="37"/>
  <c r="L284" i="37" s="1"/>
  <c r="M284" i="37" s="1"/>
  <c r="N284" i="37" s="1"/>
  <c r="K304" i="37"/>
  <c r="L304" i="37" s="1"/>
  <c r="M304" i="37" s="1"/>
  <c r="N304" i="37" s="1"/>
  <c r="K171" i="37"/>
  <c r="L171" i="37" s="1"/>
  <c r="M171" i="37" s="1"/>
  <c r="N171" i="37" s="1"/>
  <c r="K39" i="37"/>
  <c r="L39" i="37" s="1"/>
  <c r="M39" i="37" s="1"/>
  <c r="N39" i="37" s="1"/>
  <c r="K241" i="37"/>
  <c r="L241" i="37" s="1"/>
  <c r="M241" i="37" s="1"/>
  <c r="N241" i="37" s="1"/>
  <c r="K301" i="37"/>
  <c r="L301" i="37" s="1"/>
  <c r="M301" i="37" s="1"/>
  <c r="N301" i="37" s="1"/>
  <c r="K103" i="37"/>
  <c r="L103" i="37" s="1"/>
  <c r="M103" i="37" s="1"/>
  <c r="N103" i="37" s="1"/>
  <c r="K239" i="37"/>
  <c r="L239" i="37" s="1"/>
  <c r="M239" i="37" s="1"/>
  <c r="N239" i="37" s="1"/>
  <c r="K277" i="37"/>
  <c r="L277" i="37" s="1"/>
  <c r="M277" i="37" s="1"/>
  <c r="N277" i="37" s="1"/>
  <c r="K305" i="37"/>
  <c r="L305" i="37" s="1"/>
  <c r="M305" i="37" s="1"/>
  <c r="N305" i="37" s="1"/>
  <c r="K167" i="37"/>
  <c r="L167" i="37" s="1"/>
  <c r="M167" i="37" s="1"/>
  <c r="N167" i="37" s="1"/>
  <c r="K95" i="37"/>
  <c r="L95" i="37" s="1"/>
  <c r="M95" i="37" s="1"/>
  <c r="N95" i="37" s="1"/>
  <c r="K48" i="37"/>
  <c r="L48" i="37" s="1"/>
  <c r="M48" i="37" s="1"/>
  <c r="N48" i="37" s="1"/>
  <c r="K178" i="37"/>
  <c r="L178" i="37" s="1"/>
  <c r="M178" i="37" s="1"/>
  <c r="N178" i="37" s="1"/>
  <c r="K215" i="37"/>
  <c r="L215" i="37" s="1"/>
  <c r="M215" i="37" s="1"/>
  <c r="N215" i="37" s="1"/>
  <c r="K38" i="37"/>
  <c r="L38" i="37" s="1"/>
  <c r="M38" i="37" s="1"/>
  <c r="N38" i="37" s="1"/>
  <c r="K192" i="37"/>
  <c r="L192" i="37" s="1"/>
  <c r="M192" i="37" s="1"/>
  <c r="N192" i="37" s="1"/>
  <c r="K101" i="37"/>
  <c r="L101" i="37" s="1"/>
  <c r="M101" i="37" s="1"/>
  <c r="N101" i="37" s="1"/>
  <c r="K210" i="37"/>
  <c r="L210" i="37" s="1"/>
  <c r="M210" i="37" s="1"/>
  <c r="N210" i="37" s="1"/>
  <c r="K166" i="37"/>
  <c r="L166" i="37" s="1"/>
  <c r="M166" i="37" s="1"/>
  <c r="N166" i="37" s="1"/>
  <c r="K69" i="37"/>
  <c r="L69" i="37" s="1"/>
  <c r="M69" i="37" s="1"/>
  <c r="N69" i="37" s="1"/>
  <c r="K306" i="37"/>
  <c r="L306" i="37" s="1"/>
  <c r="M306" i="37" s="1"/>
  <c r="N306" i="37" s="1"/>
  <c r="K90" i="37"/>
  <c r="L90" i="37" s="1"/>
  <c r="M90" i="37" s="1"/>
  <c r="N90" i="37" s="1"/>
  <c r="K127" i="37"/>
  <c r="L127" i="37" s="1"/>
  <c r="M127" i="37" s="1"/>
  <c r="N127" i="37" s="1"/>
  <c r="K242" i="37"/>
  <c r="L242" i="37" s="1"/>
  <c r="M242" i="37" s="1"/>
  <c r="N242" i="37" s="1"/>
  <c r="K224" i="37"/>
  <c r="L224" i="37" s="1"/>
  <c r="M224" i="37" s="1"/>
  <c r="N224" i="37" s="1"/>
  <c r="K83" i="37"/>
  <c r="L83" i="37" s="1"/>
  <c r="M83" i="37" s="1"/>
  <c r="N83" i="37" s="1"/>
  <c r="K27" i="37"/>
  <c r="L27" i="37" s="1"/>
  <c r="M27" i="37" s="1"/>
  <c r="N27" i="37" s="1"/>
  <c r="K88" i="37"/>
  <c r="L88" i="37" s="1"/>
  <c r="M88" i="37" s="1"/>
  <c r="N88" i="37" s="1"/>
  <c r="K251" i="37"/>
  <c r="L251" i="37" s="1"/>
  <c r="M251" i="37" s="1"/>
  <c r="N251" i="37" s="1"/>
  <c r="K163" i="37"/>
  <c r="L163" i="37" s="1"/>
  <c r="M163" i="37" s="1"/>
  <c r="N163" i="37" s="1"/>
  <c r="K116" i="37"/>
  <c r="L116" i="37" s="1"/>
  <c r="M116" i="37" s="1"/>
  <c r="N116" i="37" s="1"/>
  <c r="K45" i="37"/>
  <c r="L45" i="37" s="1"/>
  <c r="M45" i="37" s="1"/>
  <c r="N45" i="37" s="1"/>
  <c r="K296" i="37"/>
  <c r="L296" i="37" s="1"/>
  <c r="M296" i="37" s="1"/>
  <c r="N296" i="37" s="1"/>
  <c r="K153" i="37"/>
  <c r="L153" i="37" s="1"/>
  <c r="M153" i="37" s="1"/>
  <c r="N153" i="37" s="1"/>
  <c r="K279" i="37"/>
  <c r="L279" i="37" s="1"/>
  <c r="M279" i="37" s="1"/>
  <c r="N279" i="37" s="1"/>
  <c r="K82" i="37"/>
  <c r="L82" i="37" s="1"/>
  <c r="M82" i="37" s="1"/>
  <c r="N82" i="37" s="1"/>
  <c r="K300" i="37"/>
  <c r="L300" i="37" s="1"/>
  <c r="M300" i="37" s="1"/>
  <c r="N300" i="37" s="1"/>
  <c r="K46" i="37"/>
  <c r="L46" i="37" s="1"/>
  <c r="M46" i="37" s="1"/>
  <c r="N46" i="37" s="1"/>
  <c r="K226" i="37"/>
  <c r="L226" i="37" s="1"/>
  <c r="M226" i="37" s="1"/>
  <c r="N226" i="37" s="1"/>
  <c r="K205" i="37"/>
  <c r="L205" i="37" s="1"/>
  <c r="M205" i="37" s="1"/>
  <c r="N205" i="37" s="1"/>
  <c r="K309" i="37"/>
  <c r="L309" i="37" s="1"/>
  <c r="M309" i="37" s="1"/>
  <c r="N309" i="37" s="1"/>
  <c r="K54" i="37"/>
  <c r="L54" i="37" s="1"/>
  <c r="M54" i="37" s="1"/>
  <c r="N54" i="37" s="1"/>
  <c r="K57" i="37"/>
  <c r="L57" i="37" s="1"/>
  <c r="M57" i="37" s="1"/>
  <c r="N57" i="37" s="1"/>
  <c r="K49" i="37"/>
  <c r="L49" i="37" s="1"/>
  <c r="M49" i="37" s="1"/>
  <c r="N49" i="37" s="1"/>
  <c r="K289" i="37"/>
  <c r="L289" i="37" s="1"/>
  <c r="M289" i="37" s="1"/>
  <c r="N289" i="37" s="1"/>
  <c r="K298" i="37"/>
  <c r="L298" i="37" s="1"/>
  <c r="M298" i="37" s="1"/>
  <c r="N298" i="37" s="1"/>
  <c r="K232" i="37"/>
  <c r="L232" i="37" s="1"/>
  <c r="M232" i="37" s="1"/>
  <c r="N232" i="37" s="1"/>
  <c r="K314" i="37"/>
  <c r="L314" i="37" s="1"/>
  <c r="M314" i="37" s="1"/>
  <c r="N314" i="37" s="1"/>
  <c r="K287" i="37"/>
  <c r="L287" i="37" s="1"/>
  <c r="M287" i="37" s="1"/>
  <c r="N287" i="37" s="1"/>
  <c r="K317" i="37"/>
  <c r="L317" i="37" s="1"/>
  <c r="M317" i="37" s="1"/>
  <c r="N317" i="37" s="1"/>
  <c r="K266" i="37"/>
  <c r="L266" i="37" s="1"/>
  <c r="M266" i="37" s="1"/>
  <c r="N266" i="37" s="1"/>
  <c r="K200" i="37"/>
  <c r="L200" i="37" s="1"/>
  <c r="M200" i="37" s="1"/>
  <c r="N200" i="37" s="1"/>
  <c r="K105" i="37"/>
  <c r="L105" i="37" s="1"/>
  <c r="M105" i="37" s="1"/>
  <c r="N105" i="37" s="1"/>
  <c r="K137" i="37"/>
  <c r="L137" i="37" s="1"/>
  <c r="M137" i="37" s="1"/>
  <c r="N137" i="37" s="1"/>
  <c r="K293" i="37"/>
  <c r="L293" i="37" s="1"/>
  <c r="M293" i="37" s="1"/>
  <c r="N293" i="37" s="1"/>
  <c r="K10" i="37"/>
  <c r="L10" i="37" s="1"/>
  <c r="M10" i="37" s="1"/>
  <c r="N10" i="37" s="1"/>
  <c r="K6" i="37"/>
  <c r="L6" i="37" s="1"/>
  <c r="M6" i="37" s="1"/>
  <c r="N6" i="37" s="1"/>
  <c r="K238" i="36"/>
  <c r="L238" i="36" s="1"/>
  <c r="M238" i="36" s="1"/>
  <c r="K22" i="36"/>
  <c r="L22" i="36" s="1"/>
  <c r="M22" i="36" s="1"/>
  <c r="K6" i="36"/>
  <c r="L6" i="36" s="1"/>
  <c r="M6" i="36" s="1"/>
  <c r="K233" i="36"/>
  <c r="L233" i="36" s="1"/>
  <c r="M233" i="36" s="1"/>
  <c r="K69" i="36"/>
  <c r="L69" i="36" s="1"/>
  <c r="M69" i="36" s="1"/>
  <c r="K186" i="36"/>
  <c r="L186" i="36" s="1"/>
  <c r="M186" i="36" s="1"/>
  <c r="K260" i="36"/>
  <c r="L260" i="36" s="1"/>
  <c r="M260" i="36" s="1"/>
  <c r="K43" i="36"/>
  <c r="L43" i="36" s="1"/>
  <c r="M43" i="36" s="1"/>
  <c r="K64" i="36"/>
  <c r="L64" i="36" s="1"/>
  <c r="M64" i="36" s="1"/>
  <c r="K208" i="36"/>
  <c r="L208" i="36" s="1"/>
  <c r="M208" i="36" s="1"/>
  <c r="K239" i="36"/>
  <c r="L239" i="36" s="1"/>
  <c r="M239" i="36" s="1"/>
  <c r="K296" i="36"/>
  <c r="L296" i="36" s="1"/>
  <c r="M296" i="36" s="1"/>
  <c r="K26" i="36"/>
  <c r="L26" i="36" s="1"/>
  <c r="M26" i="36" s="1"/>
  <c r="K231" i="36"/>
  <c r="L231" i="36" s="1"/>
  <c r="M231" i="36" s="1"/>
  <c r="K217" i="36"/>
  <c r="L217" i="36" s="1"/>
  <c r="M217" i="36" s="1"/>
  <c r="K67" i="36"/>
  <c r="L67" i="36" s="1"/>
  <c r="M67" i="36" s="1"/>
  <c r="K185" i="36"/>
  <c r="L185" i="36" s="1"/>
  <c r="M185" i="36" s="1"/>
  <c r="K111" i="36"/>
  <c r="L111" i="36" s="1"/>
  <c r="M111" i="36" s="1"/>
  <c r="K247" i="36"/>
  <c r="L247" i="36" s="1"/>
  <c r="M247" i="36" s="1"/>
  <c r="K159" i="36"/>
  <c r="L159" i="36" s="1"/>
  <c r="M159" i="36" s="1"/>
  <c r="K211" i="36"/>
  <c r="L211" i="36" s="1"/>
  <c r="M211" i="36" s="1"/>
  <c r="K271" i="36"/>
  <c r="L271" i="36" s="1"/>
  <c r="M271" i="36" s="1"/>
  <c r="K250" i="36"/>
  <c r="L250" i="36" s="1"/>
  <c r="M250" i="36" s="1"/>
  <c r="K182" i="36"/>
  <c r="L182" i="36" s="1"/>
  <c r="M182" i="36" s="1"/>
  <c r="K51" i="36"/>
  <c r="L51" i="36" s="1"/>
  <c r="M51" i="36" s="1"/>
  <c r="K155" i="36"/>
  <c r="L155" i="36" s="1"/>
  <c r="M155" i="36" s="1"/>
  <c r="K83" i="36"/>
  <c r="L83" i="36" s="1"/>
  <c r="M83" i="36" s="1"/>
  <c r="K251" i="36"/>
  <c r="L251" i="36" s="1"/>
  <c r="M251" i="36" s="1"/>
  <c r="K115" i="36"/>
  <c r="L115" i="36" s="1"/>
  <c r="M115" i="36" s="1"/>
  <c r="K177" i="36"/>
  <c r="L177" i="36" s="1"/>
  <c r="M177" i="36" s="1"/>
  <c r="K263" i="36"/>
  <c r="L263" i="36" s="1"/>
  <c r="M263" i="36" s="1"/>
  <c r="K168" i="36"/>
  <c r="L168" i="36" s="1"/>
  <c r="M168" i="36" s="1"/>
  <c r="K241" i="36"/>
  <c r="L241" i="36" s="1"/>
  <c r="M241" i="36" s="1"/>
  <c r="K11" i="36"/>
  <c r="L11" i="36" s="1"/>
  <c r="M11" i="36" s="1"/>
  <c r="K71" i="36"/>
  <c r="L71" i="36" s="1"/>
  <c r="M71" i="36" s="1"/>
  <c r="K237" i="36"/>
  <c r="L237" i="36" s="1"/>
  <c r="M237" i="36" s="1"/>
  <c r="K138" i="36"/>
  <c r="L138" i="36" s="1"/>
  <c r="M138" i="36" s="1"/>
  <c r="K136" i="36"/>
  <c r="L136" i="36" s="1"/>
  <c r="M136" i="36" s="1"/>
  <c r="K193" i="36"/>
  <c r="L193" i="36" s="1"/>
  <c r="M193" i="36" s="1"/>
  <c r="K90" i="36"/>
  <c r="L90" i="36" s="1"/>
  <c r="M90" i="36" s="1"/>
  <c r="K203" i="36"/>
  <c r="L203" i="36" s="1"/>
  <c r="M203" i="36" s="1"/>
  <c r="K5" i="36"/>
  <c r="L5" i="36" s="1"/>
  <c r="M5" i="36" s="1"/>
  <c r="K25" i="36"/>
  <c r="L25" i="36" s="1"/>
  <c r="M25" i="36" s="1"/>
  <c r="K21" i="36"/>
  <c r="L21" i="36" s="1"/>
  <c r="M21" i="36" s="1"/>
  <c r="K215" i="36"/>
  <c r="L215" i="36" s="1"/>
  <c r="M215" i="36" s="1"/>
  <c r="K158" i="36"/>
  <c r="L158" i="36" s="1"/>
  <c r="M158" i="36" s="1"/>
  <c r="K42" i="36"/>
  <c r="L42" i="36" s="1"/>
  <c r="M42" i="36" s="1"/>
  <c r="K109" i="36"/>
  <c r="L109" i="36" s="1"/>
  <c r="M109" i="36" s="1"/>
  <c r="K297" i="36"/>
  <c r="L297" i="36" s="1"/>
  <c r="M297" i="36" s="1"/>
  <c r="K280" i="36"/>
  <c r="L280" i="36" s="1"/>
  <c r="M280" i="36" s="1"/>
  <c r="K313" i="36"/>
  <c r="L313" i="36" s="1"/>
  <c r="M313" i="36" s="1"/>
  <c r="K170" i="36"/>
  <c r="L170" i="36" s="1"/>
  <c r="M170" i="36" s="1"/>
  <c r="K14" i="36"/>
  <c r="L14" i="36" s="1"/>
  <c r="M14" i="36" s="1"/>
  <c r="K317" i="36"/>
  <c r="L317" i="36" s="1"/>
  <c r="M317" i="36" s="1"/>
  <c r="K13" i="36"/>
  <c r="L13" i="36" s="1"/>
  <c r="M13" i="36" s="1"/>
  <c r="K305" i="36"/>
  <c r="L305" i="36" s="1"/>
  <c r="M305" i="36" s="1"/>
  <c r="K79" i="36"/>
  <c r="L79" i="36" s="1"/>
  <c r="M79" i="36" s="1"/>
  <c r="K267" i="36"/>
  <c r="L267" i="36" s="1"/>
  <c r="M267" i="36" s="1"/>
  <c r="K210" i="36"/>
  <c r="L210" i="36" s="1"/>
  <c r="M210" i="36" s="1"/>
  <c r="K255" i="36"/>
  <c r="L255" i="36" s="1"/>
  <c r="M255" i="36" s="1"/>
  <c r="K194" i="36"/>
  <c r="L194" i="36" s="1"/>
  <c r="M194" i="36" s="1"/>
  <c r="K10" i="36"/>
  <c r="L10" i="36" s="1"/>
  <c r="M10" i="36" s="1"/>
  <c r="K261" i="36"/>
  <c r="L261" i="36" s="1"/>
  <c r="M261" i="36" s="1"/>
  <c r="K15" i="36"/>
  <c r="L15" i="36" s="1"/>
  <c r="M15" i="36" s="1"/>
  <c r="K312" i="36"/>
  <c r="L312" i="36" s="1"/>
  <c r="M312" i="36" s="1"/>
  <c r="K27" i="36"/>
  <c r="L27" i="36" s="1"/>
  <c r="M27" i="36" s="1"/>
  <c r="K73" i="36"/>
  <c r="L73" i="36" s="1"/>
  <c r="M73" i="36" s="1"/>
  <c r="K300" i="36"/>
  <c r="L300" i="36" s="1"/>
  <c r="M300" i="36" s="1"/>
  <c r="K34" i="36"/>
  <c r="L34" i="36" s="1"/>
  <c r="M34" i="36" s="1"/>
  <c r="K308" i="36"/>
  <c r="L308" i="36" s="1"/>
  <c r="M308" i="36" s="1"/>
  <c r="K181" i="36"/>
  <c r="L181" i="36" s="1"/>
  <c r="M181" i="36" s="1"/>
  <c r="K222" i="36"/>
  <c r="L222" i="36" s="1"/>
  <c r="M222" i="36" s="1"/>
  <c r="K242" i="36"/>
  <c r="L242" i="36" s="1"/>
  <c r="M242" i="36" s="1"/>
  <c r="K201" i="36"/>
  <c r="L201" i="36" s="1"/>
  <c r="M201" i="36" s="1"/>
  <c r="K304" i="36"/>
  <c r="L304" i="36" s="1"/>
  <c r="M304" i="36" s="1"/>
  <c r="K301" i="36"/>
  <c r="L301" i="36" s="1"/>
  <c r="M301" i="36" s="1"/>
  <c r="K17" i="36"/>
  <c r="L17" i="36" s="1"/>
  <c r="M17" i="36" s="1"/>
  <c r="K316" i="36"/>
  <c r="L316" i="36" s="1"/>
  <c r="M316" i="36" s="1"/>
  <c r="K99" i="36"/>
  <c r="L99" i="36" s="1"/>
  <c r="M99" i="36" s="1"/>
  <c r="K198" i="36"/>
  <c r="L198" i="36" s="1"/>
  <c r="M198" i="36" s="1"/>
  <c r="K302" i="36"/>
  <c r="L302" i="36" s="1"/>
  <c r="M302" i="36" s="1"/>
  <c r="K284" i="36"/>
  <c r="L284" i="36" s="1"/>
  <c r="M284" i="36" s="1"/>
  <c r="K7" i="36"/>
  <c r="L7" i="36" s="1"/>
  <c r="M7" i="36" s="1"/>
  <c r="K23" i="36"/>
  <c r="L23" i="36" s="1"/>
  <c r="M23" i="36" s="1"/>
  <c r="K59" i="36"/>
  <c r="L59" i="36" s="1"/>
  <c r="M59" i="36" s="1"/>
  <c r="K234" i="36"/>
  <c r="L234" i="36" s="1"/>
  <c r="M234" i="36" s="1"/>
  <c r="K205" i="36"/>
  <c r="L205" i="36" s="1"/>
  <c r="M205" i="36" s="1"/>
  <c r="K257" i="36"/>
  <c r="L257" i="36" s="1"/>
  <c r="M257" i="36" s="1"/>
  <c r="K289" i="36"/>
  <c r="L289" i="36" s="1"/>
  <c r="M289" i="36" s="1"/>
  <c r="K55" i="36"/>
  <c r="L55" i="36" s="1"/>
  <c r="M55" i="36" s="1"/>
  <c r="K189" i="36"/>
  <c r="L189" i="36" s="1"/>
  <c r="M189" i="36" s="1"/>
  <c r="K264" i="36"/>
  <c r="L264" i="36" s="1"/>
  <c r="M264" i="36" s="1"/>
  <c r="K18" i="36"/>
  <c r="L18" i="36" s="1"/>
  <c r="M18" i="36" s="1"/>
  <c r="K197" i="36"/>
  <c r="L197" i="36" s="1"/>
  <c r="M197" i="36" s="1"/>
  <c r="K223" i="36"/>
  <c r="L223" i="36" s="1"/>
  <c r="M223" i="36" s="1"/>
  <c r="K259" i="36"/>
  <c r="L259" i="36" s="1"/>
  <c r="M259" i="36" s="1"/>
  <c r="K47" i="36"/>
  <c r="L47" i="36" s="1"/>
  <c r="M47" i="36" s="1"/>
  <c r="K147" i="36"/>
  <c r="L147" i="36" s="1"/>
  <c r="M147" i="36" s="1"/>
  <c r="K75" i="36"/>
  <c r="L75" i="36" s="1"/>
  <c r="M75" i="36" s="1"/>
  <c r="K89" i="36"/>
  <c r="L89" i="36" s="1"/>
  <c r="M89" i="36" s="1"/>
  <c r="K169" i="36"/>
  <c r="L169" i="36" s="1"/>
  <c r="M169" i="36" s="1"/>
  <c r="K246" i="36"/>
  <c r="L246" i="36" s="1"/>
  <c r="M246" i="36" s="1"/>
  <c r="K229" i="36"/>
  <c r="L229" i="36" s="1"/>
  <c r="M229" i="36" s="1"/>
  <c r="K174" i="36"/>
  <c r="L174" i="36" s="1"/>
  <c r="M174" i="36" s="1"/>
  <c r="K148" i="36"/>
  <c r="L148" i="36" s="1"/>
  <c r="M148" i="36" s="1"/>
  <c r="K77" i="36"/>
  <c r="L77" i="36" s="1"/>
  <c r="M77" i="36" s="1"/>
  <c r="K106" i="36"/>
  <c r="L106" i="36" s="1"/>
  <c r="M106" i="36" s="1"/>
  <c r="K35" i="36"/>
  <c r="L35" i="36" s="1"/>
  <c r="M35" i="36" s="1"/>
  <c r="K230" i="36"/>
  <c r="L230" i="36" s="1"/>
  <c r="M230" i="36" s="1"/>
  <c r="K154" i="36"/>
  <c r="L154" i="36" s="1"/>
  <c r="M154" i="36" s="1"/>
  <c r="K9" i="36"/>
  <c r="L9" i="36" s="1"/>
  <c r="M9" i="36" s="1"/>
  <c r="K118" i="36"/>
  <c r="L118" i="36" s="1"/>
  <c r="M118" i="36" s="1"/>
  <c r="K224" i="36"/>
  <c r="L224" i="36" s="1"/>
  <c r="M224" i="36" s="1"/>
  <c r="K8" i="36"/>
  <c r="L8" i="36" s="1"/>
  <c r="M8" i="36" s="1"/>
  <c r="K225" i="36"/>
  <c r="L225" i="36" s="1"/>
  <c r="M225" i="36" s="1"/>
  <c r="K124" i="36"/>
  <c r="L124" i="36" s="1"/>
  <c r="M124" i="36" s="1"/>
  <c r="K120" i="36"/>
  <c r="L120" i="36" s="1"/>
  <c r="M120" i="36" s="1"/>
  <c r="K63" i="36"/>
  <c r="L63" i="36" s="1"/>
  <c r="M63" i="36" s="1"/>
  <c r="K105" i="36"/>
  <c r="L105" i="36" s="1"/>
  <c r="M105" i="36" s="1"/>
  <c r="K256" i="36"/>
  <c r="L256" i="36" s="1"/>
  <c r="M256" i="36" s="1"/>
  <c r="K95" i="36"/>
  <c r="L95" i="36" s="1"/>
  <c r="M95" i="36" s="1"/>
  <c r="K56" i="36"/>
  <c r="L56" i="36" s="1"/>
  <c r="M56" i="36" s="1"/>
  <c r="K175" i="36"/>
  <c r="L175" i="36" s="1"/>
  <c r="M175" i="36" s="1"/>
  <c r="K78" i="36"/>
  <c r="L78" i="36" s="1"/>
  <c r="M78" i="36" s="1"/>
  <c r="K212" i="36"/>
  <c r="L212" i="36" s="1"/>
  <c r="M212" i="36" s="1"/>
  <c r="K165" i="36"/>
  <c r="L165" i="36" s="1"/>
  <c r="M165" i="36" s="1"/>
  <c r="K37" i="36"/>
  <c r="L37" i="36" s="1"/>
  <c r="M37" i="36" s="1"/>
  <c r="K100" i="36"/>
  <c r="L100" i="36" s="1"/>
  <c r="M100" i="36" s="1"/>
  <c r="K12" i="36"/>
  <c r="L12" i="36" s="1"/>
  <c r="M12" i="36" s="1"/>
  <c r="K192" i="36"/>
  <c r="L192" i="36" s="1"/>
  <c r="M192" i="36" s="1"/>
  <c r="K97" i="36"/>
  <c r="L97" i="36" s="1"/>
  <c r="M97" i="36" s="1"/>
  <c r="K272" i="36"/>
  <c r="L272" i="36" s="1"/>
  <c r="M272" i="36" s="1"/>
  <c r="K294" i="36"/>
  <c r="L294" i="36" s="1"/>
  <c r="M294" i="36" s="1"/>
  <c r="K44" i="36"/>
  <c r="L44" i="36" s="1"/>
  <c r="M44" i="36" s="1"/>
  <c r="K29" i="36"/>
  <c r="L29" i="36" s="1"/>
  <c r="M29" i="36" s="1"/>
  <c r="K236" i="36"/>
  <c r="L236" i="36" s="1"/>
  <c r="M236" i="36" s="1"/>
  <c r="K134" i="36"/>
  <c r="L134" i="36" s="1"/>
  <c r="M134" i="36" s="1"/>
  <c r="K80" i="36"/>
  <c r="L80" i="36" s="1"/>
  <c r="M80" i="36" s="1"/>
  <c r="K195" i="36"/>
  <c r="L195" i="36" s="1"/>
  <c r="M195" i="36" s="1"/>
  <c r="K86" i="36"/>
  <c r="L86" i="36" s="1"/>
  <c r="M86" i="36" s="1"/>
  <c r="K178" i="36"/>
  <c r="L178" i="36" s="1"/>
  <c r="M178" i="36" s="1"/>
  <c r="K226" i="36"/>
  <c r="L226" i="36" s="1"/>
  <c r="M226" i="36" s="1"/>
  <c r="K254" i="36"/>
  <c r="L254" i="36" s="1"/>
  <c r="M254" i="36" s="1"/>
  <c r="K288" i="36"/>
  <c r="L288" i="36" s="1"/>
  <c r="M288" i="36" s="1"/>
  <c r="K176" i="36"/>
  <c r="L176" i="36" s="1"/>
  <c r="M176" i="36" s="1"/>
  <c r="K143" i="36"/>
  <c r="L143" i="36" s="1"/>
  <c r="M143" i="36" s="1"/>
  <c r="K98" i="36"/>
  <c r="L98" i="36" s="1"/>
  <c r="M98" i="36" s="1"/>
  <c r="K172" i="36"/>
  <c r="L172" i="36" s="1"/>
  <c r="M172" i="36" s="1"/>
  <c r="K243" i="36"/>
  <c r="L243" i="36" s="1"/>
  <c r="M243" i="36" s="1"/>
  <c r="K139" i="36"/>
  <c r="L139" i="36" s="1"/>
  <c r="M139" i="36" s="1"/>
  <c r="K133" i="36"/>
  <c r="L133" i="36" s="1"/>
  <c r="M133" i="36" s="1"/>
  <c r="K62" i="36"/>
  <c r="L62" i="36" s="1"/>
  <c r="M62" i="36" s="1"/>
  <c r="K188" i="36"/>
  <c r="L188" i="36" s="1"/>
  <c r="M188" i="36" s="1"/>
  <c r="K127" i="36"/>
  <c r="L127" i="36" s="1"/>
  <c r="M127" i="36" s="1"/>
  <c r="K140" i="36"/>
  <c r="L140" i="36" s="1"/>
  <c r="M140" i="36" s="1"/>
  <c r="K278" i="36"/>
  <c r="L278" i="36" s="1"/>
  <c r="M278" i="36" s="1"/>
  <c r="K33" i="36"/>
  <c r="L33" i="36" s="1"/>
  <c r="M33" i="36" s="1"/>
  <c r="K74" i="36"/>
  <c r="L74" i="36" s="1"/>
  <c r="M74" i="36" s="1"/>
  <c r="K76" i="36"/>
  <c r="L76" i="36" s="1"/>
  <c r="M76" i="36" s="1"/>
  <c r="K122" i="36"/>
  <c r="L122" i="36" s="1"/>
  <c r="M122" i="36" s="1"/>
  <c r="K249" i="36"/>
  <c r="L249" i="36" s="1"/>
  <c r="M249" i="36" s="1"/>
  <c r="K314" i="36"/>
  <c r="L314" i="36" s="1"/>
  <c r="M314" i="36" s="1"/>
  <c r="K235" i="36"/>
  <c r="L235" i="36" s="1"/>
  <c r="M235" i="36" s="1"/>
  <c r="K82" i="36"/>
  <c r="L82" i="36" s="1"/>
  <c r="M82" i="36" s="1"/>
  <c r="K156" i="36"/>
  <c r="L156" i="36" s="1"/>
  <c r="M156" i="36" s="1"/>
  <c r="K269" i="36"/>
  <c r="L269" i="36" s="1"/>
  <c r="M269" i="36" s="1"/>
  <c r="K244" i="36"/>
  <c r="L244" i="36" s="1"/>
  <c r="M244" i="36" s="1"/>
  <c r="K126" i="36"/>
  <c r="L126" i="36" s="1"/>
  <c r="M126" i="36" s="1"/>
  <c r="K157" i="36"/>
  <c r="L157" i="36" s="1"/>
  <c r="M157" i="36" s="1"/>
  <c r="K295" i="36"/>
  <c r="L295" i="36" s="1"/>
  <c r="M295" i="36" s="1"/>
  <c r="K204" i="36"/>
  <c r="L204" i="36" s="1"/>
  <c r="M204" i="36" s="1"/>
  <c r="K248" i="36"/>
  <c r="L248" i="36" s="1"/>
  <c r="M248" i="36" s="1"/>
  <c r="K275" i="36"/>
  <c r="L275" i="36" s="1"/>
  <c r="M275" i="36" s="1"/>
  <c r="K262" i="36"/>
  <c r="L262" i="36" s="1"/>
  <c r="M262" i="36" s="1"/>
  <c r="K299" i="36"/>
  <c r="L299" i="36" s="1"/>
  <c r="M299" i="36" s="1"/>
  <c r="K166" i="36"/>
  <c r="L166" i="36" s="1"/>
  <c r="M166" i="36" s="1"/>
  <c r="K162" i="36"/>
  <c r="L162" i="36" s="1"/>
  <c r="M162" i="36" s="1"/>
  <c r="K38" i="36"/>
  <c r="L38" i="36" s="1"/>
  <c r="M38" i="36" s="1"/>
  <c r="K57" i="36"/>
  <c r="L57" i="36" s="1"/>
  <c r="M57" i="36" s="1"/>
  <c r="K173" i="36"/>
  <c r="L173" i="36" s="1"/>
  <c r="M173" i="36" s="1"/>
  <c r="K290" i="36"/>
  <c r="L290" i="36" s="1"/>
  <c r="M290" i="36" s="1"/>
  <c r="K128" i="36"/>
  <c r="L128" i="36" s="1"/>
  <c r="M128" i="36" s="1"/>
  <c r="K20" i="36"/>
  <c r="L20" i="36" s="1"/>
  <c r="M20" i="36" s="1"/>
  <c r="K164" i="36"/>
  <c r="L164" i="36" s="1"/>
  <c r="M164" i="36" s="1"/>
  <c r="K200" i="36"/>
  <c r="L200" i="36" s="1"/>
  <c r="M200" i="36" s="1"/>
  <c r="K240" i="36"/>
  <c r="L240" i="36" s="1"/>
  <c r="M240" i="36" s="1"/>
  <c r="K221" i="36"/>
  <c r="L221" i="36" s="1"/>
  <c r="M221" i="36" s="1"/>
  <c r="K45" i="36"/>
  <c r="L45" i="36" s="1"/>
  <c r="M45" i="36" s="1"/>
  <c r="K285" i="36"/>
  <c r="L285" i="36" s="1"/>
  <c r="M285" i="36" s="1"/>
  <c r="K283" i="36"/>
  <c r="L283" i="36" s="1"/>
  <c r="M283" i="36" s="1"/>
  <c r="K282" i="36"/>
  <c r="L282" i="36" s="1"/>
  <c r="M282" i="36" s="1"/>
  <c r="K117" i="36"/>
  <c r="L117" i="36" s="1"/>
  <c r="M117" i="36" s="1"/>
  <c r="K209" i="36"/>
  <c r="L209" i="36" s="1"/>
  <c r="M209" i="36" s="1"/>
  <c r="K46" i="36"/>
  <c r="L46" i="36" s="1"/>
  <c r="M46" i="36" s="1"/>
  <c r="K150" i="36"/>
  <c r="L150" i="36" s="1"/>
  <c r="M150" i="36" s="1"/>
  <c r="K104" i="36"/>
  <c r="L104" i="36" s="1"/>
  <c r="M104" i="36" s="1"/>
  <c r="K187" i="36"/>
  <c r="L187" i="36" s="1"/>
  <c r="M187" i="36" s="1"/>
  <c r="K93" i="36"/>
  <c r="L93" i="36" s="1"/>
  <c r="M93" i="36" s="1"/>
  <c r="K219" i="36"/>
  <c r="L219" i="36" s="1"/>
  <c r="M219" i="36" s="1"/>
  <c r="K171" i="36"/>
  <c r="L171" i="36" s="1"/>
  <c r="M171" i="36" s="1"/>
  <c r="K207" i="36"/>
  <c r="L207" i="36" s="1"/>
  <c r="M207" i="36" s="1"/>
  <c r="K65" i="36"/>
  <c r="L65" i="36" s="1"/>
  <c r="M65" i="36" s="1"/>
  <c r="K41" i="36"/>
  <c r="L41" i="36" s="1"/>
  <c r="M41" i="36" s="1"/>
  <c r="K218" i="36"/>
  <c r="L218" i="36" s="1"/>
  <c r="M218" i="36" s="1"/>
  <c r="K149" i="36"/>
  <c r="L149" i="36" s="1"/>
  <c r="M149" i="36" s="1"/>
  <c r="K252" i="36"/>
  <c r="L252" i="36" s="1"/>
  <c r="M252" i="36" s="1"/>
  <c r="K311" i="36"/>
  <c r="L311" i="36" s="1"/>
  <c r="M311" i="36" s="1"/>
  <c r="K273" i="36"/>
  <c r="L273" i="36" s="1"/>
  <c r="M273" i="36" s="1"/>
  <c r="K206" i="36"/>
  <c r="L206" i="36" s="1"/>
  <c r="M206" i="36" s="1"/>
  <c r="K141" i="36"/>
  <c r="L141" i="36" s="1"/>
  <c r="M141" i="36" s="1"/>
  <c r="K125" i="36"/>
  <c r="L125" i="36" s="1"/>
  <c r="M125" i="36" s="1"/>
  <c r="K202" i="36"/>
  <c r="L202" i="36" s="1"/>
  <c r="M202" i="36" s="1"/>
  <c r="K121" i="36"/>
  <c r="L121" i="36" s="1"/>
  <c r="M121" i="36" s="1"/>
  <c r="K281" i="36"/>
  <c r="L281" i="36" s="1"/>
  <c r="M281" i="36" s="1"/>
  <c r="K253" i="36"/>
  <c r="L253" i="36" s="1"/>
  <c r="M253" i="36" s="1"/>
  <c r="K227" i="36"/>
  <c r="L227" i="36" s="1"/>
  <c r="M227" i="36" s="1"/>
  <c r="K48" i="36"/>
  <c r="L48" i="36" s="1"/>
  <c r="M48" i="36" s="1"/>
  <c r="K39" i="36"/>
  <c r="L39" i="36" s="1"/>
  <c r="M39" i="36" s="1"/>
  <c r="K112" i="36"/>
  <c r="L112" i="36" s="1"/>
  <c r="M112" i="36" s="1"/>
  <c r="K163" i="36"/>
  <c r="L163" i="36" s="1"/>
  <c r="M163" i="36" s="1"/>
  <c r="K129" i="36"/>
  <c r="L129" i="36" s="1"/>
  <c r="M129" i="36" s="1"/>
  <c r="K108" i="36"/>
  <c r="L108" i="36" s="1"/>
  <c r="M108" i="36" s="1"/>
  <c r="K16" i="36"/>
  <c r="L16" i="36" s="1"/>
  <c r="M16" i="36" s="1"/>
  <c r="K114" i="36"/>
  <c r="L114" i="36" s="1"/>
  <c r="M114" i="36" s="1"/>
  <c r="K190" i="36"/>
  <c r="L190" i="36" s="1"/>
  <c r="M190" i="36" s="1"/>
  <c r="K49" i="36"/>
  <c r="L49" i="36" s="1"/>
  <c r="M49" i="36" s="1"/>
  <c r="K183" i="36"/>
  <c r="L183" i="36" s="1"/>
  <c r="M183" i="36" s="1"/>
  <c r="K152" i="36"/>
  <c r="L152" i="36" s="1"/>
  <c r="M152" i="36" s="1"/>
  <c r="K94" i="36"/>
  <c r="L94" i="36" s="1"/>
  <c r="M94" i="36" s="1"/>
  <c r="K277" i="36"/>
  <c r="L277" i="36" s="1"/>
  <c r="M277" i="36" s="1"/>
  <c r="K144" i="36"/>
  <c r="L144" i="36" s="1"/>
  <c r="M144" i="36" s="1"/>
  <c r="K145" i="36"/>
  <c r="L145" i="36" s="1"/>
  <c r="M145" i="36" s="1"/>
  <c r="K28" i="36"/>
  <c r="L28" i="36" s="1"/>
  <c r="M28" i="36" s="1"/>
  <c r="K68" i="36"/>
  <c r="L68" i="36" s="1"/>
  <c r="M68" i="36" s="1"/>
  <c r="K116" i="36"/>
  <c r="L116" i="36" s="1"/>
  <c r="M116" i="36" s="1"/>
  <c r="K101" i="36"/>
  <c r="L101" i="36" s="1"/>
  <c r="M101" i="36" s="1"/>
  <c r="K228" i="36"/>
  <c r="L228" i="36" s="1"/>
  <c r="M228" i="36" s="1"/>
  <c r="K196" i="36"/>
  <c r="L196" i="36" s="1"/>
  <c r="M196" i="36" s="1"/>
  <c r="K191" i="36"/>
  <c r="L191" i="36" s="1"/>
  <c r="M191" i="36" s="1"/>
  <c r="K274" i="36"/>
  <c r="L274" i="36" s="1"/>
  <c r="M274" i="36" s="1"/>
  <c r="K270" i="36"/>
  <c r="L270" i="36" s="1"/>
  <c r="M270" i="36" s="1"/>
  <c r="K88" i="36"/>
  <c r="L88" i="36" s="1"/>
  <c r="M88" i="36" s="1"/>
  <c r="K19" i="36"/>
  <c r="L19" i="36" s="1"/>
  <c r="M19" i="36" s="1"/>
  <c r="K61" i="36"/>
  <c r="L61" i="36" s="1"/>
  <c r="M61" i="36" s="1"/>
  <c r="K265" i="36"/>
  <c r="L265" i="36" s="1"/>
  <c r="M265" i="36" s="1"/>
  <c r="K291" i="36"/>
  <c r="L291" i="36" s="1"/>
  <c r="M291" i="36" s="1"/>
  <c r="K199" i="36"/>
  <c r="L199" i="36" s="1"/>
  <c r="M199" i="36" s="1"/>
  <c r="K184" i="36"/>
  <c r="L184" i="36" s="1"/>
  <c r="M184" i="36" s="1"/>
  <c r="K24" i="36"/>
  <c r="L24" i="36" s="1"/>
  <c r="M24" i="36" s="1"/>
  <c r="K146" i="36"/>
  <c r="L146" i="36" s="1"/>
  <c r="M146" i="36" s="1"/>
  <c r="K85" i="36"/>
  <c r="L85" i="36" s="1"/>
  <c r="M85" i="36" s="1"/>
  <c r="K287" i="36"/>
  <c r="L287" i="36" s="1"/>
  <c r="M287" i="36" s="1"/>
  <c r="K50" i="36"/>
  <c r="L50" i="36" s="1"/>
  <c r="M50" i="36" s="1"/>
  <c r="K131" i="36"/>
  <c r="L131" i="36" s="1"/>
  <c r="M131" i="36" s="1"/>
  <c r="K306" i="36"/>
  <c r="L306" i="36" s="1"/>
  <c r="M306" i="36" s="1"/>
  <c r="K266" i="36"/>
  <c r="L266" i="36" s="1"/>
  <c r="M266" i="36" s="1"/>
  <c r="K53" i="36"/>
  <c r="L53" i="36" s="1"/>
  <c r="M53" i="36" s="1"/>
  <c r="K132" i="36"/>
  <c r="L132" i="36" s="1"/>
  <c r="M132" i="36" s="1"/>
  <c r="K113" i="36"/>
  <c r="L113" i="36" s="1"/>
  <c r="M113" i="36" s="1"/>
  <c r="K298" i="36"/>
  <c r="L298" i="36" s="1"/>
  <c r="M298" i="36" s="1"/>
  <c r="K309" i="36"/>
  <c r="L309" i="36" s="1"/>
  <c r="M309" i="36" s="1"/>
  <c r="K30" i="36"/>
  <c r="L30" i="36" s="1"/>
  <c r="M30" i="36" s="1"/>
  <c r="K70" i="36"/>
  <c r="L70" i="36" s="1"/>
  <c r="M70" i="36" s="1"/>
  <c r="K286" i="36"/>
  <c r="L286" i="36" s="1"/>
  <c r="M286" i="36" s="1"/>
  <c r="K103" i="36"/>
  <c r="L103" i="36" s="1"/>
  <c r="M103" i="36" s="1"/>
  <c r="K52" i="36"/>
  <c r="L52" i="36" s="1"/>
  <c r="M52" i="36" s="1"/>
  <c r="K137" i="36"/>
  <c r="L137" i="36" s="1"/>
  <c r="M137" i="36" s="1"/>
  <c r="K32" i="36"/>
  <c r="L32" i="36" s="1"/>
  <c r="M32" i="36" s="1"/>
  <c r="K276" i="36"/>
  <c r="L276" i="36" s="1"/>
  <c r="M276" i="36" s="1"/>
  <c r="K130" i="36"/>
  <c r="L130" i="36" s="1"/>
  <c r="M130" i="36" s="1"/>
  <c r="K315" i="36"/>
  <c r="L315" i="36" s="1"/>
  <c r="M315" i="36" s="1"/>
  <c r="K279" i="36"/>
  <c r="L279" i="36" s="1"/>
  <c r="M279" i="36" s="1"/>
  <c r="K307" i="36"/>
  <c r="L307" i="36" s="1"/>
  <c r="M307" i="36" s="1"/>
  <c r="K180" i="36"/>
  <c r="L180" i="36" s="1"/>
  <c r="M180" i="36" s="1"/>
  <c r="K107" i="36"/>
  <c r="L107" i="36" s="1"/>
  <c r="M107" i="36" s="1"/>
  <c r="K318" i="36"/>
  <c r="L318" i="36" s="1"/>
  <c r="M318" i="36" s="1"/>
  <c r="K214" i="36"/>
  <c r="L214" i="36" s="1"/>
  <c r="M214" i="36" s="1"/>
  <c r="K213" i="36"/>
  <c r="L213" i="36" s="1"/>
  <c r="M213" i="36" s="1"/>
  <c r="K153" i="36"/>
  <c r="L153" i="36" s="1"/>
  <c r="M153" i="36" s="1"/>
  <c r="K310" i="36"/>
  <c r="L310" i="36" s="1"/>
  <c r="M310" i="36" s="1"/>
  <c r="K96" i="36"/>
  <c r="L96" i="36" s="1"/>
  <c r="M96" i="36" s="1"/>
  <c r="K161" i="36"/>
  <c r="L161" i="36" s="1"/>
  <c r="M161" i="36" s="1"/>
  <c r="K110" i="36"/>
  <c r="L110" i="36" s="1"/>
  <c r="M110" i="36" s="1"/>
  <c r="K72" i="36"/>
  <c r="L72" i="36" s="1"/>
  <c r="M72" i="36" s="1"/>
  <c r="K91" i="36"/>
  <c r="L91" i="36" s="1"/>
  <c r="M91" i="36" s="1"/>
  <c r="K102" i="36"/>
  <c r="L102" i="36" s="1"/>
  <c r="M102" i="36" s="1"/>
  <c r="K81" i="36"/>
  <c r="L81" i="36" s="1"/>
  <c r="M81" i="36" s="1"/>
  <c r="K58" i="36"/>
  <c r="L58" i="36" s="1"/>
  <c r="M58" i="36" s="1"/>
  <c r="K119" i="36"/>
  <c r="L119" i="36" s="1"/>
  <c r="M119" i="36" s="1"/>
  <c r="K60" i="36"/>
  <c r="L60" i="36" s="1"/>
  <c r="M60" i="36" s="1"/>
  <c r="K135" i="36"/>
  <c r="L135" i="36" s="1"/>
  <c r="M135" i="36" s="1"/>
  <c r="K151" i="36"/>
  <c r="L151" i="36" s="1"/>
  <c r="M151" i="36" s="1"/>
  <c r="K160" i="36"/>
  <c r="L160" i="36" s="1"/>
  <c r="M160" i="36" s="1"/>
  <c r="K167" i="36"/>
  <c r="L167" i="36" s="1"/>
  <c r="M167" i="36" s="1"/>
  <c r="K258" i="36"/>
  <c r="L258" i="36" s="1"/>
  <c r="M258" i="36" s="1"/>
  <c r="K292" i="36"/>
  <c r="L292" i="36" s="1"/>
  <c r="M292" i="36" s="1"/>
  <c r="K36" i="36"/>
  <c r="L36" i="36" s="1"/>
  <c r="M36" i="36" s="1"/>
  <c r="K245" i="36"/>
  <c r="L245" i="36" s="1"/>
  <c r="M245" i="36" s="1"/>
  <c r="K142" i="36"/>
  <c r="L142" i="36" s="1"/>
  <c r="M142" i="36" s="1"/>
  <c r="K54" i="36"/>
  <c r="L54" i="36" s="1"/>
  <c r="M54" i="36" s="1"/>
  <c r="K293" i="36"/>
  <c r="L293" i="36" s="1"/>
  <c r="M293" i="36" s="1"/>
  <c r="K87" i="36"/>
  <c r="L87" i="36" s="1"/>
  <c r="M87" i="36" s="1"/>
  <c r="K179" i="36"/>
  <c r="L179" i="36" s="1"/>
  <c r="M179" i="36" s="1"/>
  <c r="K303" i="36"/>
  <c r="L303" i="36" s="1"/>
  <c r="M303" i="36" s="1"/>
  <c r="K123" i="36"/>
  <c r="L123" i="36" s="1"/>
  <c r="M123" i="36" s="1"/>
  <c r="K216" i="36"/>
  <c r="L216" i="36" s="1"/>
  <c r="M216" i="36" s="1"/>
  <c r="K268" i="36"/>
  <c r="L268" i="36" s="1"/>
  <c r="M268" i="36" s="1"/>
  <c r="K31" i="36"/>
  <c r="L31" i="36" s="1"/>
  <c r="M31" i="36" s="1"/>
  <c r="K66" i="36"/>
  <c r="L66" i="36" s="1"/>
  <c r="M66" i="36" s="1"/>
  <c r="K84" i="36"/>
  <c r="L84" i="36" s="1"/>
  <c r="M84" i="36" s="1"/>
  <c r="K220" i="36"/>
  <c r="L220" i="36" s="1"/>
  <c r="M220" i="36" s="1"/>
  <c r="K40" i="36"/>
  <c r="L40" i="36" s="1"/>
  <c r="M40" i="36" s="1"/>
  <c r="K232" i="36"/>
  <c r="L232" i="36" s="1"/>
  <c r="M232" i="36" s="1"/>
  <c r="K92" i="36"/>
  <c r="L92" i="36" s="1"/>
  <c r="M92" i="36" s="1"/>
  <c r="N320" i="37" l="1"/>
  <c r="N319" i="39"/>
  <c r="N319" i="37"/>
  <c r="N320" i="39"/>
  <c r="N40" i="39"/>
  <c r="N297" i="39"/>
  <c r="N229" i="39"/>
  <c r="N101" i="39"/>
  <c r="N259" i="39"/>
  <c r="N37" i="39"/>
  <c r="N257" i="39"/>
  <c r="N203" i="39"/>
  <c r="N219" i="39"/>
  <c r="N270" i="39"/>
  <c r="N233" i="39"/>
  <c r="N31" i="39"/>
  <c r="N186" i="39"/>
  <c r="N92" i="39"/>
  <c r="N52" i="39"/>
  <c r="N254" i="39"/>
  <c r="N242" i="39"/>
  <c r="N272" i="39"/>
  <c r="N293" i="39"/>
  <c r="N180" i="39"/>
  <c r="N181" i="39"/>
  <c r="N78" i="39"/>
  <c r="N48" i="39"/>
  <c r="N215" i="39"/>
  <c r="N283" i="39"/>
  <c r="N49" i="39"/>
  <c r="N288" i="39"/>
  <c r="N227" i="39"/>
  <c r="N261" i="39"/>
  <c r="N30" i="39"/>
  <c r="N262" i="39"/>
  <c r="N298" i="39"/>
  <c r="N245" i="39"/>
  <c r="N302" i="39"/>
  <c r="N218" i="39"/>
  <c r="N158" i="39"/>
  <c r="N260" i="39"/>
  <c r="N119" i="39"/>
  <c r="N29" i="39"/>
  <c r="N188" i="39"/>
  <c r="N217" i="39"/>
  <c r="N209" i="39"/>
  <c r="N121" i="39"/>
  <c r="N126" i="39"/>
  <c r="N19" i="39"/>
  <c r="N116" i="39"/>
  <c r="N76" i="39"/>
  <c r="N282" i="39"/>
  <c r="N80" i="39"/>
  <c r="N256" i="39"/>
  <c r="N5" i="39"/>
  <c r="N41" i="39"/>
  <c r="N109" i="39"/>
  <c r="N102" i="39"/>
  <c r="N82" i="39"/>
  <c r="N252" i="39"/>
  <c r="N275" i="39"/>
  <c r="N112" i="39"/>
  <c r="N90" i="39"/>
  <c r="N43" i="39"/>
  <c r="N34" i="39"/>
  <c r="N204" i="39"/>
  <c r="N299" i="39"/>
  <c r="N103" i="39"/>
  <c r="N75" i="39"/>
  <c r="N306" i="39"/>
  <c r="N71" i="39"/>
  <c r="N28" i="39"/>
  <c r="N55" i="39"/>
  <c r="N213" i="39"/>
  <c r="N287" i="39"/>
  <c r="N226" i="39"/>
  <c r="N145" i="39"/>
  <c r="N237" i="39"/>
  <c r="N318" i="39"/>
  <c r="N61" i="39"/>
  <c r="N157" i="39"/>
  <c r="N124" i="39"/>
  <c r="N156" i="39"/>
  <c r="N190" i="39"/>
  <c r="N168" i="39"/>
  <c r="N74" i="39"/>
  <c r="N197" i="39"/>
  <c r="N274" i="39"/>
  <c r="N191" i="39"/>
  <c r="N291" i="39"/>
  <c r="N238" i="39"/>
  <c r="N18" i="39"/>
  <c r="N35" i="39"/>
  <c r="N135" i="39"/>
  <c r="N95" i="39"/>
  <c r="N6" i="39"/>
  <c r="N243" i="39"/>
  <c r="N263" i="39"/>
  <c r="N220" i="39"/>
  <c r="N143" i="39"/>
  <c r="N179" i="39"/>
  <c r="N106" i="39"/>
  <c r="N212" i="39"/>
  <c r="N9" i="39"/>
  <c r="N151" i="39"/>
  <c r="N38" i="39"/>
  <c r="N68" i="39"/>
  <c r="N94" i="39"/>
  <c r="N114" i="39"/>
  <c r="N216" i="39"/>
  <c r="N57" i="39"/>
  <c r="N60" i="39"/>
  <c r="N42" i="39"/>
  <c r="N16" i="39"/>
  <c r="N235" i="39"/>
  <c r="N241" i="39"/>
  <c r="N69" i="39"/>
  <c r="N79" i="39"/>
  <c r="N105" i="39"/>
  <c r="N96" i="39"/>
  <c r="N98" i="39"/>
  <c r="N146" i="39"/>
  <c r="N316" i="39"/>
  <c r="N267" i="39"/>
  <c r="N139" i="39"/>
  <c r="N164" i="39"/>
  <c r="N155" i="39"/>
  <c r="N247" i="39"/>
  <c r="N100" i="39"/>
  <c r="N162" i="39"/>
  <c r="N39" i="39"/>
  <c r="N47" i="39"/>
  <c r="N308" i="39"/>
  <c r="N24" i="39"/>
  <c r="N107" i="39"/>
  <c r="N194" i="39"/>
  <c r="N304" i="39"/>
  <c r="N21" i="39"/>
  <c r="N125" i="39"/>
  <c r="N207" i="39"/>
  <c r="N11" i="39"/>
  <c r="N224" i="39"/>
  <c r="N117" i="39"/>
  <c r="N193" i="39"/>
  <c r="N149" i="39"/>
  <c r="N189" i="39"/>
  <c r="N269" i="39"/>
  <c r="N248" i="39"/>
  <c r="N289" i="39"/>
  <c r="N244" i="39"/>
  <c r="N234" i="39"/>
  <c r="N246" i="39"/>
  <c r="N210" i="39"/>
  <c r="N152" i="39"/>
  <c r="N87" i="39"/>
  <c r="N150" i="39"/>
  <c r="N14" i="39"/>
  <c r="N27" i="39"/>
  <c r="N170" i="39"/>
  <c r="N169" i="39"/>
  <c r="N296" i="39"/>
  <c r="N113" i="39"/>
  <c r="N198" i="39"/>
  <c r="N128" i="39"/>
  <c r="N175" i="39"/>
  <c r="N273" i="39"/>
  <c r="N174" i="39"/>
  <c r="N228" i="39"/>
  <c r="N13" i="39"/>
  <c r="N192" i="39"/>
  <c r="N268" i="39"/>
  <c r="N161" i="39"/>
  <c r="N294" i="39"/>
  <c r="N251" i="39"/>
  <c r="N276" i="39"/>
  <c r="N144" i="39"/>
  <c r="N118" i="39"/>
  <c r="N88" i="39"/>
  <c r="N54" i="39"/>
  <c r="N195" i="39"/>
  <c r="N45" i="39"/>
  <c r="N211" i="39"/>
  <c r="N58" i="39"/>
  <c r="N66" i="39"/>
  <c r="N258" i="39"/>
  <c r="N315" i="39"/>
  <c r="N199" i="39"/>
  <c r="N177" i="39"/>
  <c r="N15" i="39"/>
  <c r="N163" i="39"/>
  <c r="N133" i="39"/>
  <c r="N311" i="39"/>
  <c r="N266" i="39"/>
  <c r="N104" i="39"/>
  <c r="N108" i="39"/>
  <c r="N72" i="39"/>
  <c r="N36" i="39"/>
  <c r="N264" i="39"/>
  <c r="N63" i="39"/>
  <c r="N120" i="39"/>
  <c r="N138" i="39"/>
  <c r="N301" i="39"/>
  <c r="N309" i="39"/>
  <c r="N201" i="39"/>
  <c r="N97" i="39"/>
  <c r="N185" i="39"/>
  <c r="N46" i="39"/>
  <c r="N127" i="39"/>
  <c r="N285" i="39"/>
  <c r="N317" i="39"/>
  <c r="N280" i="39"/>
  <c r="N240" i="39"/>
  <c r="N182" i="39"/>
  <c r="N12" i="39"/>
  <c r="N305" i="39"/>
  <c r="N172" i="39"/>
  <c r="N312" i="39"/>
  <c r="N7" i="39"/>
  <c r="N32" i="39"/>
  <c r="N223" i="39"/>
  <c r="N173" i="39"/>
  <c r="N307" i="39"/>
  <c r="N314" i="39"/>
  <c r="N147" i="39"/>
  <c r="N81" i="39"/>
  <c r="N56" i="39"/>
  <c r="N249" i="39"/>
  <c r="N286" i="39"/>
  <c r="N153" i="39"/>
  <c r="N50" i="39"/>
  <c r="M4" i="39"/>
  <c r="L3" i="39" a="1"/>
  <c r="L3" i="39" s="1"/>
  <c r="N10" i="39"/>
  <c r="N232" i="39"/>
  <c r="N59" i="39"/>
  <c r="N236" i="39"/>
  <c r="N115" i="39"/>
  <c r="N176" i="39"/>
  <c r="N313" i="39"/>
  <c r="N136" i="39"/>
  <c r="N73" i="39"/>
  <c r="N65" i="39"/>
  <c r="N183" i="39"/>
  <c r="N171" i="39"/>
  <c r="N83" i="39"/>
  <c r="N17" i="39"/>
  <c r="N23" i="39"/>
  <c r="N202" i="39"/>
  <c r="N300" i="39"/>
  <c r="N131" i="39"/>
  <c r="N99" i="39"/>
  <c r="N221" i="39"/>
  <c r="N184" i="39"/>
  <c r="N255" i="39"/>
  <c r="N292" i="39"/>
  <c r="N33" i="39"/>
  <c r="N271" i="39"/>
  <c r="N231" i="39"/>
  <c r="N148" i="39"/>
  <c r="N140" i="39"/>
  <c r="N85" i="39"/>
  <c r="N77" i="39"/>
  <c r="N70" i="39"/>
  <c r="N187" i="39"/>
  <c r="N129" i="39"/>
  <c r="N230" i="39"/>
  <c r="N281" i="39"/>
  <c r="N110" i="39"/>
  <c r="N26" i="39"/>
  <c r="N64" i="39"/>
  <c r="N130" i="39"/>
  <c r="N290" i="39"/>
  <c r="N93" i="39"/>
  <c r="N167" i="39"/>
  <c r="N8" i="39"/>
  <c r="N111" i="39"/>
  <c r="N277" i="39"/>
  <c r="N279" i="39"/>
  <c r="N295" i="39"/>
  <c r="N89" i="39"/>
  <c r="N122" i="39"/>
  <c r="N25" i="39"/>
  <c r="N200" i="39"/>
  <c r="N132" i="39"/>
  <c r="N86" i="39"/>
  <c r="N225" i="39"/>
  <c r="N123" i="39"/>
  <c r="N166" i="39"/>
  <c r="N160" i="39"/>
  <c r="N278" i="39"/>
  <c r="N51" i="39"/>
  <c r="N250" i="39"/>
  <c r="N44" i="39"/>
  <c r="N67" i="39"/>
  <c r="N84" i="39"/>
  <c r="N205" i="39"/>
  <c r="N91" i="39"/>
  <c r="N159" i="39"/>
  <c r="N222" i="39"/>
  <c r="N178" i="39"/>
  <c r="N206" i="39"/>
  <c r="N214" i="39"/>
  <c r="N154" i="39"/>
  <c r="N20" i="39"/>
  <c r="N22" i="39"/>
  <c r="N284" i="39"/>
  <c r="N134" i="39"/>
  <c r="N239" i="39"/>
  <c r="N53" i="39"/>
  <c r="N62" i="39"/>
  <c r="N141" i="39"/>
  <c r="N265" i="39"/>
  <c r="N137" i="39"/>
  <c r="N253" i="39"/>
  <c r="N310" i="39"/>
  <c r="N142" i="39"/>
  <c r="N208" i="39"/>
  <c r="N303" i="39"/>
  <c r="N196" i="39"/>
  <c r="N165" i="39"/>
  <c r="K3" i="39" a="1"/>
  <c r="K3" i="39" s="1"/>
  <c r="M4" i="38"/>
  <c r="L3" i="38" a="1"/>
  <c r="L3" i="38" s="1"/>
  <c r="K3" i="37" a="1"/>
  <c r="K3" i="37" s="1"/>
  <c r="L4" i="37"/>
  <c r="N54" i="36"/>
  <c r="N276" i="36"/>
  <c r="N309" i="36"/>
  <c r="N50" i="36"/>
  <c r="N228" i="36"/>
  <c r="N129" i="36"/>
  <c r="N121" i="36"/>
  <c r="N149" i="36"/>
  <c r="N285" i="36"/>
  <c r="N156" i="36"/>
  <c r="N33" i="36"/>
  <c r="N243" i="36"/>
  <c r="N178" i="36"/>
  <c r="N294" i="36"/>
  <c r="N212" i="36"/>
  <c r="N120" i="36"/>
  <c r="N230" i="36"/>
  <c r="N169" i="36"/>
  <c r="N18" i="36"/>
  <c r="N59" i="36"/>
  <c r="N17" i="36"/>
  <c r="N34" i="36"/>
  <c r="N10" i="36"/>
  <c r="N317" i="36"/>
  <c r="N158" i="36"/>
  <c r="N136" i="36"/>
  <c r="N177" i="36"/>
  <c r="N271" i="36"/>
  <c r="N231" i="36"/>
  <c r="N186" i="36"/>
  <c r="N268" i="36"/>
  <c r="N142" i="36"/>
  <c r="N135" i="36"/>
  <c r="N110" i="36"/>
  <c r="N318" i="36"/>
  <c r="N32" i="36"/>
  <c r="N298" i="36"/>
  <c r="N287" i="36"/>
  <c r="N61" i="36"/>
  <c r="N101" i="36"/>
  <c r="N152" i="36"/>
  <c r="N163" i="36"/>
  <c r="N202" i="36"/>
  <c r="N218" i="36"/>
  <c r="N104" i="36"/>
  <c r="N45" i="36"/>
  <c r="N173" i="36"/>
  <c r="N248" i="36"/>
  <c r="N82" i="36"/>
  <c r="N278" i="36"/>
  <c r="N172" i="36"/>
  <c r="N86" i="36"/>
  <c r="N272" i="36"/>
  <c r="N78" i="36"/>
  <c r="N124" i="36"/>
  <c r="N35" i="36"/>
  <c r="N89" i="36"/>
  <c r="N264" i="36"/>
  <c r="N23" i="36"/>
  <c r="N301" i="36"/>
  <c r="N300" i="36"/>
  <c r="N194" i="36"/>
  <c r="N14" i="36"/>
  <c r="N215" i="36"/>
  <c r="N138" i="36"/>
  <c r="N115" i="36"/>
  <c r="N211" i="36"/>
  <c r="N26" i="36"/>
  <c r="N69" i="36"/>
  <c r="N265" i="36"/>
  <c r="N92" i="36"/>
  <c r="N137" i="36"/>
  <c r="N41" i="36"/>
  <c r="N233" i="36"/>
  <c r="N232" i="36"/>
  <c r="N123" i="36"/>
  <c r="N36" i="36"/>
  <c r="N119" i="36"/>
  <c r="N96" i="36"/>
  <c r="N180" i="36"/>
  <c r="N52" i="36"/>
  <c r="N132" i="36"/>
  <c r="N146" i="36"/>
  <c r="N88" i="36"/>
  <c r="N68" i="36"/>
  <c r="N49" i="36"/>
  <c r="N39" i="36"/>
  <c r="N141" i="36"/>
  <c r="N65" i="36"/>
  <c r="N46" i="36"/>
  <c r="N240" i="36"/>
  <c r="N38" i="36"/>
  <c r="N295" i="36"/>
  <c r="N314" i="36"/>
  <c r="N127" i="36"/>
  <c r="N143" i="36"/>
  <c r="N80" i="36"/>
  <c r="N192" i="36"/>
  <c r="N56" i="36"/>
  <c r="N8" i="36"/>
  <c r="N77" i="36"/>
  <c r="N147" i="36"/>
  <c r="N55" i="36"/>
  <c r="N284" i="36"/>
  <c r="N201" i="36"/>
  <c r="N210" i="36"/>
  <c r="N313" i="36"/>
  <c r="N25" i="36"/>
  <c r="N71" i="36"/>
  <c r="N83" i="36"/>
  <c r="N247" i="36"/>
  <c r="N239" i="36"/>
  <c r="N6" i="36"/>
  <c r="N151" i="36"/>
  <c r="N187" i="36"/>
  <c r="N161" i="36"/>
  <c r="N19" i="36"/>
  <c r="N125" i="36"/>
  <c r="N204" i="36"/>
  <c r="N98" i="36"/>
  <c r="N175" i="36"/>
  <c r="N75" i="36"/>
  <c r="N304" i="36"/>
  <c r="N159" i="36"/>
  <c r="N40" i="36"/>
  <c r="N303" i="36"/>
  <c r="N292" i="36"/>
  <c r="N58" i="36"/>
  <c r="N310" i="36"/>
  <c r="N307" i="36"/>
  <c r="N103" i="36"/>
  <c r="N53" i="36"/>
  <c r="N24" i="36"/>
  <c r="N270" i="36"/>
  <c r="N28" i="36"/>
  <c r="N190" i="36"/>
  <c r="N48" i="36"/>
  <c r="N206" i="36"/>
  <c r="N207" i="36"/>
  <c r="N209" i="36"/>
  <c r="N200" i="36"/>
  <c r="N162" i="36"/>
  <c r="N157" i="36"/>
  <c r="N249" i="36"/>
  <c r="N188" i="36"/>
  <c r="N176" i="36"/>
  <c r="N134" i="36"/>
  <c r="N12" i="36"/>
  <c r="N95" i="36"/>
  <c r="N224" i="36"/>
  <c r="N148" i="36"/>
  <c r="N47" i="36"/>
  <c r="N289" i="36"/>
  <c r="N302" i="36"/>
  <c r="N242" i="36"/>
  <c r="N27" i="36"/>
  <c r="N267" i="36"/>
  <c r="N280" i="36"/>
  <c r="N5" i="36"/>
  <c r="N11" i="36"/>
  <c r="N155" i="36"/>
  <c r="N111" i="36"/>
  <c r="N208" i="36"/>
  <c r="N22" i="36"/>
  <c r="N94" i="36"/>
  <c r="N60" i="36"/>
  <c r="N85" i="36"/>
  <c r="N150" i="36"/>
  <c r="N251" i="36"/>
  <c r="N220" i="36"/>
  <c r="N179" i="36"/>
  <c r="N258" i="36"/>
  <c r="N81" i="36"/>
  <c r="N153" i="36"/>
  <c r="N279" i="36"/>
  <c r="N286" i="36"/>
  <c r="N266" i="36"/>
  <c r="N184" i="36"/>
  <c r="N274" i="36"/>
  <c r="N145" i="36"/>
  <c r="N114" i="36"/>
  <c r="N227" i="36"/>
  <c r="N273" i="36"/>
  <c r="N171" i="36"/>
  <c r="N117" i="36"/>
  <c r="N164" i="36"/>
  <c r="N166" i="36"/>
  <c r="N126" i="36"/>
  <c r="N122" i="36"/>
  <c r="N62" i="36"/>
  <c r="N288" i="36"/>
  <c r="N236" i="36"/>
  <c r="N100" i="36"/>
  <c r="N256" i="36"/>
  <c r="N118" i="36"/>
  <c r="N174" i="36"/>
  <c r="N259" i="36"/>
  <c r="N257" i="36"/>
  <c r="N198" i="36"/>
  <c r="N222" i="36"/>
  <c r="N312" i="36"/>
  <c r="N79" i="36"/>
  <c r="N297" i="36"/>
  <c r="N203" i="36"/>
  <c r="N241" i="36"/>
  <c r="N51" i="36"/>
  <c r="N185" i="36"/>
  <c r="N64" i="36"/>
  <c r="N238" i="36"/>
  <c r="N31" i="36"/>
  <c r="N72" i="36"/>
  <c r="N290" i="36"/>
  <c r="N245" i="36"/>
  <c r="N113" i="36"/>
  <c r="N183" i="36"/>
  <c r="N57" i="36"/>
  <c r="N140" i="36"/>
  <c r="N97" i="36"/>
  <c r="N106" i="36"/>
  <c r="N7" i="36"/>
  <c r="N255" i="36"/>
  <c r="N21" i="36"/>
  <c r="N296" i="36"/>
  <c r="N84" i="36"/>
  <c r="N87" i="36"/>
  <c r="N167" i="36"/>
  <c r="N102" i="36"/>
  <c r="N315" i="36"/>
  <c r="N70" i="36"/>
  <c r="N306" i="36"/>
  <c r="N199" i="36"/>
  <c r="N191" i="36"/>
  <c r="N144" i="36"/>
  <c r="N16" i="36"/>
  <c r="N253" i="36"/>
  <c r="N311" i="36"/>
  <c r="N219" i="36"/>
  <c r="N282" i="36"/>
  <c r="N20" i="36"/>
  <c r="N299" i="36"/>
  <c r="N244" i="36"/>
  <c r="N76" i="36"/>
  <c r="N133" i="36"/>
  <c r="N254" i="36"/>
  <c r="N29" i="36"/>
  <c r="N37" i="36"/>
  <c r="N105" i="36"/>
  <c r="N9" i="36"/>
  <c r="N229" i="36"/>
  <c r="N223" i="36"/>
  <c r="N205" i="36"/>
  <c r="N99" i="36"/>
  <c r="N181" i="36"/>
  <c r="N15" i="36"/>
  <c r="N305" i="36"/>
  <c r="N109" i="36"/>
  <c r="N90" i="36"/>
  <c r="N168" i="36"/>
  <c r="N182" i="36"/>
  <c r="N67" i="36"/>
  <c r="N43" i="36"/>
  <c r="L3" i="36" a="1"/>
  <c r="L3" i="36" s="1"/>
  <c r="M4" i="36"/>
  <c r="N4" i="36" s="1"/>
  <c r="N214" i="36"/>
  <c r="N275" i="36"/>
  <c r="N216" i="36"/>
  <c r="N107" i="36"/>
  <c r="N116" i="36"/>
  <c r="N112" i="36"/>
  <c r="N221" i="36"/>
  <c r="N235" i="36"/>
  <c r="N195" i="36"/>
  <c r="N225" i="36"/>
  <c r="N189" i="36"/>
  <c r="N73" i="36"/>
  <c r="N170" i="36"/>
  <c r="N237" i="36"/>
  <c r="N66" i="36"/>
  <c r="N293" i="36"/>
  <c r="N160" i="36"/>
  <c r="N91" i="36"/>
  <c r="N213" i="36"/>
  <c r="N130" i="36"/>
  <c r="N30" i="36"/>
  <c r="N131" i="36"/>
  <c r="N291" i="36"/>
  <c r="N196" i="36"/>
  <c r="N277" i="36"/>
  <c r="N108" i="36"/>
  <c r="N281" i="36"/>
  <c r="N252" i="36"/>
  <c r="N93" i="36"/>
  <c r="N283" i="36"/>
  <c r="N128" i="36"/>
  <c r="N262" i="36"/>
  <c r="N269" i="36"/>
  <c r="N74" i="36"/>
  <c r="N139" i="36"/>
  <c r="N226" i="36"/>
  <c r="N44" i="36"/>
  <c r="N165" i="36"/>
  <c r="N63" i="36"/>
  <c r="N154" i="36"/>
  <c r="N246" i="36"/>
  <c r="N197" i="36"/>
  <c r="N234" i="36"/>
  <c r="N316" i="36"/>
  <c r="N308" i="36"/>
  <c r="N261" i="36"/>
  <c r="N13" i="36"/>
  <c r="N42" i="36"/>
  <c r="N193" i="36"/>
  <c r="N263" i="36"/>
  <c r="N250" i="36"/>
  <c r="N217" i="36"/>
  <c r="N260" i="36"/>
  <c r="K3" i="36" a="1"/>
  <c r="K3" i="36" s="1"/>
  <c r="M3" i="39" l="1" a="1"/>
  <c r="M3" i="39" s="1"/>
  <c r="N4" i="39"/>
  <c r="M3" i="38" a="1"/>
  <c r="M3" i="38" s="1"/>
  <c r="N4" i="38"/>
  <c r="M4" i="37"/>
  <c r="N4" i="37" s="1"/>
  <c r="N3" i="37" s="1" a="1"/>
  <c r="N3" i="37" s="1"/>
  <c r="L3" i="37" a="1"/>
  <c r="L3" i="37" s="1"/>
  <c r="M3" i="36" a="1"/>
  <c r="M3" i="36" s="1"/>
  <c r="N3" i="39" l="1" a="1"/>
  <c r="N3" i="39" s="1"/>
  <c r="N3" i="38" a="1"/>
  <c r="N3" i="38" s="1"/>
  <c r="M3" i="37" a="1"/>
  <c r="M3" i="37" s="1"/>
  <c r="O319" i="37" s="1"/>
  <c r="P319" i="37" s="1"/>
  <c r="Q319" i="37" s="1"/>
  <c r="N3" i="36" a="1"/>
  <c r="N3" i="36" s="1"/>
  <c r="R319" i="37" l="1"/>
  <c r="O319" i="39"/>
  <c r="P319" i="39" s="1"/>
  <c r="Q319" i="39" s="1"/>
  <c r="O320" i="39"/>
  <c r="P320" i="39" s="1"/>
  <c r="Q320" i="39" s="1"/>
  <c r="O320" i="37"/>
  <c r="P320" i="37" s="1"/>
  <c r="Q320" i="37" s="1"/>
  <c r="O320" i="38"/>
  <c r="P320" i="38" s="1"/>
  <c r="Q320" i="38" s="1"/>
  <c r="O319" i="38"/>
  <c r="P319" i="38" s="1"/>
  <c r="Q319" i="38" s="1"/>
  <c r="O4" i="36"/>
  <c r="P4" i="36" s="1"/>
  <c r="O319" i="36"/>
  <c r="P319" i="36" s="1"/>
  <c r="Q319" i="36" s="1"/>
  <c r="O320" i="36"/>
  <c r="P320" i="36" s="1"/>
  <c r="Q320" i="36" s="1"/>
  <c r="O33" i="39"/>
  <c r="P33" i="39" s="1"/>
  <c r="Q33" i="39" s="1"/>
  <c r="O270" i="39"/>
  <c r="P270" i="39" s="1"/>
  <c r="Q270" i="39" s="1"/>
  <c r="O44" i="39"/>
  <c r="P44" i="39" s="1"/>
  <c r="Q44" i="39" s="1"/>
  <c r="O254" i="39"/>
  <c r="P254" i="39" s="1"/>
  <c r="Q254" i="39" s="1"/>
  <c r="O310" i="39"/>
  <c r="P310" i="39" s="1"/>
  <c r="Q310" i="39" s="1"/>
  <c r="O87" i="39"/>
  <c r="P87" i="39" s="1"/>
  <c r="Q87" i="39" s="1"/>
  <c r="O318" i="39"/>
  <c r="P318" i="39" s="1"/>
  <c r="Q318" i="39" s="1"/>
  <c r="O210" i="39"/>
  <c r="P210" i="39" s="1"/>
  <c r="Q210" i="39" s="1"/>
  <c r="O284" i="39"/>
  <c r="P284" i="39" s="1"/>
  <c r="Q284" i="39" s="1"/>
  <c r="O148" i="39"/>
  <c r="P148" i="39" s="1"/>
  <c r="Q148" i="39" s="1"/>
  <c r="O108" i="39"/>
  <c r="P108" i="39" s="1"/>
  <c r="Q108" i="39" s="1"/>
  <c r="O105" i="39"/>
  <c r="P105" i="39" s="1"/>
  <c r="Q105" i="39" s="1"/>
  <c r="O299" i="39"/>
  <c r="P299" i="39" s="1"/>
  <c r="Q299" i="39" s="1"/>
  <c r="O96" i="39"/>
  <c r="P96" i="39" s="1"/>
  <c r="Q96" i="39" s="1"/>
  <c r="O58" i="39"/>
  <c r="P58" i="39" s="1"/>
  <c r="Q58" i="39" s="1"/>
  <c r="O159" i="39"/>
  <c r="P159" i="39" s="1"/>
  <c r="Q159" i="39" s="1"/>
  <c r="O255" i="39"/>
  <c r="P255" i="39" s="1"/>
  <c r="Q255" i="39" s="1"/>
  <c r="O240" i="39"/>
  <c r="P240" i="39" s="1"/>
  <c r="Q240" i="39" s="1"/>
  <c r="O294" i="39"/>
  <c r="P294" i="39" s="1"/>
  <c r="Q294" i="39" s="1"/>
  <c r="O213" i="39"/>
  <c r="P213" i="39" s="1"/>
  <c r="Q213" i="39" s="1"/>
  <c r="O261" i="39"/>
  <c r="P261" i="39" s="1"/>
  <c r="Q261" i="39" s="1"/>
  <c r="O235" i="39"/>
  <c r="P235" i="39" s="1"/>
  <c r="Q235" i="39" s="1"/>
  <c r="O157" i="39"/>
  <c r="P157" i="39" s="1"/>
  <c r="Q157" i="39" s="1"/>
  <c r="O140" i="39"/>
  <c r="P140" i="39" s="1"/>
  <c r="Q140" i="39" s="1"/>
  <c r="O15" i="39"/>
  <c r="P15" i="39" s="1"/>
  <c r="Q15" i="39" s="1"/>
  <c r="O216" i="39"/>
  <c r="P216" i="39" s="1"/>
  <c r="Q216" i="39" s="1"/>
  <c r="O102" i="39"/>
  <c r="P102" i="39" s="1"/>
  <c r="Q102" i="39" s="1"/>
  <c r="O183" i="39"/>
  <c r="P183" i="39" s="1"/>
  <c r="Q183" i="39" s="1"/>
  <c r="O250" i="39"/>
  <c r="P250" i="39" s="1"/>
  <c r="Q250" i="39" s="1"/>
  <c r="O313" i="39"/>
  <c r="P313" i="39" s="1"/>
  <c r="Q313" i="39" s="1"/>
  <c r="O46" i="39"/>
  <c r="P46" i="39" s="1"/>
  <c r="Q46" i="39" s="1"/>
  <c r="O192" i="39"/>
  <c r="P192" i="39" s="1"/>
  <c r="Q192" i="39" s="1"/>
  <c r="O107" i="39"/>
  <c r="P107" i="39" s="1"/>
  <c r="Q107" i="39" s="1"/>
  <c r="O156" i="39"/>
  <c r="P156" i="39" s="1"/>
  <c r="Q156" i="39" s="1"/>
  <c r="O188" i="39"/>
  <c r="P188" i="39" s="1"/>
  <c r="Q188" i="39" s="1"/>
  <c r="O303" i="39"/>
  <c r="P303" i="39" s="1"/>
  <c r="Q303" i="39" s="1"/>
  <c r="O305" i="39"/>
  <c r="P305" i="39" s="1"/>
  <c r="Q305" i="39" s="1"/>
  <c r="O152" i="39"/>
  <c r="P152" i="39" s="1"/>
  <c r="Q152" i="39" s="1"/>
  <c r="O316" i="39"/>
  <c r="P316" i="39" s="1"/>
  <c r="Q316" i="39" s="1"/>
  <c r="O37" i="39"/>
  <c r="P37" i="39" s="1"/>
  <c r="Q37" i="39" s="1"/>
  <c r="O233" i="39"/>
  <c r="P233" i="39" s="1"/>
  <c r="Q233" i="39" s="1"/>
  <c r="O249" i="39"/>
  <c r="P249" i="39" s="1"/>
  <c r="Q249" i="39" s="1"/>
  <c r="O236" i="39"/>
  <c r="P236" i="39" s="1"/>
  <c r="Q236" i="39" s="1"/>
  <c r="O143" i="39"/>
  <c r="P143" i="39" s="1"/>
  <c r="Q143" i="39" s="1"/>
  <c r="O203" i="39"/>
  <c r="P203" i="39" s="1"/>
  <c r="Q203" i="39" s="1"/>
  <c r="O147" i="39"/>
  <c r="P147" i="39" s="1"/>
  <c r="Q147" i="39" s="1"/>
  <c r="O35" i="39"/>
  <c r="P35" i="39" s="1"/>
  <c r="Q35" i="39" s="1"/>
  <c r="O158" i="39"/>
  <c r="P158" i="39" s="1"/>
  <c r="Q158" i="39" s="1"/>
  <c r="O136" i="39"/>
  <c r="P136" i="39" s="1"/>
  <c r="Q136" i="39" s="1"/>
  <c r="O78" i="39"/>
  <c r="P78" i="39" s="1"/>
  <c r="Q78" i="39" s="1"/>
  <c r="O81" i="39"/>
  <c r="P81" i="39" s="1"/>
  <c r="Q81" i="39" s="1"/>
  <c r="O245" i="39"/>
  <c r="P245" i="39" s="1"/>
  <c r="Q245" i="39" s="1"/>
  <c r="O122" i="39"/>
  <c r="P122" i="39" s="1"/>
  <c r="Q122" i="39" s="1"/>
  <c r="O36" i="39"/>
  <c r="P36" i="39" s="1"/>
  <c r="Q36" i="39" s="1"/>
  <c r="O296" i="39"/>
  <c r="P296" i="39" s="1"/>
  <c r="Q296" i="39" s="1"/>
  <c r="O49" i="39"/>
  <c r="P49" i="39" s="1"/>
  <c r="Q49" i="39" s="1"/>
  <c r="O8" i="39"/>
  <c r="P8" i="39" s="1"/>
  <c r="Q8" i="39" s="1"/>
  <c r="O133" i="39"/>
  <c r="P133" i="39" s="1"/>
  <c r="Q133" i="39" s="1"/>
  <c r="O135" i="39"/>
  <c r="P135" i="39" s="1"/>
  <c r="Q135" i="39" s="1"/>
  <c r="O290" i="39"/>
  <c r="P290" i="39" s="1"/>
  <c r="Q290" i="39" s="1"/>
  <c r="O72" i="39"/>
  <c r="P72" i="39" s="1"/>
  <c r="Q72" i="39" s="1"/>
  <c r="O12" i="39"/>
  <c r="P12" i="39" s="1"/>
  <c r="Q12" i="39" s="1"/>
  <c r="O237" i="39"/>
  <c r="P237" i="39" s="1"/>
  <c r="Q237" i="39" s="1"/>
  <c r="O186" i="39"/>
  <c r="P186" i="39" s="1"/>
  <c r="Q186" i="39" s="1"/>
  <c r="O292" i="39"/>
  <c r="P292" i="39" s="1"/>
  <c r="Q292" i="39" s="1"/>
  <c r="O199" i="39"/>
  <c r="P199" i="39" s="1"/>
  <c r="Q199" i="39" s="1"/>
  <c r="O244" i="39"/>
  <c r="P244" i="39" s="1"/>
  <c r="Q244" i="39" s="1"/>
  <c r="O92" i="39"/>
  <c r="P92" i="39" s="1"/>
  <c r="Q92" i="39" s="1"/>
  <c r="O118" i="39"/>
  <c r="P118" i="39" s="1"/>
  <c r="Q118" i="39" s="1"/>
  <c r="O306" i="39"/>
  <c r="P306" i="39" s="1"/>
  <c r="Q306" i="39" s="1"/>
  <c r="O141" i="39"/>
  <c r="P141" i="39" s="1"/>
  <c r="Q141" i="39" s="1"/>
  <c r="O212" i="39"/>
  <c r="P212" i="39" s="1"/>
  <c r="Q212" i="39" s="1"/>
  <c r="O38" i="39"/>
  <c r="P38" i="39" s="1"/>
  <c r="Q38" i="39" s="1"/>
  <c r="O64" i="39"/>
  <c r="P64" i="39" s="1"/>
  <c r="Q64" i="39" s="1"/>
  <c r="O55" i="39"/>
  <c r="P55" i="39" s="1"/>
  <c r="Q55" i="39" s="1"/>
  <c r="O277" i="39"/>
  <c r="P277" i="39" s="1"/>
  <c r="Q277" i="39" s="1"/>
  <c r="O172" i="39"/>
  <c r="P172" i="39" s="1"/>
  <c r="Q172" i="39" s="1"/>
  <c r="O209" i="39"/>
  <c r="P209" i="39" s="1"/>
  <c r="Q209" i="39" s="1"/>
  <c r="O276" i="39"/>
  <c r="P276" i="39" s="1"/>
  <c r="Q276" i="39" s="1"/>
  <c r="O201" i="39"/>
  <c r="P201" i="39" s="1"/>
  <c r="Q201" i="39" s="1"/>
  <c r="O34" i="39"/>
  <c r="P34" i="39" s="1"/>
  <c r="Q34" i="39" s="1"/>
  <c r="O20" i="39"/>
  <c r="P20" i="39" s="1"/>
  <c r="Q20" i="39" s="1"/>
  <c r="O315" i="39"/>
  <c r="P315" i="39" s="1"/>
  <c r="Q315" i="39" s="1"/>
  <c r="O144" i="39"/>
  <c r="P144" i="39" s="1"/>
  <c r="Q144" i="39" s="1"/>
  <c r="O288" i="39"/>
  <c r="P288" i="39" s="1"/>
  <c r="Q288" i="39" s="1"/>
  <c r="O91" i="39"/>
  <c r="P91" i="39" s="1"/>
  <c r="Q91" i="39" s="1"/>
  <c r="O309" i="39"/>
  <c r="P309" i="39" s="1"/>
  <c r="Q309" i="39" s="1"/>
  <c r="O40" i="39"/>
  <c r="P40" i="39" s="1"/>
  <c r="Q40" i="39" s="1"/>
  <c r="O247" i="39"/>
  <c r="P247" i="39" s="1"/>
  <c r="Q247" i="39" s="1"/>
  <c r="O222" i="39"/>
  <c r="P222" i="39" s="1"/>
  <c r="Q222" i="39" s="1"/>
  <c r="O226" i="39"/>
  <c r="P226" i="39" s="1"/>
  <c r="Q226" i="39" s="1"/>
  <c r="O146" i="39"/>
  <c r="P146" i="39" s="1"/>
  <c r="Q146" i="39" s="1"/>
  <c r="O275" i="39"/>
  <c r="P275" i="39" s="1"/>
  <c r="Q275" i="39" s="1"/>
  <c r="O171" i="39"/>
  <c r="P171" i="39" s="1"/>
  <c r="Q171" i="39" s="1"/>
  <c r="O168" i="39"/>
  <c r="P168" i="39" s="1"/>
  <c r="Q168" i="39" s="1"/>
  <c r="O165" i="39"/>
  <c r="P165" i="39" s="1"/>
  <c r="Q165" i="39" s="1"/>
  <c r="O39" i="39"/>
  <c r="P39" i="39" s="1"/>
  <c r="Q39" i="39" s="1"/>
  <c r="O83" i="39"/>
  <c r="P83" i="39" s="1"/>
  <c r="Q83" i="39" s="1"/>
  <c r="O265" i="39"/>
  <c r="P265" i="39" s="1"/>
  <c r="Q265" i="39" s="1"/>
  <c r="O166" i="39"/>
  <c r="P166" i="39" s="1"/>
  <c r="Q166" i="39" s="1"/>
  <c r="O73" i="39"/>
  <c r="P73" i="39" s="1"/>
  <c r="Q73" i="39" s="1"/>
  <c r="O178" i="39"/>
  <c r="P178" i="39" s="1"/>
  <c r="Q178" i="39" s="1"/>
  <c r="O164" i="39"/>
  <c r="P164" i="39" s="1"/>
  <c r="Q164" i="39" s="1"/>
  <c r="O28" i="39"/>
  <c r="P28" i="39" s="1"/>
  <c r="Q28" i="39" s="1"/>
  <c r="O139" i="39"/>
  <c r="P139" i="39" s="1"/>
  <c r="Q139" i="39" s="1"/>
  <c r="O214" i="39"/>
  <c r="P214" i="39" s="1"/>
  <c r="Q214" i="39" s="1"/>
  <c r="O231" i="39"/>
  <c r="P231" i="39" s="1"/>
  <c r="Q231" i="39" s="1"/>
  <c r="O45" i="39"/>
  <c r="P45" i="39" s="1"/>
  <c r="Q45" i="39" s="1"/>
  <c r="O179" i="39"/>
  <c r="P179" i="39" s="1"/>
  <c r="Q179" i="39" s="1"/>
  <c r="O82" i="39"/>
  <c r="P82" i="39" s="1"/>
  <c r="Q82" i="39" s="1"/>
  <c r="O61" i="39"/>
  <c r="P61" i="39" s="1"/>
  <c r="Q61" i="39" s="1"/>
  <c r="O228" i="39"/>
  <c r="P228" i="39" s="1"/>
  <c r="Q228" i="39" s="1"/>
  <c r="O84" i="39"/>
  <c r="P84" i="39" s="1"/>
  <c r="Q84" i="39" s="1"/>
  <c r="O99" i="39"/>
  <c r="P99" i="39" s="1"/>
  <c r="Q99" i="39" s="1"/>
  <c r="O317" i="39"/>
  <c r="P317" i="39" s="1"/>
  <c r="Q317" i="39" s="1"/>
  <c r="O273" i="39"/>
  <c r="P273" i="39" s="1"/>
  <c r="Q273" i="39" s="1"/>
  <c r="O75" i="39"/>
  <c r="P75" i="39" s="1"/>
  <c r="Q75" i="39" s="1"/>
  <c r="O283" i="39"/>
  <c r="P283" i="39" s="1"/>
  <c r="Q283" i="39" s="1"/>
  <c r="O190" i="39"/>
  <c r="P190" i="39" s="1"/>
  <c r="Q190" i="39" s="1"/>
  <c r="O252" i="39"/>
  <c r="P252" i="39" s="1"/>
  <c r="Q252" i="39" s="1"/>
  <c r="O17" i="39"/>
  <c r="P17" i="39" s="1"/>
  <c r="Q17" i="39" s="1"/>
  <c r="O251" i="39"/>
  <c r="P251" i="39" s="1"/>
  <c r="Q251" i="39" s="1"/>
  <c r="O114" i="39"/>
  <c r="P114" i="39" s="1"/>
  <c r="Q114" i="39" s="1"/>
  <c r="O126" i="39"/>
  <c r="P126" i="39" s="1"/>
  <c r="Q126" i="39" s="1"/>
  <c r="O177" i="39"/>
  <c r="P177" i="39" s="1"/>
  <c r="Q177" i="39" s="1"/>
  <c r="O51" i="39"/>
  <c r="P51" i="39" s="1"/>
  <c r="Q51" i="39" s="1"/>
  <c r="O115" i="39"/>
  <c r="P115" i="39" s="1"/>
  <c r="Q115" i="39" s="1"/>
  <c r="O185" i="39"/>
  <c r="P185" i="39" s="1"/>
  <c r="Q185" i="39" s="1"/>
  <c r="O174" i="39"/>
  <c r="P174" i="39" s="1"/>
  <c r="Q174" i="39" s="1"/>
  <c r="O155" i="39"/>
  <c r="P155" i="39" s="1"/>
  <c r="Q155" i="39" s="1"/>
  <c r="O145" i="39"/>
  <c r="P145" i="39" s="1"/>
  <c r="Q145" i="39" s="1"/>
  <c r="O31" i="39"/>
  <c r="P31" i="39" s="1"/>
  <c r="Q31" i="39" s="1"/>
  <c r="O205" i="39"/>
  <c r="P205" i="39" s="1"/>
  <c r="Q205" i="39" s="1"/>
  <c r="O285" i="39"/>
  <c r="P285" i="39" s="1"/>
  <c r="Q285" i="39" s="1"/>
  <c r="O289" i="39"/>
  <c r="P289" i="39" s="1"/>
  <c r="Q289" i="39" s="1"/>
  <c r="O98" i="39"/>
  <c r="P98" i="39" s="1"/>
  <c r="Q98" i="39" s="1"/>
  <c r="O229" i="39"/>
  <c r="P229" i="39" s="1"/>
  <c r="Q229" i="39" s="1"/>
  <c r="O268" i="39"/>
  <c r="P268" i="39" s="1"/>
  <c r="Q268" i="39" s="1"/>
  <c r="O71" i="39"/>
  <c r="P71" i="39" s="1"/>
  <c r="Q71" i="39" s="1"/>
  <c r="O150" i="39"/>
  <c r="P150" i="39" s="1"/>
  <c r="Q150" i="39" s="1"/>
  <c r="O47" i="39"/>
  <c r="P47" i="39" s="1"/>
  <c r="Q47" i="39" s="1"/>
  <c r="O308" i="39"/>
  <c r="P308" i="39" s="1"/>
  <c r="Q308" i="39" s="1"/>
  <c r="O282" i="39"/>
  <c r="P282" i="39" s="1"/>
  <c r="Q282" i="39" s="1"/>
  <c r="O204" i="39"/>
  <c r="P204" i="39" s="1"/>
  <c r="Q204" i="39" s="1"/>
  <c r="O86" i="39"/>
  <c r="P86" i="39" s="1"/>
  <c r="Q86" i="39" s="1"/>
  <c r="O56" i="39"/>
  <c r="P56" i="39" s="1"/>
  <c r="Q56" i="39" s="1"/>
  <c r="O116" i="39"/>
  <c r="P116" i="39" s="1"/>
  <c r="Q116" i="39" s="1"/>
  <c r="O131" i="39"/>
  <c r="P131" i="39" s="1"/>
  <c r="Q131" i="39" s="1"/>
  <c r="O68" i="39"/>
  <c r="P68" i="39" s="1"/>
  <c r="Q68" i="39" s="1"/>
  <c r="O256" i="39"/>
  <c r="P256" i="39" s="1"/>
  <c r="Q256" i="39" s="1"/>
  <c r="O57" i="39"/>
  <c r="P57" i="39" s="1"/>
  <c r="Q57" i="39" s="1"/>
  <c r="O59" i="39"/>
  <c r="P59" i="39" s="1"/>
  <c r="Q59" i="39" s="1"/>
  <c r="O13" i="39"/>
  <c r="P13" i="39" s="1"/>
  <c r="Q13" i="39" s="1"/>
  <c r="O6" i="39"/>
  <c r="P6" i="39" s="1"/>
  <c r="Q6" i="39" s="1"/>
  <c r="O121" i="39"/>
  <c r="P121" i="39" s="1"/>
  <c r="Q121" i="39" s="1"/>
  <c r="O287" i="39"/>
  <c r="P287" i="39" s="1"/>
  <c r="Q287" i="39" s="1"/>
  <c r="O169" i="39"/>
  <c r="P169" i="39" s="1"/>
  <c r="Q169" i="39" s="1"/>
  <c r="O67" i="39"/>
  <c r="P67" i="39" s="1"/>
  <c r="Q67" i="39" s="1"/>
  <c r="O202" i="39"/>
  <c r="P202" i="39" s="1"/>
  <c r="Q202" i="39" s="1"/>
  <c r="O138" i="39"/>
  <c r="P138" i="39" s="1"/>
  <c r="Q138" i="39" s="1"/>
  <c r="O304" i="39"/>
  <c r="P304" i="39" s="1"/>
  <c r="Q304" i="39" s="1"/>
  <c r="O112" i="39"/>
  <c r="P112" i="39" s="1"/>
  <c r="Q112" i="39" s="1"/>
  <c r="O215" i="39"/>
  <c r="P215" i="39" s="1"/>
  <c r="Q215" i="39" s="1"/>
  <c r="O43" i="39"/>
  <c r="P43" i="39" s="1"/>
  <c r="Q43" i="39" s="1"/>
  <c r="O253" i="39"/>
  <c r="P253" i="39" s="1"/>
  <c r="Q253" i="39" s="1"/>
  <c r="O232" i="39"/>
  <c r="P232" i="39" s="1"/>
  <c r="Q232" i="39" s="1"/>
  <c r="O286" i="39"/>
  <c r="P286" i="39" s="1"/>
  <c r="Q286" i="39" s="1"/>
  <c r="O175" i="39"/>
  <c r="P175" i="39" s="1"/>
  <c r="Q175" i="39" s="1"/>
  <c r="O94" i="39"/>
  <c r="P94" i="39" s="1"/>
  <c r="Q94" i="39" s="1"/>
  <c r="O217" i="39"/>
  <c r="P217" i="39" s="1"/>
  <c r="Q217" i="39" s="1"/>
  <c r="O259" i="39"/>
  <c r="P259" i="39" s="1"/>
  <c r="Q259" i="39" s="1"/>
  <c r="O123" i="39"/>
  <c r="P123" i="39" s="1"/>
  <c r="Q123" i="39" s="1"/>
  <c r="O10" i="39"/>
  <c r="P10" i="39" s="1"/>
  <c r="Q10" i="39" s="1"/>
  <c r="O301" i="39"/>
  <c r="P301" i="39" s="1"/>
  <c r="Q301" i="39" s="1"/>
  <c r="O198" i="39"/>
  <c r="P198" i="39" s="1"/>
  <c r="Q198" i="39" s="1"/>
  <c r="O69" i="39"/>
  <c r="P69" i="39" s="1"/>
  <c r="Q69" i="39" s="1"/>
  <c r="O218" i="39"/>
  <c r="P218" i="39" s="1"/>
  <c r="Q218" i="39" s="1"/>
  <c r="O77" i="39"/>
  <c r="P77" i="39" s="1"/>
  <c r="Q77" i="39" s="1"/>
  <c r="O89" i="39"/>
  <c r="P89" i="39" s="1"/>
  <c r="Q89" i="39" s="1"/>
  <c r="O266" i="39"/>
  <c r="P266" i="39" s="1"/>
  <c r="Q266" i="39" s="1"/>
  <c r="O269" i="39"/>
  <c r="P269" i="39" s="1"/>
  <c r="Q269" i="39" s="1"/>
  <c r="O220" i="39"/>
  <c r="P220" i="39" s="1"/>
  <c r="Q220" i="39" s="1"/>
  <c r="O297" i="39"/>
  <c r="P297" i="39" s="1"/>
  <c r="Q297" i="39" s="1"/>
  <c r="O246" i="39"/>
  <c r="P246" i="39" s="1"/>
  <c r="Q246" i="39" s="1"/>
  <c r="O278" i="39"/>
  <c r="P278" i="39" s="1"/>
  <c r="Q278" i="39" s="1"/>
  <c r="O260" i="39"/>
  <c r="P260" i="39" s="1"/>
  <c r="Q260" i="39" s="1"/>
  <c r="O132" i="39"/>
  <c r="P132" i="39" s="1"/>
  <c r="Q132" i="39" s="1"/>
  <c r="O120" i="39"/>
  <c r="P120" i="39" s="1"/>
  <c r="Q120" i="39" s="1"/>
  <c r="O109" i="39"/>
  <c r="P109" i="39" s="1"/>
  <c r="Q109" i="39" s="1"/>
  <c r="O137" i="39"/>
  <c r="P137" i="39" s="1"/>
  <c r="Q137" i="39" s="1"/>
  <c r="O224" i="39"/>
  <c r="P224" i="39" s="1"/>
  <c r="Q224" i="39" s="1"/>
  <c r="O243" i="39"/>
  <c r="P243" i="39" s="1"/>
  <c r="Q243" i="39" s="1"/>
  <c r="O62" i="39"/>
  <c r="P62" i="39" s="1"/>
  <c r="Q62" i="39" s="1"/>
  <c r="O153" i="39"/>
  <c r="P153" i="39" s="1"/>
  <c r="Q153" i="39" s="1"/>
  <c r="O16" i="39"/>
  <c r="P16" i="39" s="1"/>
  <c r="Q16" i="39" s="1"/>
  <c r="O128" i="39"/>
  <c r="P128" i="39" s="1"/>
  <c r="Q128" i="39" s="1"/>
  <c r="O189" i="39"/>
  <c r="P189" i="39" s="1"/>
  <c r="Q189" i="39" s="1"/>
  <c r="O312" i="39"/>
  <c r="P312" i="39" s="1"/>
  <c r="Q312" i="39" s="1"/>
  <c r="O111" i="39"/>
  <c r="P111" i="39" s="1"/>
  <c r="Q111" i="39" s="1"/>
  <c r="O267" i="39"/>
  <c r="P267" i="39" s="1"/>
  <c r="Q267" i="39" s="1"/>
  <c r="O134" i="39"/>
  <c r="P134" i="39" s="1"/>
  <c r="Q134" i="39" s="1"/>
  <c r="O173" i="39"/>
  <c r="P173" i="39" s="1"/>
  <c r="Q173" i="39" s="1"/>
  <c r="O263" i="39"/>
  <c r="P263" i="39" s="1"/>
  <c r="Q263" i="39" s="1"/>
  <c r="O271" i="39"/>
  <c r="P271" i="39" s="1"/>
  <c r="Q271" i="39" s="1"/>
  <c r="O21" i="39"/>
  <c r="P21" i="39" s="1"/>
  <c r="Q21" i="39" s="1"/>
  <c r="O170" i="39"/>
  <c r="P170" i="39" s="1"/>
  <c r="Q170" i="39" s="1"/>
  <c r="O23" i="39"/>
  <c r="P23" i="39" s="1"/>
  <c r="Q23" i="39" s="1"/>
  <c r="O125" i="39"/>
  <c r="P125" i="39" s="1"/>
  <c r="Q125" i="39" s="1"/>
  <c r="O53" i="39"/>
  <c r="P53" i="39" s="1"/>
  <c r="Q53" i="39" s="1"/>
  <c r="O18" i="39"/>
  <c r="P18" i="39" s="1"/>
  <c r="Q18" i="39" s="1"/>
  <c r="O130" i="39"/>
  <c r="P130" i="39" s="1"/>
  <c r="Q130" i="39" s="1"/>
  <c r="O79" i="39"/>
  <c r="P79" i="39" s="1"/>
  <c r="Q79" i="39" s="1"/>
  <c r="O184" i="39"/>
  <c r="P184" i="39" s="1"/>
  <c r="Q184" i="39" s="1"/>
  <c r="O238" i="39"/>
  <c r="P238" i="39" s="1"/>
  <c r="Q238" i="39" s="1"/>
  <c r="O113" i="39"/>
  <c r="P113" i="39" s="1"/>
  <c r="Q113" i="39" s="1"/>
  <c r="O41" i="39"/>
  <c r="P41" i="39" s="1"/>
  <c r="Q41" i="39" s="1"/>
  <c r="O302" i="39"/>
  <c r="P302" i="39" s="1"/>
  <c r="Q302" i="39" s="1"/>
  <c r="O176" i="39"/>
  <c r="P176" i="39" s="1"/>
  <c r="Q176" i="39" s="1"/>
  <c r="O63" i="39"/>
  <c r="P63" i="39" s="1"/>
  <c r="Q63" i="39" s="1"/>
  <c r="O103" i="39"/>
  <c r="P103" i="39" s="1"/>
  <c r="Q103" i="39" s="1"/>
  <c r="O65" i="39"/>
  <c r="P65" i="39" s="1"/>
  <c r="Q65" i="39" s="1"/>
  <c r="O182" i="39"/>
  <c r="P182" i="39" s="1"/>
  <c r="Q182" i="39" s="1"/>
  <c r="O30" i="39"/>
  <c r="P30" i="39" s="1"/>
  <c r="Q30" i="39" s="1"/>
  <c r="O281" i="39"/>
  <c r="P281" i="39" s="1"/>
  <c r="Q281" i="39" s="1"/>
  <c r="O241" i="39"/>
  <c r="P241" i="39" s="1"/>
  <c r="Q241" i="39" s="1"/>
  <c r="O154" i="39"/>
  <c r="P154" i="39" s="1"/>
  <c r="Q154" i="39" s="1"/>
  <c r="O211" i="39"/>
  <c r="P211" i="39" s="1"/>
  <c r="Q211" i="39" s="1"/>
  <c r="O50" i="39"/>
  <c r="P50" i="39" s="1"/>
  <c r="Q50" i="39" s="1"/>
  <c r="O22" i="39"/>
  <c r="P22" i="39" s="1"/>
  <c r="Q22" i="39" s="1"/>
  <c r="O101" i="39"/>
  <c r="P101" i="39" s="1"/>
  <c r="Q101" i="39" s="1"/>
  <c r="O106" i="39"/>
  <c r="P106" i="39" s="1"/>
  <c r="Q106" i="39" s="1"/>
  <c r="O142" i="39"/>
  <c r="P142" i="39" s="1"/>
  <c r="Q142" i="39" s="1"/>
  <c r="O194" i="39"/>
  <c r="P194" i="39" s="1"/>
  <c r="Q194" i="39" s="1"/>
  <c r="O95" i="39"/>
  <c r="P95" i="39" s="1"/>
  <c r="Q95" i="39" s="1"/>
  <c r="O225" i="39"/>
  <c r="P225" i="39" s="1"/>
  <c r="Q225" i="39" s="1"/>
  <c r="O90" i="39"/>
  <c r="P90" i="39" s="1"/>
  <c r="Q90" i="39" s="1"/>
  <c r="O160" i="39"/>
  <c r="P160" i="39" s="1"/>
  <c r="Q160" i="39" s="1"/>
  <c r="O32" i="39"/>
  <c r="P32" i="39" s="1"/>
  <c r="Q32" i="39" s="1"/>
  <c r="O248" i="39"/>
  <c r="P248" i="39" s="1"/>
  <c r="Q248" i="39" s="1"/>
  <c r="O191" i="39"/>
  <c r="P191" i="39" s="1"/>
  <c r="Q191" i="39" s="1"/>
  <c r="O262" i="39"/>
  <c r="P262" i="39" s="1"/>
  <c r="Q262" i="39" s="1"/>
  <c r="O208" i="39"/>
  <c r="P208" i="39" s="1"/>
  <c r="Q208" i="39" s="1"/>
  <c r="O274" i="39"/>
  <c r="P274" i="39" s="1"/>
  <c r="Q274" i="39" s="1"/>
  <c r="O167" i="39"/>
  <c r="P167" i="39" s="1"/>
  <c r="Q167" i="39" s="1"/>
  <c r="O223" i="39"/>
  <c r="P223" i="39" s="1"/>
  <c r="Q223" i="39" s="1"/>
  <c r="O258" i="39"/>
  <c r="P258" i="39" s="1"/>
  <c r="Q258" i="39" s="1"/>
  <c r="O162" i="39"/>
  <c r="P162" i="39" s="1"/>
  <c r="Q162" i="39" s="1"/>
  <c r="O80" i="39"/>
  <c r="P80" i="39" s="1"/>
  <c r="Q80" i="39" s="1"/>
  <c r="O181" i="39"/>
  <c r="P181" i="39" s="1"/>
  <c r="Q181" i="39" s="1"/>
  <c r="O200" i="39"/>
  <c r="P200" i="39" s="1"/>
  <c r="Q200" i="39" s="1"/>
  <c r="O295" i="39"/>
  <c r="P295" i="39" s="1"/>
  <c r="Q295" i="39" s="1"/>
  <c r="O307" i="39"/>
  <c r="P307" i="39" s="1"/>
  <c r="Q307" i="39" s="1"/>
  <c r="O100" i="39"/>
  <c r="P100" i="39" s="1"/>
  <c r="Q100" i="39" s="1"/>
  <c r="O124" i="39"/>
  <c r="P124" i="39" s="1"/>
  <c r="Q124" i="39" s="1"/>
  <c r="O272" i="39"/>
  <c r="P272" i="39" s="1"/>
  <c r="Q272" i="39" s="1"/>
  <c r="O239" i="39"/>
  <c r="P239" i="39" s="1"/>
  <c r="Q239" i="39" s="1"/>
  <c r="O85" i="39"/>
  <c r="P85" i="39" s="1"/>
  <c r="Q85" i="39" s="1"/>
  <c r="O314" i="39"/>
  <c r="P314" i="39" s="1"/>
  <c r="Q314" i="39" s="1"/>
  <c r="O104" i="39"/>
  <c r="P104" i="39" s="1"/>
  <c r="Q104" i="39" s="1"/>
  <c r="O234" i="39"/>
  <c r="P234" i="39" s="1"/>
  <c r="Q234" i="39" s="1"/>
  <c r="O42" i="39"/>
  <c r="P42" i="39" s="1"/>
  <c r="Q42" i="39" s="1"/>
  <c r="O242" i="39"/>
  <c r="P242" i="39" s="1"/>
  <c r="Q242" i="39" s="1"/>
  <c r="O14" i="39"/>
  <c r="P14" i="39" s="1"/>
  <c r="Q14" i="39" s="1"/>
  <c r="O187" i="39"/>
  <c r="P187" i="39" s="1"/>
  <c r="Q187" i="39" s="1"/>
  <c r="O54" i="39"/>
  <c r="P54" i="39" s="1"/>
  <c r="Q54" i="39" s="1"/>
  <c r="O149" i="39"/>
  <c r="P149" i="39" s="1"/>
  <c r="Q149" i="39" s="1"/>
  <c r="O291" i="39"/>
  <c r="P291" i="39" s="1"/>
  <c r="Q291" i="39" s="1"/>
  <c r="O26" i="39"/>
  <c r="P26" i="39" s="1"/>
  <c r="Q26" i="39" s="1"/>
  <c r="O196" i="39"/>
  <c r="P196" i="39" s="1"/>
  <c r="Q196" i="39" s="1"/>
  <c r="O29" i="39"/>
  <c r="P29" i="39" s="1"/>
  <c r="Q29" i="39" s="1"/>
  <c r="O161" i="39"/>
  <c r="P161" i="39" s="1"/>
  <c r="Q161" i="39" s="1"/>
  <c r="O119" i="39"/>
  <c r="P119" i="39" s="1"/>
  <c r="Q119" i="39" s="1"/>
  <c r="O300" i="39"/>
  <c r="P300" i="39" s="1"/>
  <c r="Q300" i="39" s="1"/>
  <c r="O279" i="39"/>
  <c r="P279" i="39" s="1"/>
  <c r="Q279" i="39" s="1"/>
  <c r="O180" i="39"/>
  <c r="P180" i="39" s="1"/>
  <c r="Q180" i="39" s="1"/>
  <c r="O93" i="39"/>
  <c r="P93" i="39" s="1"/>
  <c r="Q93" i="39" s="1"/>
  <c r="O127" i="39"/>
  <c r="P127" i="39" s="1"/>
  <c r="Q127" i="39" s="1"/>
  <c r="O207" i="39"/>
  <c r="P207" i="39" s="1"/>
  <c r="Q207" i="39" s="1"/>
  <c r="O197" i="39"/>
  <c r="P197" i="39" s="1"/>
  <c r="Q197" i="39" s="1"/>
  <c r="O227" i="39"/>
  <c r="P227" i="39" s="1"/>
  <c r="Q227" i="39" s="1"/>
  <c r="O25" i="39"/>
  <c r="P25" i="39" s="1"/>
  <c r="Q25" i="39" s="1"/>
  <c r="O76" i="39"/>
  <c r="P76" i="39" s="1"/>
  <c r="Q76" i="39" s="1"/>
  <c r="O66" i="39"/>
  <c r="P66" i="39" s="1"/>
  <c r="Q66" i="39" s="1"/>
  <c r="O60" i="39"/>
  <c r="P60" i="39" s="1"/>
  <c r="Q60" i="39" s="1"/>
  <c r="O19" i="39"/>
  <c r="P19" i="39" s="1"/>
  <c r="Q19" i="39" s="1"/>
  <c r="O219" i="39"/>
  <c r="P219" i="39" s="1"/>
  <c r="Q219" i="39" s="1"/>
  <c r="O193" i="39"/>
  <c r="P193" i="39" s="1"/>
  <c r="Q193" i="39" s="1"/>
  <c r="O221" i="39"/>
  <c r="P221" i="39" s="1"/>
  <c r="Q221" i="39" s="1"/>
  <c r="O298" i="39"/>
  <c r="P298" i="39" s="1"/>
  <c r="Q298" i="39" s="1"/>
  <c r="O52" i="39"/>
  <c r="P52" i="39" s="1"/>
  <c r="Q52" i="39" s="1"/>
  <c r="O97" i="39"/>
  <c r="P97" i="39" s="1"/>
  <c r="Q97" i="39" s="1"/>
  <c r="O48" i="39"/>
  <c r="P48" i="39" s="1"/>
  <c r="Q48" i="39" s="1"/>
  <c r="O110" i="39"/>
  <c r="P110" i="39" s="1"/>
  <c r="Q110" i="39" s="1"/>
  <c r="O195" i="39"/>
  <c r="P195" i="39" s="1"/>
  <c r="Q195" i="39" s="1"/>
  <c r="O264" i="39"/>
  <c r="P264" i="39" s="1"/>
  <c r="Q264" i="39" s="1"/>
  <c r="O206" i="39"/>
  <c r="P206" i="39" s="1"/>
  <c r="Q206" i="39" s="1"/>
  <c r="O7" i="39"/>
  <c r="P7" i="39" s="1"/>
  <c r="Q7" i="39" s="1"/>
  <c r="O117" i="39"/>
  <c r="P117" i="39" s="1"/>
  <c r="Q117" i="39" s="1"/>
  <c r="O151" i="39"/>
  <c r="P151" i="39" s="1"/>
  <c r="Q151" i="39" s="1"/>
  <c r="O24" i="39"/>
  <c r="P24" i="39" s="1"/>
  <c r="Q24" i="39" s="1"/>
  <c r="O5" i="39"/>
  <c r="P5" i="39" s="1"/>
  <c r="Q5" i="39" s="1"/>
  <c r="O311" i="39"/>
  <c r="P311" i="39" s="1"/>
  <c r="Q311" i="39" s="1"/>
  <c r="O70" i="39"/>
  <c r="P70" i="39" s="1"/>
  <c r="Q70" i="39" s="1"/>
  <c r="O257" i="39"/>
  <c r="P257" i="39" s="1"/>
  <c r="Q257" i="39" s="1"/>
  <c r="O230" i="39"/>
  <c r="P230" i="39" s="1"/>
  <c r="Q230" i="39" s="1"/>
  <c r="O88" i="39"/>
  <c r="P88" i="39" s="1"/>
  <c r="Q88" i="39" s="1"/>
  <c r="O9" i="39"/>
  <c r="P9" i="39" s="1"/>
  <c r="Q9" i="39" s="1"/>
  <c r="O163" i="39"/>
  <c r="P163" i="39" s="1"/>
  <c r="Q163" i="39" s="1"/>
  <c r="O129" i="39"/>
  <c r="P129" i="39" s="1"/>
  <c r="Q129" i="39" s="1"/>
  <c r="O280" i="39"/>
  <c r="P280" i="39" s="1"/>
  <c r="Q280" i="39" s="1"/>
  <c r="O11" i="39"/>
  <c r="P11" i="39" s="1"/>
  <c r="Q11" i="39" s="1"/>
  <c r="O74" i="39"/>
  <c r="P74" i="39" s="1"/>
  <c r="Q74" i="39" s="1"/>
  <c r="O27" i="39"/>
  <c r="P27" i="39" s="1"/>
  <c r="Q27" i="39" s="1"/>
  <c r="O293" i="39"/>
  <c r="P293" i="39" s="1"/>
  <c r="Q293" i="39" s="1"/>
  <c r="O4" i="39"/>
  <c r="O45" i="38"/>
  <c r="P45" i="38" s="1"/>
  <c r="Q45" i="38" s="1"/>
  <c r="O102" i="38"/>
  <c r="P102" i="38" s="1"/>
  <c r="Q102" i="38" s="1"/>
  <c r="O108" i="38"/>
  <c r="P108" i="38" s="1"/>
  <c r="Q108" i="38" s="1"/>
  <c r="O28" i="38"/>
  <c r="P28" i="38" s="1"/>
  <c r="Q28" i="38" s="1"/>
  <c r="O36" i="38"/>
  <c r="P36" i="38" s="1"/>
  <c r="Q36" i="38" s="1"/>
  <c r="O282" i="38"/>
  <c r="P282" i="38" s="1"/>
  <c r="Q282" i="38" s="1"/>
  <c r="O276" i="38"/>
  <c r="P276" i="38" s="1"/>
  <c r="Q276" i="38" s="1"/>
  <c r="O40" i="38"/>
  <c r="P40" i="38" s="1"/>
  <c r="Q40" i="38" s="1"/>
  <c r="O240" i="38"/>
  <c r="P240" i="38" s="1"/>
  <c r="Q240" i="38" s="1"/>
  <c r="O174" i="38"/>
  <c r="P174" i="38" s="1"/>
  <c r="Q174" i="38" s="1"/>
  <c r="O306" i="38"/>
  <c r="P306" i="38" s="1"/>
  <c r="Q306" i="38" s="1"/>
  <c r="O46" i="38"/>
  <c r="P46" i="38" s="1"/>
  <c r="Q46" i="38" s="1"/>
  <c r="O253" i="38"/>
  <c r="P253" i="38" s="1"/>
  <c r="Q253" i="38" s="1"/>
  <c r="O123" i="38"/>
  <c r="P123" i="38" s="1"/>
  <c r="Q123" i="38" s="1"/>
  <c r="O69" i="38"/>
  <c r="P69" i="38" s="1"/>
  <c r="Q69" i="38" s="1"/>
  <c r="O111" i="38"/>
  <c r="P111" i="38" s="1"/>
  <c r="Q111" i="38" s="1"/>
  <c r="O137" i="38"/>
  <c r="P137" i="38" s="1"/>
  <c r="Q137" i="38" s="1"/>
  <c r="O79" i="38"/>
  <c r="P79" i="38" s="1"/>
  <c r="Q79" i="38" s="1"/>
  <c r="O181" i="38"/>
  <c r="P181" i="38" s="1"/>
  <c r="Q181" i="38" s="1"/>
  <c r="O165" i="38"/>
  <c r="P165" i="38" s="1"/>
  <c r="Q165" i="38" s="1"/>
  <c r="O7" i="38"/>
  <c r="P7" i="38" s="1"/>
  <c r="Q7" i="38" s="1"/>
  <c r="O29" i="38"/>
  <c r="P29" i="38" s="1"/>
  <c r="Q29" i="38" s="1"/>
  <c r="O220" i="38"/>
  <c r="P220" i="38" s="1"/>
  <c r="Q220" i="38" s="1"/>
  <c r="O43" i="38"/>
  <c r="P43" i="38" s="1"/>
  <c r="Q43" i="38" s="1"/>
  <c r="O125" i="38"/>
  <c r="P125" i="38" s="1"/>
  <c r="Q125" i="38" s="1"/>
  <c r="O147" i="38"/>
  <c r="P147" i="38" s="1"/>
  <c r="Q147" i="38" s="1"/>
  <c r="O140" i="38"/>
  <c r="P140" i="38" s="1"/>
  <c r="Q140" i="38" s="1"/>
  <c r="O182" i="38"/>
  <c r="P182" i="38" s="1"/>
  <c r="Q182" i="38" s="1"/>
  <c r="O81" i="38"/>
  <c r="P81" i="38" s="1"/>
  <c r="Q81" i="38" s="1"/>
  <c r="O201" i="38"/>
  <c r="P201" i="38" s="1"/>
  <c r="Q201" i="38" s="1"/>
  <c r="O315" i="38"/>
  <c r="P315" i="38" s="1"/>
  <c r="Q315" i="38" s="1"/>
  <c r="O120" i="38"/>
  <c r="P120" i="38" s="1"/>
  <c r="Q120" i="38" s="1"/>
  <c r="O5" i="38"/>
  <c r="P5" i="38" s="1"/>
  <c r="Q5" i="38" s="1"/>
  <c r="O196" i="38"/>
  <c r="P196" i="38" s="1"/>
  <c r="Q196" i="38" s="1"/>
  <c r="O142" i="38"/>
  <c r="P142" i="38" s="1"/>
  <c r="Q142" i="38" s="1"/>
  <c r="O219" i="38"/>
  <c r="P219" i="38" s="1"/>
  <c r="Q219" i="38" s="1"/>
  <c r="O246" i="38"/>
  <c r="P246" i="38" s="1"/>
  <c r="Q246" i="38" s="1"/>
  <c r="O9" i="38"/>
  <c r="P9" i="38" s="1"/>
  <c r="Q9" i="38" s="1"/>
  <c r="O71" i="38"/>
  <c r="P71" i="38" s="1"/>
  <c r="Q71" i="38" s="1"/>
  <c r="O149" i="38"/>
  <c r="P149" i="38" s="1"/>
  <c r="Q149" i="38" s="1"/>
  <c r="O31" i="38"/>
  <c r="P31" i="38" s="1"/>
  <c r="Q31" i="38" s="1"/>
  <c r="O114" i="38"/>
  <c r="P114" i="38" s="1"/>
  <c r="Q114" i="38" s="1"/>
  <c r="O127" i="38"/>
  <c r="P127" i="38" s="1"/>
  <c r="Q127" i="38" s="1"/>
  <c r="O97" i="38"/>
  <c r="P97" i="38" s="1"/>
  <c r="Q97" i="38" s="1"/>
  <c r="O42" i="38"/>
  <c r="P42" i="38" s="1"/>
  <c r="Q42" i="38" s="1"/>
  <c r="O195" i="38"/>
  <c r="P195" i="38" s="1"/>
  <c r="Q195" i="38" s="1"/>
  <c r="O106" i="38"/>
  <c r="P106" i="38" s="1"/>
  <c r="Q106" i="38" s="1"/>
  <c r="O254" i="38"/>
  <c r="P254" i="38" s="1"/>
  <c r="Q254" i="38" s="1"/>
  <c r="O212" i="38"/>
  <c r="P212" i="38" s="1"/>
  <c r="Q212" i="38" s="1"/>
  <c r="O104" i="38"/>
  <c r="P104" i="38" s="1"/>
  <c r="Q104" i="38" s="1"/>
  <c r="O275" i="38"/>
  <c r="P275" i="38" s="1"/>
  <c r="Q275" i="38" s="1"/>
  <c r="O19" i="38"/>
  <c r="P19" i="38" s="1"/>
  <c r="Q19" i="38" s="1"/>
  <c r="O78" i="38"/>
  <c r="P78" i="38" s="1"/>
  <c r="Q78" i="38" s="1"/>
  <c r="O229" i="38"/>
  <c r="P229" i="38" s="1"/>
  <c r="Q229" i="38" s="1"/>
  <c r="O178" i="38"/>
  <c r="P178" i="38" s="1"/>
  <c r="Q178" i="38" s="1"/>
  <c r="O274" i="38"/>
  <c r="P274" i="38" s="1"/>
  <c r="Q274" i="38" s="1"/>
  <c r="O112" i="38"/>
  <c r="P112" i="38" s="1"/>
  <c r="Q112" i="38" s="1"/>
  <c r="O209" i="38"/>
  <c r="P209" i="38" s="1"/>
  <c r="Q209" i="38" s="1"/>
  <c r="O227" i="38"/>
  <c r="P227" i="38" s="1"/>
  <c r="Q227" i="38" s="1"/>
  <c r="O16" i="38"/>
  <c r="P16" i="38" s="1"/>
  <c r="Q16" i="38" s="1"/>
  <c r="O138" i="38"/>
  <c r="P138" i="38" s="1"/>
  <c r="Q138" i="38" s="1"/>
  <c r="O82" i="38"/>
  <c r="P82" i="38" s="1"/>
  <c r="Q82" i="38" s="1"/>
  <c r="O234" i="38"/>
  <c r="P234" i="38" s="1"/>
  <c r="Q234" i="38" s="1"/>
  <c r="O300" i="38"/>
  <c r="P300" i="38" s="1"/>
  <c r="Q300" i="38" s="1"/>
  <c r="O272" i="38"/>
  <c r="P272" i="38" s="1"/>
  <c r="Q272" i="38" s="1"/>
  <c r="O297" i="38"/>
  <c r="P297" i="38" s="1"/>
  <c r="Q297" i="38" s="1"/>
  <c r="O115" i="38"/>
  <c r="P115" i="38" s="1"/>
  <c r="Q115" i="38" s="1"/>
  <c r="O243" i="38"/>
  <c r="P243" i="38" s="1"/>
  <c r="Q243" i="38" s="1"/>
  <c r="O96" i="38"/>
  <c r="P96" i="38" s="1"/>
  <c r="Q96" i="38" s="1"/>
  <c r="O155" i="38"/>
  <c r="P155" i="38" s="1"/>
  <c r="Q155" i="38" s="1"/>
  <c r="O197" i="38"/>
  <c r="P197" i="38" s="1"/>
  <c r="Q197" i="38" s="1"/>
  <c r="O130" i="38"/>
  <c r="P130" i="38" s="1"/>
  <c r="Q130" i="38" s="1"/>
  <c r="O160" i="38"/>
  <c r="P160" i="38" s="1"/>
  <c r="Q160" i="38" s="1"/>
  <c r="O291" i="38"/>
  <c r="P291" i="38" s="1"/>
  <c r="Q291" i="38" s="1"/>
  <c r="O84" i="38"/>
  <c r="P84" i="38" s="1"/>
  <c r="Q84" i="38" s="1"/>
  <c r="O57" i="38"/>
  <c r="P57" i="38" s="1"/>
  <c r="Q57" i="38" s="1"/>
  <c r="O280" i="38"/>
  <c r="P280" i="38" s="1"/>
  <c r="Q280" i="38" s="1"/>
  <c r="O259" i="38"/>
  <c r="P259" i="38" s="1"/>
  <c r="Q259" i="38" s="1"/>
  <c r="O237" i="38"/>
  <c r="P237" i="38" s="1"/>
  <c r="Q237" i="38" s="1"/>
  <c r="O10" i="38"/>
  <c r="P10" i="38" s="1"/>
  <c r="Q10" i="38" s="1"/>
  <c r="O103" i="38"/>
  <c r="P103" i="38" s="1"/>
  <c r="Q103" i="38" s="1"/>
  <c r="O162" i="38"/>
  <c r="P162" i="38" s="1"/>
  <c r="Q162" i="38" s="1"/>
  <c r="O143" i="38"/>
  <c r="P143" i="38" s="1"/>
  <c r="Q143" i="38" s="1"/>
  <c r="O311" i="38"/>
  <c r="P311" i="38" s="1"/>
  <c r="Q311" i="38" s="1"/>
  <c r="O288" i="38"/>
  <c r="P288" i="38" s="1"/>
  <c r="Q288" i="38" s="1"/>
  <c r="O228" i="38"/>
  <c r="P228" i="38" s="1"/>
  <c r="Q228" i="38" s="1"/>
  <c r="O23" i="38"/>
  <c r="P23" i="38" s="1"/>
  <c r="Q23" i="38" s="1"/>
  <c r="O273" i="38"/>
  <c r="P273" i="38" s="1"/>
  <c r="Q273" i="38" s="1"/>
  <c r="O37" i="38"/>
  <c r="P37" i="38" s="1"/>
  <c r="Q37" i="38" s="1"/>
  <c r="O271" i="38"/>
  <c r="P271" i="38" s="1"/>
  <c r="Q271" i="38" s="1"/>
  <c r="O258" i="38"/>
  <c r="P258" i="38" s="1"/>
  <c r="Q258" i="38" s="1"/>
  <c r="O266" i="38"/>
  <c r="P266" i="38" s="1"/>
  <c r="Q266" i="38" s="1"/>
  <c r="O48" i="38"/>
  <c r="P48" i="38" s="1"/>
  <c r="Q48" i="38" s="1"/>
  <c r="O202" i="38"/>
  <c r="P202" i="38" s="1"/>
  <c r="Q202" i="38" s="1"/>
  <c r="O113" i="38"/>
  <c r="P113" i="38" s="1"/>
  <c r="Q113" i="38" s="1"/>
  <c r="O159" i="38"/>
  <c r="P159" i="38" s="1"/>
  <c r="Q159" i="38" s="1"/>
  <c r="O200" i="38"/>
  <c r="P200" i="38" s="1"/>
  <c r="Q200" i="38" s="1"/>
  <c r="O222" i="38"/>
  <c r="P222" i="38" s="1"/>
  <c r="Q222" i="38" s="1"/>
  <c r="O157" i="38"/>
  <c r="P157" i="38" s="1"/>
  <c r="Q157" i="38" s="1"/>
  <c r="O22" i="38"/>
  <c r="P22" i="38" s="1"/>
  <c r="Q22" i="38" s="1"/>
  <c r="O129" i="38"/>
  <c r="P129" i="38" s="1"/>
  <c r="Q129" i="38" s="1"/>
  <c r="O257" i="38"/>
  <c r="P257" i="38" s="1"/>
  <c r="Q257" i="38" s="1"/>
  <c r="O70" i="38"/>
  <c r="P70" i="38" s="1"/>
  <c r="Q70" i="38" s="1"/>
  <c r="O283" i="38"/>
  <c r="P283" i="38" s="1"/>
  <c r="Q283" i="38" s="1"/>
  <c r="O145" i="38"/>
  <c r="P145" i="38" s="1"/>
  <c r="Q145" i="38" s="1"/>
  <c r="O242" i="38"/>
  <c r="P242" i="38" s="1"/>
  <c r="Q242" i="38" s="1"/>
  <c r="O176" i="38"/>
  <c r="P176" i="38" s="1"/>
  <c r="Q176" i="38" s="1"/>
  <c r="O26" i="38"/>
  <c r="P26" i="38" s="1"/>
  <c r="Q26" i="38" s="1"/>
  <c r="O296" i="38"/>
  <c r="P296" i="38" s="1"/>
  <c r="Q296" i="38" s="1"/>
  <c r="O32" i="38"/>
  <c r="P32" i="38" s="1"/>
  <c r="Q32" i="38" s="1"/>
  <c r="O270" i="38"/>
  <c r="P270" i="38" s="1"/>
  <c r="Q270" i="38" s="1"/>
  <c r="O17" i="38"/>
  <c r="P17" i="38" s="1"/>
  <c r="Q17" i="38" s="1"/>
  <c r="O77" i="38"/>
  <c r="P77" i="38" s="1"/>
  <c r="Q77" i="38" s="1"/>
  <c r="O216" i="38"/>
  <c r="P216" i="38" s="1"/>
  <c r="Q216" i="38" s="1"/>
  <c r="O238" i="38"/>
  <c r="P238" i="38" s="1"/>
  <c r="Q238" i="38" s="1"/>
  <c r="O150" i="38"/>
  <c r="P150" i="38" s="1"/>
  <c r="Q150" i="38" s="1"/>
  <c r="O317" i="38"/>
  <c r="P317" i="38" s="1"/>
  <c r="Q317" i="38" s="1"/>
  <c r="O8" i="38"/>
  <c r="P8" i="38" s="1"/>
  <c r="Q8" i="38" s="1"/>
  <c r="O154" i="38"/>
  <c r="P154" i="38" s="1"/>
  <c r="Q154" i="38" s="1"/>
  <c r="O265" i="38"/>
  <c r="P265" i="38" s="1"/>
  <c r="Q265" i="38" s="1"/>
  <c r="O213" i="38"/>
  <c r="P213" i="38" s="1"/>
  <c r="Q213" i="38" s="1"/>
  <c r="O191" i="38"/>
  <c r="P191" i="38" s="1"/>
  <c r="Q191" i="38" s="1"/>
  <c r="O66" i="38"/>
  <c r="P66" i="38" s="1"/>
  <c r="Q66" i="38" s="1"/>
  <c r="O13" i="38"/>
  <c r="P13" i="38" s="1"/>
  <c r="Q13" i="38" s="1"/>
  <c r="O166" i="38"/>
  <c r="P166" i="38" s="1"/>
  <c r="Q166" i="38" s="1"/>
  <c r="O156" i="38"/>
  <c r="P156" i="38" s="1"/>
  <c r="Q156" i="38" s="1"/>
  <c r="O67" i="38"/>
  <c r="P67" i="38" s="1"/>
  <c r="Q67" i="38" s="1"/>
  <c r="O235" i="38"/>
  <c r="P235" i="38" s="1"/>
  <c r="Q235" i="38" s="1"/>
  <c r="O211" i="38"/>
  <c r="P211" i="38" s="1"/>
  <c r="Q211" i="38" s="1"/>
  <c r="O93" i="38"/>
  <c r="P93" i="38" s="1"/>
  <c r="Q93" i="38" s="1"/>
  <c r="O163" i="38"/>
  <c r="P163" i="38" s="1"/>
  <c r="Q163" i="38" s="1"/>
  <c r="O139" i="38"/>
  <c r="P139" i="38" s="1"/>
  <c r="Q139" i="38" s="1"/>
  <c r="O221" i="38"/>
  <c r="P221" i="38" s="1"/>
  <c r="Q221" i="38" s="1"/>
  <c r="O286" i="38"/>
  <c r="P286" i="38" s="1"/>
  <c r="Q286" i="38" s="1"/>
  <c r="O284" i="38"/>
  <c r="P284" i="38" s="1"/>
  <c r="Q284" i="38" s="1"/>
  <c r="O89" i="38"/>
  <c r="P89" i="38" s="1"/>
  <c r="Q89" i="38" s="1"/>
  <c r="O224" i="38"/>
  <c r="P224" i="38" s="1"/>
  <c r="Q224" i="38" s="1"/>
  <c r="O27" i="38"/>
  <c r="P27" i="38" s="1"/>
  <c r="Q27" i="38" s="1"/>
  <c r="O94" i="38"/>
  <c r="P94" i="38" s="1"/>
  <c r="Q94" i="38" s="1"/>
  <c r="O72" i="38"/>
  <c r="P72" i="38" s="1"/>
  <c r="Q72" i="38" s="1"/>
  <c r="O263" i="38"/>
  <c r="P263" i="38" s="1"/>
  <c r="Q263" i="38" s="1"/>
  <c r="O316" i="38"/>
  <c r="P316" i="38" s="1"/>
  <c r="Q316" i="38" s="1"/>
  <c r="O250" i="38"/>
  <c r="P250" i="38" s="1"/>
  <c r="Q250" i="38" s="1"/>
  <c r="O203" i="38"/>
  <c r="P203" i="38" s="1"/>
  <c r="Q203" i="38" s="1"/>
  <c r="O169" i="38"/>
  <c r="P169" i="38" s="1"/>
  <c r="Q169" i="38" s="1"/>
  <c r="O177" i="38"/>
  <c r="P177" i="38" s="1"/>
  <c r="Q177" i="38" s="1"/>
  <c r="O301" i="38"/>
  <c r="P301" i="38" s="1"/>
  <c r="Q301" i="38" s="1"/>
  <c r="O148" i="38"/>
  <c r="P148" i="38" s="1"/>
  <c r="Q148" i="38" s="1"/>
  <c r="O290" i="38"/>
  <c r="P290" i="38" s="1"/>
  <c r="Q290" i="38" s="1"/>
  <c r="O268" i="38"/>
  <c r="P268" i="38" s="1"/>
  <c r="Q268" i="38" s="1"/>
  <c r="O186" i="38"/>
  <c r="P186" i="38" s="1"/>
  <c r="Q186" i="38" s="1"/>
  <c r="O59" i="38"/>
  <c r="P59" i="38" s="1"/>
  <c r="Q59" i="38" s="1"/>
  <c r="O204" i="38"/>
  <c r="P204" i="38" s="1"/>
  <c r="Q204" i="38" s="1"/>
  <c r="O173" i="38"/>
  <c r="P173" i="38" s="1"/>
  <c r="Q173" i="38" s="1"/>
  <c r="O267" i="38"/>
  <c r="P267" i="38" s="1"/>
  <c r="Q267" i="38" s="1"/>
  <c r="O298" i="38"/>
  <c r="P298" i="38" s="1"/>
  <c r="Q298" i="38" s="1"/>
  <c r="O33" i="38"/>
  <c r="P33" i="38" s="1"/>
  <c r="Q33" i="38" s="1"/>
  <c r="O189" i="38"/>
  <c r="P189" i="38" s="1"/>
  <c r="Q189" i="38" s="1"/>
  <c r="O261" i="38"/>
  <c r="P261" i="38" s="1"/>
  <c r="Q261" i="38" s="1"/>
  <c r="O58" i="38"/>
  <c r="P58" i="38" s="1"/>
  <c r="Q58" i="38" s="1"/>
  <c r="O56" i="38"/>
  <c r="P56" i="38" s="1"/>
  <c r="Q56" i="38" s="1"/>
  <c r="O164" i="38"/>
  <c r="P164" i="38" s="1"/>
  <c r="Q164" i="38" s="1"/>
  <c r="O68" i="38"/>
  <c r="P68" i="38" s="1"/>
  <c r="Q68" i="38" s="1"/>
  <c r="O255" i="38"/>
  <c r="P255" i="38" s="1"/>
  <c r="Q255" i="38" s="1"/>
  <c r="O299" i="38"/>
  <c r="P299" i="38" s="1"/>
  <c r="Q299" i="38" s="1"/>
  <c r="O54" i="38"/>
  <c r="P54" i="38" s="1"/>
  <c r="Q54" i="38" s="1"/>
  <c r="O233" i="38"/>
  <c r="P233" i="38" s="1"/>
  <c r="Q233" i="38" s="1"/>
  <c r="O198" i="38"/>
  <c r="P198" i="38" s="1"/>
  <c r="Q198" i="38" s="1"/>
  <c r="O171" i="38"/>
  <c r="P171" i="38" s="1"/>
  <c r="Q171" i="38" s="1"/>
  <c r="O63" i="38"/>
  <c r="P63" i="38" s="1"/>
  <c r="Q63" i="38" s="1"/>
  <c r="O262" i="38"/>
  <c r="P262" i="38" s="1"/>
  <c r="Q262" i="38" s="1"/>
  <c r="O49" i="38"/>
  <c r="P49" i="38" s="1"/>
  <c r="Q49" i="38" s="1"/>
  <c r="O34" i="38"/>
  <c r="P34" i="38" s="1"/>
  <c r="Q34" i="38" s="1"/>
  <c r="O304" i="38"/>
  <c r="P304" i="38" s="1"/>
  <c r="Q304" i="38" s="1"/>
  <c r="O217" i="38"/>
  <c r="P217" i="38" s="1"/>
  <c r="Q217" i="38" s="1"/>
  <c r="O170" i="38"/>
  <c r="P170" i="38" s="1"/>
  <c r="Q170" i="38" s="1"/>
  <c r="O92" i="38"/>
  <c r="P92" i="38" s="1"/>
  <c r="Q92" i="38" s="1"/>
  <c r="O293" i="38"/>
  <c r="P293" i="38" s="1"/>
  <c r="Q293" i="38" s="1"/>
  <c r="O179" i="38"/>
  <c r="P179" i="38" s="1"/>
  <c r="Q179" i="38" s="1"/>
  <c r="O141" i="38"/>
  <c r="P141" i="38" s="1"/>
  <c r="Q141" i="38" s="1"/>
  <c r="O30" i="38"/>
  <c r="P30" i="38" s="1"/>
  <c r="Q30" i="38" s="1"/>
  <c r="O117" i="38"/>
  <c r="P117" i="38" s="1"/>
  <c r="Q117" i="38" s="1"/>
  <c r="O52" i="38"/>
  <c r="P52" i="38" s="1"/>
  <c r="Q52" i="38" s="1"/>
  <c r="O87" i="38"/>
  <c r="P87" i="38" s="1"/>
  <c r="Q87" i="38" s="1"/>
  <c r="O192" i="38"/>
  <c r="P192" i="38" s="1"/>
  <c r="Q192" i="38" s="1"/>
  <c r="O133" i="38"/>
  <c r="P133" i="38" s="1"/>
  <c r="Q133" i="38" s="1"/>
  <c r="O109" i="38"/>
  <c r="P109" i="38" s="1"/>
  <c r="Q109" i="38" s="1"/>
  <c r="O205" i="38"/>
  <c r="P205" i="38" s="1"/>
  <c r="Q205" i="38" s="1"/>
  <c r="O223" i="38"/>
  <c r="P223" i="38" s="1"/>
  <c r="Q223" i="38" s="1"/>
  <c r="O308" i="38"/>
  <c r="P308" i="38" s="1"/>
  <c r="Q308" i="38" s="1"/>
  <c r="O248" i="38"/>
  <c r="P248" i="38" s="1"/>
  <c r="Q248" i="38" s="1"/>
  <c r="O122" i="38"/>
  <c r="P122" i="38" s="1"/>
  <c r="Q122" i="38" s="1"/>
  <c r="O287" i="38"/>
  <c r="P287" i="38" s="1"/>
  <c r="Q287" i="38" s="1"/>
  <c r="O309" i="38"/>
  <c r="P309" i="38" s="1"/>
  <c r="Q309" i="38" s="1"/>
  <c r="O12" i="38"/>
  <c r="P12" i="38" s="1"/>
  <c r="Q12" i="38" s="1"/>
  <c r="O153" i="38"/>
  <c r="P153" i="38" s="1"/>
  <c r="Q153" i="38" s="1"/>
  <c r="O50" i="38"/>
  <c r="P50" i="38" s="1"/>
  <c r="Q50" i="38" s="1"/>
  <c r="O251" i="38"/>
  <c r="P251" i="38" s="1"/>
  <c r="Q251" i="38" s="1"/>
  <c r="O187" i="38"/>
  <c r="P187" i="38" s="1"/>
  <c r="Q187" i="38" s="1"/>
  <c r="O20" i="38"/>
  <c r="P20" i="38" s="1"/>
  <c r="Q20" i="38" s="1"/>
  <c r="O180" i="38"/>
  <c r="P180" i="38" s="1"/>
  <c r="Q180" i="38" s="1"/>
  <c r="O85" i="38"/>
  <c r="P85" i="38" s="1"/>
  <c r="Q85" i="38" s="1"/>
  <c r="O207" i="38"/>
  <c r="P207" i="38" s="1"/>
  <c r="Q207" i="38" s="1"/>
  <c r="O183" i="38"/>
  <c r="P183" i="38" s="1"/>
  <c r="Q183" i="38" s="1"/>
  <c r="O210" i="38"/>
  <c r="P210" i="38" s="1"/>
  <c r="Q210" i="38" s="1"/>
  <c r="O264" i="38"/>
  <c r="P264" i="38" s="1"/>
  <c r="Q264" i="38" s="1"/>
  <c r="O167" i="38"/>
  <c r="P167" i="38" s="1"/>
  <c r="Q167" i="38" s="1"/>
  <c r="O215" i="38"/>
  <c r="P215" i="38" s="1"/>
  <c r="Q215" i="38" s="1"/>
  <c r="O15" i="38"/>
  <c r="P15" i="38" s="1"/>
  <c r="Q15" i="38" s="1"/>
  <c r="O214" i="38"/>
  <c r="P214" i="38" s="1"/>
  <c r="Q214" i="38" s="1"/>
  <c r="O116" i="38"/>
  <c r="P116" i="38" s="1"/>
  <c r="Q116" i="38" s="1"/>
  <c r="O80" i="38"/>
  <c r="P80" i="38" s="1"/>
  <c r="Q80" i="38" s="1"/>
  <c r="O65" i="38"/>
  <c r="P65" i="38" s="1"/>
  <c r="Q65" i="38" s="1"/>
  <c r="O128" i="38"/>
  <c r="P128" i="38" s="1"/>
  <c r="Q128" i="38" s="1"/>
  <c r="O41" i="38"/>
  <c r="P41" i="38" s="1"/>
  <c r="Q41" i="38" s="1"/>
  <c r="O158" i="38"/>
  <c r="P158" i="38" s="1"/>
  <c r="Q158" i="38" s="1"/>
  <c r="O278" i="38"/>
  <c r="P278" i="38" s="1"/>
  <c r="Q278" i="38" s="1"/>
  <c r="O152" i="38"/>
  <c r="P152" i="38" s="1"/>
  <c r="Q152" i="38" s="1"/>
  <c r="O53" i="38"/>
  <c r="P53" i="38" s="1"/>
  <c r="Q53" i="38" s="1"/>
  <c r="O62" i="38"/>
  <c r="P62" i="38" s="1"/>
  <c r="Q62" i="38" s="1"/>
  <c r="O119" i="38"/>
  <c r="P119" i="38" s="1"/>
  <c r="Q119" i="38" s="1"/>
  <c r="O88" i="38"/>
  <c r="P88" i="38" s="1"/>
  <c r="Q88" i="38" s="1"/>
  <c r="O184" i="38"/>
  <c r="P184" i="38" s="1"/>
  <c r="Q184" i="38" s="1"/>
  <c r="O73" i="38"/>
  <c r="P73" i="38" s="1"/>
  <c r="Q73" i="38" s="1"/>
  <c r="O175" i="38"/>
  <c r="P175" i="38" s="1"/>
  <c r="Q175" i="38" s="1"/>
  <c r="O239" i="38"/>
  <c r="P239" i="38" s="1"/>
  <c r="Q239" i="38" s="1"/>
  <c r="O101" i="38"/>
  <c r="P101" i="38" s="1"/>
  <c r="Q101" i="38" s="1"/>
  <c r="O18" i="38"/>
  <c r="P18" i="38" s="1"/>
  <c r="Q18" i="38" s="1"/>
  <c r="O185" i="38"/>
  <c r="P185" i="38" s="1"/>
  <c r="Q185" i="38" s="1"/>
  <c r="O124" i="38"/>
  <c r="P124" i="38" s="1"/>
  <c r="Q124" i="38" s="1"/>
  <c r="O136" i="38"/>
  <c r="P136" i="38" s="1"/>
  <c r="Q136" i="38" s="1"/>
  <c r="O110" i="38"/>
  <c r="P110" i="38" s="1"/>
  <c r="Q110" i="38" s="1"/>
  <c r="O61" i="38"/>
  <c r="P61" i="38" s="1"/>
  <c r="Q61" i="38" s="1"/>
  <c r="O312" i="38"/>
  <c r="P312" i="38" s="1"/>
  <c r="Q312" i="38" s="1"/>
  <c r="O95" i="38"/>
  <c r="P95" i="38" s="1"/>
  <c r="Q95" i="38" s="1"/>
  <c r="O86" i="38"/>
  <c r="P86" i="38" s="1"/>
  <c r="Q86" i="38" s="1"/>
  <c r="O188" i="38"/>
  <c r="P188" i="38" s="1"/>
  <c r="Q188" i="38" s="1"/>
  <c r="O146" i="38"/>
  <c r="P146" i="38" s="1"/>
  <c r="Q146" i="38" s="1"/>
  <c r="O241" i="38"/>
  <c r="P241" i="38" s="1"/>
  <c r="Q241" i="38" s="1"/>
  <c r="O132" i="38"/>
  <c r="P132" i="38" s="1"/>
  <c r="Q132" i="38" s="1"/>
  <c r="O295" i="38"/>
  <c r="P295" i="38" s="1"/>
  <c r="Q295" i="38" s="1"/>
  <c r="O244" i="38"/>
  <c r="P244" i="38" s="1"/>
  <c r="Q244" i="38" s="1"/>
  <c r="O118" i="38"/>
  <c r="P118" i="38" s="1"/>
  <c r="Q118" i="38" s="1"/>
  <c r="O105" i="38"/>
  <c r="P105" i="38" s="1"/>
  <c r="Q105" i="38" s="1"/>
  <c r="O302" i="38"/>
  <c r="P302" i="38" s="1"/>
  <c r="Q302" i="38" s="1"/>
  <c r="O199" i="38"/>
  <c r="P199" i="38" s="1"/>
  <c r="Q199" i="38" s="1"/>
  <c r="O281" i="38"/>
  <c r="P281" i="38" s="1"/>
  <c r="Q281" i="38" s="1"/>
  <c r="O11" i="38"/>
  <c r="P11" i="38" s="1"/>
  <c r="Q11" i="38" s="1"/>
  <c r="O38" i="38"/>
  <c r="P38" i="38" s="1"/>
  <c r="Q38" i="38" s="1"/>
  <c r="O131" i="38"/>
  <c r="P131" i="38" s="1"/>
  <c r="Q131" i="38" s="1"/>
  <c r="O285" i="38"/>
  <c r="P285" i="38" s="1"/>
  <c r="Q285" i="38" s="1"/>
  <c r="O256" i="38"/>
  <c r="P256" i="38" s="1"/>
  <c r="Q256" i="38" s="1"/>
  <c r="O247" i="38"/>
  <c r="P247" i="38" s="1"/>
  <c r="Q247" i="38" s="1"/>
  <c r="O249" i="38"/>
  <c r="P249" i="38" s="1"/>
  <c r="Q249" i="38" s="1"/>
  <c r="O39" i="38"/>
  <c r="P39" i="38" s="1"/>
  <c r="Q39" i="38" s="1"/>
  <c r="O218" i="38"/>
  <c r="P218" i="38" s="1"/>
  <c r="Q218" i="38" s="1"/>
  <c r="O83" i="38"/>
  <c r="P83" i="38" s="1"/>
  <c r="Q83" i="38" s="1"/>
  <c r="O25" i="38"/>
  <c r="P25" i="38" s="1"/>
  <c r="Q25" i="38" s="1"/>
  <c r="O226" i="38"/>
  <c r="P226" i="38" s="1"/>
  <c r="Q226" i="38" s="1"/>
  <c r="O134" i="38"/>
  <c r="P134" i="38" s="1"/>
  <c r="Q134" i="38" s="1"/>
  <c r="O14" i="38"/>
  <c r="P14" i="38" s="1"/>
  <c r="Q14" i="38" s="1"/>
  <c r="O206" i="38"/>
  <c r="P206" i="38" s="1"/>
  <c r="Q206" i="38" s="1"/>
  <c r="O99" i="38"/>
  <c r="P99" i="38" s="1"/>
  <c r="Q99" i="38" s="1"/>
  <c r="O98" i="38"/>
  <c r="P98" i="38" s="1"/>
  <c r="Q98" i="38" s="1"/>
  <c r="O236" i="38"/>
  <c r="P236" i="38" s="1"/>
  <c r="Q236" i="38" s="1"/>
  <c r="O35" i="38"/>
  <c r="P35" i="38" s="1"/>
  <c r="Q35" i="38" s="1"/>
  <c r="O190" i="38"/>
  <c r="P190" i="38" s="1"/>
  <c r="Q190" i="38" s="1"/>
  <c r="O76" i="38"/>
  <c r="P76" i="38" s="1"/>
  <c r="Q76" i="38" s="1"/>
  <c r="O21" i="38"/>
  <c r="P21" i="38" s="1"/>
  <c r="Q21" i="38" s="1"/>
  <c r="O289" i="38"/>
  <c r="P289" i="38" s="1"/>
  <c r="Q289" i="38" s="1"/>
  <c r="O44" i="38"/>
  <c r="P44" i="38" s="1"/>
  <c r="Q44" i="38" s="1"/>
  <c r="O121" i="38"/>
  <c r="P121" i="38" s="1"/>
  <c r="Q121" i="38" s="1"/>
  <c r="O318" i="38"/>
  <c r="P318" i="38" s="1"/>
  <c r="Q318" i="38" s="1"/>
  <c r="O151" i="38"/>
  <c r="P151" i="38" s="1"/>
  <c r="Q151" i="38" s="1"/>
  <c r="O64" i="38"/>
  <c r="P64" i="38" s="1"/>
  <c r="Q64" i="38" s="1"/>
  <c r="O194" i="38"/>
  <c r="P194" i="38" s="1"/>
  <c r="Q194" i="38" s="1"/>
  <c r="O305" i="38"/>
  <c r="P305" i="38" s="1"/>
  <c r="Q305" i="38" s="1"/>
  <c r="O231" i="38"/>
  <c r="P231" i="38" s="1"/>
  <c r="Q231" i="38" s="1"/>
  <c r="O51" i="38"/>
  <c r="P51" i="38" s="1"/>
  <c r="Q51" i="38" s="1"/>
  <c r="O245" i="38"/>
  <c r="P245" i="38" s="1"/>
  <c r="Q245" i="38" s="1"/>
  <c r="O277" i="38"/>
  <c r="P277" i="38" s="1"/>
  <c r="Q277" i="38" s="1"/>
  <c r="O75" i="38"/>
  <c r="P75" i="38" s="1"/>
  <c r="Q75" i="38" s="1"/>
  <c r="O260" i="38"/>
  <c r="P260" i="38" s="1"/>
  <c r="Q260" i="38" s="1"/>
  <c r="O314" i="38"/>
  <c r="P314" i="38" s="1"/>
  <c r="Q314" i="38" s="1"/>
  <c r="O90" i="38"/>
  <c r="P90" i="38" s="1"/>
  <c r="Q90" i="38" s="1"/>
  <c r="O60" i="38"/>
  <c r="P60" i="38" s="1"/>
  <c r="Q60" i="38" s="1"/>
  <c r="O252" i="38"/>
  <c r="P252" i="38" s="1"/>
  <c r="Q252" i="38" s="1"/>
  <c r="O225" i="38"/>
  <c r="P225" i="38" s="1"/>
  <c r="Q225" i="38" s="1"/>
  <c r="O307" i="38"/>
  <c r="P307" i="38" s="1"/>
  <c r="Q307" i="38" s="1"/>
  <c r="O144" i="38"/>
  <c r="P144" i="38" s="1"/>
  <c r="Q144" i="38" s="1"/>
  <c r="O74" i="38"/>
  <c r="P74" i="38" s="1"/>
  <c r="Q74" i="38" s="1"/>
  <c r="O126" i="38"/>
  <c r="P126" i="38" s="1"/>
  <c r="Q126" i="38" s="1"/>
  <c r="O55" i="38"/>
  <c r="P55" i="38" s="1"/>
  <c r="Q55" i="38" s="1"/>
  <c r="O161" i="38"/>
  <c r="P161" i="38" s="1"/>
  <c r="Q161" i="38" s="1"/>
  <c r="O91" i="38"/>
  <c r="P91" i="38" s="1"/>
  <c r="Q91" i="38" s="1"/>
  <c r="O292" i="38"/>
  <c r="P292" i="38" s="1"/>
  <c r="Q292" i="38" s="1"/>
  <c r="O168" i="38"/>
  <c r="P168" i="38" s="1"/>
  <c r="Q168" i="38" s="1"/>
  <c r="O135" i="38"/>
  <c r="P135" i="38" s="1"/>
  <c r="Q135" i="38" s="1"/>
  <c r="O208" i="38"/>
  <c r="P208" i="38" s="1"/>
  <c r="Q208" i="38" s="1"/>
  <c r="O294" i="38"/>
  <c r="P294" i="38" s="1"/>
  <c r="Q294" i="38" s="1"/>
  <c r="O6" i="38"/>
  <c r="P6" i="38" s="1"/>
  <c r="Q6" i="38" s="1"/>
  <c r="O269" i="38"/>
  <c r="P269" i="38" s="1"/>
  <c r="Q269" i="38" s="1"/>
  <c r="O230" i="38"/>
  <c r="P230" i="38" s="1"/>
  <c r="Q230" i="38" s="1"/>
  <c r="O24" i="38"/>
  <c r="P24" i="38" s="1"/>
  <c r="Q24" i="38" s="1"/>
  <c r="O172" i="38"/>
  <c r="P172" i="38" s="1"/>
  <c r="Q172" i="38" s="1"/>
  <c r="O107" i="38"/>
  <c r="P107" i="38" s="1"/>
  <c r="Q107" i="38" s="1"/>
  <c r="O303" i="38"/>
  <c r="P303" i="38" s="1"/>
  <c r="Q303" i="38" s="1"/>
  <c r="O310" i="38"/>
  <c r="P310" i="38" s="1"/>
  <c r="Q310" i="38" s="1"/>
  <c r="O193" i="38"/>
  <c r="P193" i="38" s="1"/>
  <c r="Q193" i="38" s="1"/>
  <c r="O313" i="38"/>
  <c r="P313" i="38" s="1"/>
  <c r="Q313" i="38" s="1"/>
  <c r="O232" i="38"/>
  <c r="P232" i="38" s="1"/>
  <c r="Q232" i="38" s="1"/>
  <c r="O47" i="38"/>
  <c r="P47" i="38" s="1"/>
  <c r="Q47" i="38" s="1"/>
  <c r="O100" i="38"/>
  <c r="P100" i="38" s="1"/>
  <c r="Q100" i="38" s="1"/>
  <c r="O279" i="38"/>
  <c r="P279" i="38" s="1"/>
  <c r="Q279" i="38" s="1"/>
  <c r="O4" i="38"/>
  <c r="O4" i="37"/>
  <c r="O94" i="36"/>
  <c r="P94" i="36" s="1"/>
  <c r="Q94" i="36" s="1"/>
  <c r="O269" i="36"/>
  <c r="P269" i="36" s="1"/>
  <c r="Q269" i="36" s="1"/>
  <c r="O164" i="36"/>
  <c r="P164" i="36" s="1"/>
  <c r="Q164" i="36" s="1"/>
  <c r="O201" i="36"/>
  <c r="P201" i="36" s="1"/>
  <c r="Q201" i="36" s="1"/>
  <c r="O106" i="36"/>
  <c r="P106" i="36" s="1"/>
  <c r="Q106" i="36" s="1"/>
  <c r="O141" i="36"/>
  <c r="P141" i="36" s="1"/>
  <c r="Q141" i="36" s="1"/>
  <c r="O44" i="36"/>
  <c r="P44" i="36" s="1"/>
  <c r="Q44" i="36" s="1"/>
  <c r="O90" i="36"/>
  <c r="P90" i="36" s="1"/>
  <c r="Q90" i="36" s="1"/>
  <c r="O72" i="36"/>
  <c r="P72" i="36" s="1"/>
  <c r="Q72" i="36" s="1"/>
  <c r="O175" i="36"/>
  <c r="P175" i="36" s="1"/>
  <c r="Q175" i="36" s="1"/>
  <c r="O70" i="36"/>
  <c r="P70" i="36" s="1"/>
  <c r="Q70" i="36" s="1"/>
  <c r="O261" i="36"/>
  <c r="P261" i="36" s="1"/>
  <c r="Q261" i="36" s="1"/>
  <c r="O241" i="36"/>
  <c r="P241" i="36" s="1"/>
  <c r="Q241" i="36" s="1"/>
  <c r="O284" i="36"/>
  <c r="P284" i="36" s="1"/>
  <c r="Q284" i="36" s="1"/>
  <c r="O147" i="36"/>
  <c r="P147" i="36" s="1"/>
  <c r="Q147" i="36" s="1"/>
  <c r="O213" i="36"/>
  <c r="P213" i="36" s="1"/>
  <c r="Q213" i="36" s="1"/>
  <c r="O144" i="36"/>
  <c r="P144" i="36" s="1"/>
  <c r="Q144" i="36" s="1"/>
  <c r="O120" i="36"/>
  <c r="P120" i="36" s="1"/>
  <c r="Q120" i="36" s="1"/>
  <c r="O105" i="36"/>
  <c r="P105" i="36" s="1"/>
  <c r="Q105" i="36" s="1"/>
  <c r="O229" i="36"/>
  <c r="P229" i="36" s="1"/>
  <c r="Q229" i="36" s="1"/>
  <c r="O291" i="36"/>
  <c r="P291" i="36" s="1"/>
  <c r="Q291" i="36" s="1"/>
  <c r="O79" i="36"/>
  <c r="P79" i="36" s="1"/>
  <c r="Q79" i="36" s="1"/>
  <c r="O211" i="36"/>
  <c r="P211" i="36" s="1"/>
  <c r="Q211" i="36" s="1"/>
  <c r="O243" i="36"/>
  <c r="P243" i="36" s="1"/>
  <c r="Q243" i="36" s="1"/>
  <c r="O150" i="36"/>
  <c r="P150" i="36" s="1"/>
  <c r="Q150" i="36" s="1"/>
  <c r="O151" i="36"/>
  <c r="P151" i="36" s="1"/>
  <c r="Q151" i="36" s="1"/>
  <c r="O268" i="36"/>
  <c r="P268" i="36" s="1"/>
  <c r="Q268" i="36" s="1"/>
  <c r="O279" i="36"/>
  <c r="P279" i="36" s="1"/>
  <c r="Q279" i="36" s="1"/>
  <c r="O207" i="36"/>
  <c r="P207" i="36" s="1"/>
  <c r="Q207" i="36" s="1"/>
  <c r="O52" i="36"/>
  <c r="P52" i="36" s="1"/>
  <c r="Q52" i="36" s="1"/>
  <c r="O59" i="36"/>
  <c r="P59" i="36" s="1"/>
  <c r="Q59" i="36" s="1"/>
  <c r="O47" i="36"/>
  <c r="P47" i="36" s="1"/>
  <c r="Q47" i="36" s="1"/>
  <c r="O233" i="36"/>
  <c r="P233" i="36" s="1"/>
  <c r="Q233" i="36" s="1"/>
  <c r="O104" i="36"/>
  <c r="P104" i="36" s="1"/>
  <c r="Q104" i="36" s="1"/>
  <c r="O285" i="36"/>
  <c r="P285" i="36" s="1"/>
  <c r="Q285" i="36" s="1"/>
  <c r="O61" i="36"/>
  <c r="P61" i="36" s="1"/>
  <c r="Q61" i="36" s="1"/>
  <c r="O228" i="36"/>
  <c r="P228" i="36" s="1"/>
  <c r="Q228" i="36" s="1"/>
  <c r="O224" i="36"/>
  <c r="P224" i="36" s="1"/>
  <c r="Q224" i="36" s="1"/>
  <c r="O135" i="36"/>
  <c r="P135" i="36" s="1"/>
  <c r="Q135" i="36" s="1"/>
  <c r="O77" i="36"/>
  <c r="P77" i="36" s="1"/>
  <c r="Q77" i="36" s="1"/>
  <c r="O258" i="36"/>
  <c r="P258" i="36" s="1"/>
  <c r="Q258" i="36" s="1"/>
  <c r="O119" i="36"/>
  <c r="P119" i="36" s="1"/>
  <c r="Q119" i="36" s="1"/>
  <c r="O156" i="36"/>
  <c r="P156" i="36" s="1"/>
  <c r="Q156" i="36" s="1"/>
  <c r="O192" i="36"/>
  <c r="P192" i="36" s="1"/>
  <c r="Q192" i="36" s="1"/>
  <c r="O265" i="36"/>
  <c r="P265" i="36" s="1"/>
  <c r="Q265" i="36" s="1"/>
  <c r="O127" i="36"/>
  <c r="P127" i="36" s="1"/>
  <c r="Q127" i="36" s="1"/>
  <c r="O318" i="36"/>
  <c r="P318" i="36" s="1"/>
  <c r="Q318" i="36" s="1"/>
  <c r="O24" i="36"/>
  <c r="P24" i="36" s="1"/>
  <c r="Q24" i="36" s="1"/>
  <c r="O18" i="36"/>
  <c r="P18" i="36" s="1"/>
  <c r="Q18" i="36" s="1"/>
  <c r="O63" i="36"/>
  <c r="P63" i="36" s="1"/>
  <c r="Q63" i="36" s="1"/>
  <c r="O197" i="36"/>
  <c r="P197" i="36" s="1"/>
  <c r="Q197" i="36" s="1"/>
  <c r="O140" i="36"/>
  <c r="P140" i="36" s="1"/>
  <c r="Q140" i="36" s="1"/>
  <c r="O20" i="36"/>
  <c r="P20" i="36" s="1"/>
  <c r="Q20" i="36" s="1"/>
  <c r="O266" i="36"/>
  <c r="P266" i="36" s="1"/>
  <c r="Q266" i="36" s="1"/>
  <c r="O313" i="36"/>
  <c r="P313" i="36" s="1"/>
  <c r="Q313" i="36" s="1"/>
  <c r="O121" i="36"/>
  <c r="P121" i="36" s="1"/>
  <c r="Q121" i="36" s="1"/>
  <c r="O274" i="36"/>
  <c r="P274" i="36" s="1"/>
  <c r="Q274" i="36" s="1"/>
  <c r="O259" i="36"/>
  <c r="P259" i="36" s="1"/>
  <c r="Q259" i="36" s="1"/>
  <c r="O250" i="36"/>
  <c r="P250" i="36" s="1"/>
  <c r="Q250" i="36" s="1"/>
  <c r="O35" i="36"/>
  <c r="P35" i="36" s="1"/>
  <c r="Q35" i="36" s="1"/>
  <c r="O203" i="36"/>
  <c r="P203" i="36" s="1"/>
  <c r="Q203" i="36" s="1"/>
  <c r="O146" i="36"/>
  <c r="P146" i="36" s="1"/>
  <c r="Q146" i="36" s="1"/>
  <c r="O283" i="36"/>
  <c r="P283" i="36" s="1"/>
  <c r="Q283" i="36" s="1"/>
  <c r="O109" i="36"/>
  <c r="P109" i="36" s="1"/>
  <c r="Q109" i="36" s="1"/>
  <c r="O174" i="36"/>
  <c r="P174" i="36" s="1"/>
  <c r="Q174" i="36" s="1"/>
  <c r="O264" i="36"/>
  <c r="P264" i="36" s="1"/>
  <c r="Q264" i="36" s="1"/>
  <c r="O87" i="36"/>
  <c r="P87" i="36" s="1"/>
  <c r="Q87" i="36" s="1"/>
  <c r="O262" i="36"/>
  <c r="P262" i="36" s="1"/>
  <c r="Q262" i="36" s="1"/>
  <c r="O297" i="36"/>
  <c r="P297" i="36" s="1"/>
  <c r="Q297" i="36" s="1"/>
  <c r="O56" i="36"/>
  <c r="P56" i="36" s="1"/>
  <c r="Q56" i="36" s="1"/>
  <c r="O8" i="36"/>
  <c r="P8" i="36" s="1"/>
  <c r="Q8" i="36" s="1"/>
  <c r="O91" i="36"/>
  <c r="P91" i="36" s="1"/>
  <c r="Q91" i="36" s="1"/>
  <c r="O113" i="36"/>
  <c r="P113" i="36" s="1"/>
  <c r="Q113" i="36" s="1"/>
  <c r="O66" i="36"/>
  <c r="P66" i="36" s="1"/>
  <c r="Q66" i="36" s="1"/>
  <c r="O253" i="36"/>
  <c r="P253" i="36" s="1"/>
  <c r="Q253" i="36" s="1"/>
  <c r="O244" i="36"/>
  <c r="P244" i="36" s="1"/>
  <c r="Q244" i="36" s="1"/>
  <c r="O130" i="36"/>
  <c r="P130" i="36" s="1"/>
  <c r="Q130" i="36" s="1"/>
  <c r="O257" i="36"/>
  <c r="P257" i="36" s="1"/>
  <c r="Q257" i="36" s="1"/>
  <c r="O194" i="36"/>
  <c r="P194" i="36" s="1"/>
  <c r="Q194" i="36" s="1"/>
  <c r="O309" i="36"/>
  <c r="P309" i="36" s="1"/>
  <c r="Q309" i="36" s="1"/>
  <c r="O85" i="36"/>
  <c r="P85" i="36" s="1"/>
  <c r="Q85" i="36" s="1"/>
  <c r="O10" i="36"/>
  <c r="P10" i="36" s="1"/>
  <c r="Q10" i="36" s="1"/>
  <c r="O53" i="36"/>
  <c r="P53" i="36" s="1"/>
  <c r="Q53" i="36" s="1"/>
  <c r="O188" i="36"/>
  <c r="P188" i="36" s="1"/>
  <c r="Q188" i="36" s="1"/>
  <c r="O287" i="36"/>
  <c r="P287" i="36" s="1"/>
  <c r="Q287" i="36" s="1"/>
  <c r="O276" i="36"/>
  <c r="P276" i="36" s="1"/>
  <c r="Q276" i="36" s="1"/>
  <c r="O311" i="36"/>
  <c r="P311" i="36" s="1"/>
  <c r="Q311" i="36" s="1"/>
  <c r="O223" i="36"/>
  <c r="P223" i="36" s="1"/>
  <c r="Q223" i="36" s="1"/>
  <c r="O220" i="36"/>
  <c r="P220" i="36" s="1"/>
  <c r="Q220" i="36" s="1"/>
  <c r="O32" i="36"/>
  <c r="P32" i="36" s="1"/>
  <c r="Q32" i="36" s="1"/>
  <c r="O178" i="36"/>
  <c r="P178" i="36" s="1"/>
  <c r="Q178" i="36" s="1"/>
  <c r="O139" i="36"/>
  <c r="P139" i="36" s="1"/>
  <c r="Q139" i="36" s="1"/>
  <c r="O62" i="36"/>
  <c r="P62" i="36" s="1"/>
  <c r="Q62" i="36" s="1"/>
  <c r="O316" i="36"/>
  <c r="P316" i="36" s="1"/>
  <c r="Q316" i="36" s="1"/>
  <c r="O234" i="36"/>
  <c r="P234" i="36" s="1"/>
  <c r="Q234" i="36" s="1"/>
  <c r="O95" i="36"/>
  <c r="P95" i="36" s="1"/>
  <c r="Q95" i="36" s="1"/>
  <c r="O232" i="36"/>
  <c r="P232" i="36" s="1"/>
  <c r="Q232" i="36" s="1"/>
  <c r="O108" i="36"/>
  <c r="P108" i="36" s="1"/>
  <c r="Q108" i="36" s="1"/>
  <c r="O76" i="36"/>
  <c r="P76" i="36" s="1"/>
  <c r="Q76" i="36" s="1"/>
  <c r="O256" i="36"/>
  <c r="P256" i="36" s="1"/>
  <c r="Q256" i="36" s="1"/>
  <c r="O173" i="36"/>
  <c r="P173" i="36" s="1"/>
  <c r="Q173" i="36" s="1"/>
  <c r="O153" i="36"/>
  <c r="P153" i="36" s="1"/>
  <c r="Q153" i="36" s="1"/>
  <c r="O275" i="36"/>
  <c r="P275" i="36" s="1"/>
  <c r="Q275" i="36" s="1"/>
  <c r="O122" i="36"/>
  <c r="P122" i="36" s="1"/>
  <c r="Q122" i="36" s="1"/>
  <c r="O26" i="36"/>
  <c r="P26" i="36" s="1"/>
  <c r="Q26" i="36" s="1"/>
  <c r="O246" i="36"/>
  <c r="P246" i="36" s="1"/>
  <c r="Q246" i="36" s="1"/>
  <c r="O237" i="36"/>
  <c r="P237" i="36" s="1"/>
  <c r="Q237" i="36" s="1"/>
  <c r="O185" i="36"/>
  <c r="P185" i="36" s="1"/>
  <c r="Q185" i="36" s="1"/>
  <c r="O221" i="36"/>
  <c r="P221" i="36" s="1"/>
  <c r="Q221" i="36" s="1"/>
  <c r="O199" i="36"/>
  <c r="P199" i="36" s="1"/>
  <c r="Q199" i="36" s="1"/>
  <c r="O238" i="36"/>
  <c r="P238" i="36" s="1"/>
  <c r="Q238" i="36" s="1"/>
  <c r="O293" i="36"/>
  <c r="P293" i="36" s="1"/>
  <c r="Q293" i="36" s="1"/>
  <c r="O208" i="36"/>
  <c r="P208" i="36" s="1"/>
  <c r="Q208" i="36" s="1"/>
  <c r="O278" i="36"/>
  <c r="P278" i="36" s="1"/>
  <c r="Q278" i="36" s="1"/>
  <c r="O54" i="36"/>
  <c r="P54" i="36" s="1"/>
  <c r="Q54" i="36" s="1"/>
  <c r="O148" i="36"/>
  <c r="P148" i="36" s="1"/>
  <c r="Q148" i="36" s="1"/>
  <c r="O65" i="36"/>
  <c r="P65" i="36" s="1"/>
  <c r="Q65" i="36" s="1"/>
  <c r="O17" i="36"/>
  <c r="P17" i="36" s="1"/>
  <c r="Q17" i="36" s="1"/>
  <c r="O22" i="36"/>
  <c r="P22" i="36" s="1"/>
  <c r="Q22" i="36" s="1"/>
  <c r="O292" i="36"/>
  <c r="P292" i="36" s="1"/>
  <c r="Q292" i="36" s="1"/>
  <c r="O36" i="36"/>
  <c r="P36" i="36" s="1"/>
  <c r="Q36" i="36" s="1"/>
  <c r="O149" i="36"/>
  <c r="P149" i="36" s="1"/>
  <c r="Q149" i="36" s="1"/>
  <c r="O190" i="36"/>
  <c r="P190" i="36" s="1"/>
  <c r="Q190" i="36" s="1"/>
  <c r="O80" i="36"/>
  <c r="P80" i="36" s="1"/>
  <c r="Q80" i="36" s="1"/>
  <c r="O115" i="36"/>
  <c r="P115" i="36" s="1"/>
  <c r="Q115" i="36" s="1"/>
  <c r="O298" i="36"/>
  <c r="P298" i="36" s="1"/>
  <c r="Q298" i="36" s="1"/>
  <c r="O240" i="36"/>
  <c r="P240" i="36" s="1"/>
  <c r="Q240" i="36" s="1"/>
  <c r="O110" i="36"/>
  <c r="P110" i="36" s="1"/>
  <c r="Q110" i="36" s="1"/>
  <c r="O97" i="36"/>
  <c r="P97" i="36" s="1"/>
  <c r="Q97" i="36" s="1"/>
  <c r="O98" i="36"/>
  <c r="P98" i="36" s="1"/>
  <c r="Q98" i="36" s="1"/>
  <c r="O231" i="36"/>
  <c r="P231" i="36" s="1"/>
  <c r="Q231" i="36" s="1"/>
  <c r="O125" i="36"/>
  <c r="P125" i="36" s="1"/>
  <c r="Q125" i="36" s="1"/>
  <c r="O210" i="36"/>
  <c r="P210" i="36" s="1"/>
  <c r="Q210" i="36" s="1"/>
  <c r="O247" i="36"/>
  <c r="P247" i="36" s="1"/>
  <c r="Q247" i="36" s="1"/>
  <c r="O126" i="36"/>
  <c r="P126" i="36" s="1"/>
  <c r="Q126" i="36" s="1"/>
  <c r="O137" i="36"/>
  <c r="P137" i="36" s="1"/>
  <c r="Q137" i="36" s="1"/>
  <c r="O27" i="36"/>
  <c r="P27" i="36" s="1"/>
  <c r="Q27" i="36" s="1"/>
  <c r="O236" i="36"/>
  <c r="P236" i="36" s="1"/>
  <c r="Q236" i="36" s="1"/>
  <c r="O89" i="36"/>
  <c r="P89" i="36" s="1"/>
  <c r="Q89" i="36" s="1"/>
  <c r="O158" i="36"/>
  <c r="P158" i="36" s="1"/>
  <c r="Q158" i="36" s="1"/>
  <c r="O273" i="36"/>
  <c r="P273" i="36" s="1"/>
  <c r="Q273" i="36" s="1"/>
  <c r="O299" i="36"/>
  <c r="P299" i="36" s="1"/>
  <c r="Q299" i="36" s="1"/>
  <c r="O6" i="36"/>
  <c r="P6" i="36" s="1"/>
  <c r="Q6" i="36" s="1"/>
  <c r="O43" i="36"/>
  <c r="P43" i="36" s="1"/>
  <c r="Q43" i="36" s="1"/>
  <c r="O73" i="36"/>
  <c r="P73" i="36" s="1"/>
  <c r="Q73" i="36" s="1"/>
  <c r="O200" i="36"/>
  <c r="P200" i="36" s="1"/>
  <c r="Q200" i="36" s="1"/>
  <c r="O205" i="36"/>
  <c r="P205" i="36" s="1"/>
  <c r="Q205" i="36" s="1"/>
  <c r="O290" i="36"/>
  <c r="P290" i="36" s="1"/>
  <c r="Q290" i="36" s="1"/>
  <c r="O271" i="36"/>
  <c r="P271" i="36" s="1"/>
  <c r="Q271" i="36" s="1"/>
  <c r="O14" i="36"/>
  <c r="P14" i="36" s="1"/>
  <c r="Q14" i="36" s="1"/>
  <c r="O314" i="36"/>
  <c r="P314" i="36" s="1"/>
  <c r="Q314" i="36" s="1"/>
  <c r="O187" i="36"/>
  <c r="P187" i="36" s="1"/>
  <c r="Q187" i="36" s="1"/>
  <c r="O169" i="36"/>
  <c r="P169" i="36" s="1"/>
  <c r="Q169" i="36" s="1"/>
  <c r="O227" i="36"/>
  <c r="P227" i="36" s="1"/>
  <c r="Q227" i="36" s="1"/>
  <c r="O182" i="36"/>
  <c r="P182" i="36" s="1"/>
  <c r="Q182" i="36" s="1"/>
  <c r="O67" i="36"/>
  <c r="P67" i="36" s="1"/>
  <c r="Q67" i="36" s="1"/>
  <c r="O263" i="36"/>
  <c r="P263" i="36" s="1"/>
  <c r="Q263" i="36" s="1"/>
  <c r="O30" i="36"/>
  <c r="P30" i="36" s="1"/>
  <c r="Q30" i="36" s="1"/>
  <c r="O296" i="36"/>
  <c r="P296" i="36" s="1"/>
  <c r="Q296" i="36" s="1"/>
  <c r="O304" i="36"/>
  <c r="P304" i="36" s="1"/>
  <c r="Q304" i="36" s="1"/>
  <c r="O145" i="36"/>
  <c r="P145" i="36" s="1"/>
  <c r="Q145" i="36" s="1"/>
  <c r="O163" i="36"/>
  <c r="P163" i="36" s="1"/>
  <c r="Q163" i="36" s="1"/>
  <c r="O260" i="36"/>
  <c r="P260" i="36" s="1"/>
  <c r="Q260" i="36" s="1"/>
  <c r="O235" i="36"/>
  <c r="P235" i="36" s="1"/>
  <c r="Q235" i="36" s="1"/>
  <c r="O154" i="36"/>
  <c r="P154" i="36" s="1"/>
  <c r="Q154" i="36" s="1"/>
  <c r="O170" i="36"/>
  <c r="P170" i="36" s="1"/>
  <c r="Q170" i="36" s="1"/>
  <c r="O206" i="36"/>
  <c r="P206" i="36" s="1"/>
  <c r="Q206" i="36" s="1"/>
  <c r="O248" i="36"/>
  <c r="P248" i="36" s="1"/>
  <c r="Q248" i="36" s="1"/>
  <c r="O131" i="36"/>
  <c r="P131" i="36" s="1"/>
  <c r="Q131" i="36" s="1"/>
  <c r="O282" i="36"/>
  <c r="P282" i="36" s="1"/>
  <c r="Q282" i="36" s="1"/>
  <c r="O166" i="36"/>
  <c r="P166" i="36" s="1"/>
  <c r="Q166" i="36" s="1"/>
  <c r="O101" i="36"/>
  <c r="P101" i="36" s="1"/>
  <c r="Q101" i="36" s="1"/>
  <c r="O111" i="36"/>
  <c r="P111" i="36" s="1"/>
  <c r="Q111" i="36" s="1"/>
  <c r="O9" i="36"/>
  <c r="P9" i="36" s="1"/>
  <c r="Q9" i="36" s="1"/>
  <c r="O184" i="36"/>
  <c r="P184" i="36" s="1"/>
  <c r="Q184" i="36" s="1"/>
  <c r="O301" i="36"/>
  <c r="P301" i="36" s="1"/>
  <c r="Q301" i="36" s="1"/>
  <c r="O217" i="36"/>
  <c r="P217" i="36" s="1"/>
  <c r="Q217" i="36" s="1"/>
  <c r="O225" i="36"/>
  <c r="P225" i="36" s="1"/>
  <c r="Q225" i="36" s="1"/>
  <c r="O171" i="36"/>
  <c r="P171" i="36" s="1"/>
  <c r="Q171" i="36" s="1"/>
  <c r="O112" i="36"/>
  <c r="P112" i="36" s="1"/>
  <c r="Q112" i="36" s="1"/>
  <c r="O21" i="36"/>
  <c r="P21" i="36" s="1"/>
  <c r="Q21" i="36" s="1"/>
  <c r="O280" i="36"/>
  <c r="P280" i="36" s="1"/>
  <c r="Q280" i="36" s="1"/>
  <c r="O189" i="36"/>
  <c r="P189" i="36" s="1"/>
  <c r="Q189" i="36" s="1"/>
  <c r="O157" i="36"/>
  <c r="P157" i="36" s="1"/>
  <c r="Q157" i="36" s="1"/>
  <c r="O50" i="36"/>
  <c r="P50" i="36" s="1"/>
  <c r="Q50" i="36" s="1"/>
  <c r="O118" i="36"/>
  <c r="P118" i="36" s="1"/>
  <c r="Q118" i="36" s="1"/>
  <c r="O249" i="36"/>
  <c r="P249" i="36" s="1"/>
  <c r="Q249" i="36" s="1"/>
  <c r="O68" i="36"/>
  <c r="P68" i="36" s="1"/>
  <c r="Q68" i="36" s="1"/>
  <c r="O230" i="36"/>
  <c r="P230" i="36" s="1"/>
  <c r="Q230" i="36" s="1"/>
  <c r="O11" i="36"/>
  <c r="P11" i="36" s="1"/>
  <c r="Q11" i="36" s="1"/>
  <c r="O40" i="36"/>
  <c r="P40" i="36" s="1"/>
  <c r="Q40" i="36" s="1"/>
  <c r="O41" i="36"/>
  <c r="P41" i="36" s="1"/>
  <c r="Q41" i="36" s="1"/>
  <c r="O57" i="36"/>
  <c r="P57" i="36" s="1"/>
  <c r="Q57" i="36" s="1"/>
  <c r="O310" i="36"/>
  <c r="P310" i="36" s="1"/>
  <c r="Q310" i="36" s="1"/>
  <c r="O38" i="36"/>
  <c r="P38" i="36" s="1"/>
  <c r="Q38" i="36" s="1"/>
  <c r="O138" i="36"/>
  <c r="P138" i="36" s="1"/>
  <c r="Q138" i="36" s="1"/>
  <c r="O142" i="36"/>
  <c r="P142" i="36" s="1"/>
  <c r="Q142" i="36" s="1"/>
  <c r="O300" i="36"/>
  <c r="P300" i="36" s="1"/>
  <c r="Q300" i="36" s="1"/>
  <c r="O31" i="36"/>
  <c r="P31" i="36" s="1"/>
  <c r="Q31" i="36" s="1"/>
  <c r="O306" i="36"/>
  <c r="P306" i="36" s="1"/>
  <c r="Q306" i="36" s="1"/>
  <c r="O270" i="36"/>
  <c r="P270" i="36" s="1"/>
  <c r="Q270" i="36" s="1"/>
  <c r="O143" i="36"/>
  <c r="P143" i="36" s="1"/>
  <c r="Q143" i="36" s="1"/>
  <c r="O161" i="36"/>
  <c r="P161" i="36" s="1"/>
  <c r="Q161" i="36" s="1"/>
  <c r="O34" i="36"/>
  <c r="P34" i="36" s="1"/>
  <c r="Q34" i="36" s="1"/>
  <c r="O222" i="36"/>
  <c r="P222" i="36" s="1"/>
  <c r="Q222" i="36" s="1"/>
  <c r="O64" i="36"/>
  <c r="P64" i="36" s="1"/>
  <c r="Q64" i="36" s="1"/>
  <c r="O42" i="36"/>
  <c r="P42" i="36" s="1"/>
  <c r="Q42" i="36" s="1"/>
  <c r="O176" i="36"/>
  <c r="P176" i="36" s="1"/>
  <c r="Q176" i="36" s="1"/>
  <c r="O159" i="36"/>
  <c r="P159" i="36" s="1"/>
  <c r="Q159" i="36" s="1"/>
  <c r="O254" i="36"/>
  <c r="P254" i="36" s="1"/>
  <c r="Q254" i="36" s="1"/>
  <c r="O302" i="36"/>
  <c r="P302" i="36" s="1"/>
  <c r="Q302" i="36" s="1"/>
  <c r="O252" i="36"/>
  <c r="P252" i="36" s="1"/>
  <c r="Q252" i="36" s="1"/>
  <c r="O71" i="36"/>
  <c r="P71" i="36" s="1"/>
  <c r="Q71" i="36" s="1"/>
  <c r="O58" i="36"/>
  <c r="P58" i="36" s="1"/>
  <c r="Q58" i="36" s="1"/>
  <c r="O289" i="36"/>
  <c r="P289" i="36" s="1"/>
  <c r="Q289" i="36" s="1"/>
  <c r="O117" i="36"/>
  <c r="P117" i="36" s="1"/>
  <c r="Q117" i="36" s="1"/>
  <c r="O78" i="36"/>
  <c r="P78" i="36" s="1"/>
  <c r="Q78" i="36" s="1"/>
  <c r="O172" i="36"/>
  <c r="P172" i="36" s="1"/>
  <c r="Q172" i="36" s="1"/>
  <c r="O96" i="36"/>
  <c r="P96" i="36" s="1"/>
  <c r="Q96" i="36" s="1"/>
  <c r="O245" i="36"/>
  <c r="P245" i="36" s="1"/>
  <c r="Q245" i="36" s="1"/>
  <c r="O303" i="36"/>
  <c r="P303" i="36" s="1"/>
  <c r="Q303" i="36" s="1"/>
  <c r="O307" i="36"/>
  <c r="P307" i="36" s="1"/>
  <c r="Q307" i="36" s="1"/>
  <c r="O93" i="36"/>
  <c r="P93" i="36" s="1"/>
  <c r="Q93" i="36" s="1"/>
  <c r="O317" i="36"/>
  <c r="P317" i="36" s="1"/>
  <c r="Q317" i="36" s="1"/>
  <c r="O134" i="36"/>
  <c r="P134" i="36" s="1"/>
  <c r="Q134" i="36" s="1"/>
  <c r="O45" i="36"/>
  <c r="P45" i="36" s="1"/>
  <c r="Q45" i="36" s="1"/>
  <c r="O92" i="36"/>
  <c r="P92" i="36" s="1"/>
  <c r="Q92" i="36" s="1"/>
  <c r="O193" i="36"/>
  <c r="P193" i="36" s="1"/>
  <c r="Q193" i="36" s="1"/>
  <c r="O102" i="36"/>
  <c r="P102" i="36" s="1"/>
  <c r="Q102" i="36" s="1"/>
  <c r="O226" i="36"/>
  <c r="P226" i="36" s="1"/>
  <c r="Q226" i="36" s="1"/>
  <c r="O195" i="36"/>
  <c r="P195" i="36" s="1"/>
  <c r="Q195" i="36" s="1"/>
  <c r="O75" i="36"/>
  <c r="P75" i="36" s="1"/>
  <c r="Q75" i="36" s="1"/>
  <c r="O33" i="36"/>
  <c r="P33" i="36" s="1"/>
  <c r="Q33" i="36" s="1"/>
  <c r="O160" i="36"/>
  <c r="P160" i="36" s="1"/>
  <c r="Q160" i="36" s="1"/>
  <c r="O16" i="36"/>
  <c r="P16" i="36" s="1"/>
  <c r="Q16" i="36" s="1"/>
  <c r="O179" i="36"/>
  <c r="P179" i="36" s="1"/>
  <c r="Q179" i="36" s="1"/>
  <c r="O186" i="36"/>
  <c r="P186" i="36" s="1"/>
  <c r="Q186" i="36" s="1"/>
  <c r="O242" i="36"/>
  <c r="P242" i="36" s="1"/>
  <c r="Q242" i="36" s="1"/>
  <c r="O29" i="36"/>
  <c r="P29" i="36" s="1"/>
  <c r="Q29" i="36" s="1"/>
  <c r="O81" i="36"/>
  <c r="P81" i="36" s="1"/>
  <c r="Q81" i="36" s="1"/>
  <c r="O202" i="36"/>
  <c r="P202" i="36" s="1"/>
  <c r="Q202" i="36" s="1"/>
  <c r="O308" i="36"/>
  <c r="P308" i="36" s="1"/>
  <c r="Q308" i="36" s="1"/>
  <c r="O168" i="36"/>
  <c r="P168" i="36" s="1"/>
  <c r="Q168" i="36" s="1"/>
  <c r="O60" i="36"/>
  <c r="P60" i="36" s="1"/>
  <c r="Q60" i="36" s="1"/>
  <c r="O116" i="36"/>
  <c r="P116" i="36" s="1"/>
  <c r="Q116" i="36" s="1"/>
  <c r="O7" i="36"/>
  <c r="P7" i="36" s="1"/>
  <c r="Q7" i="36" s="1"/>
  <c r="O74" i="36"/>
  <c r="P74" i="36" s="1"/>
  <c r="Q74" i="36" s="1"/>
  <c r="O107" i="36"/>
  <c r="P107" i="36" s="1"/>
  <c r="Q107" i="36" s="1"/>
  <c r="O37" i="36"/>
  <c r="P37" i="36" s="1"/>
  <c r="Q37" i="36" s="1"/>
  <c r="O103" i="36"/>
  <c r="P103" i="36" s="1"/>
  <c r="Q103" i="36" s="1"/>
  <c r="O218" i="36"/>
  <c r="P218" i="36" s="1"/>
  <c r="Q218" i="36" s="1"/>
  <c r="O288" i="36"/>
  <c r="P288" i="36" s="1"/>
  <c r="Q288" i="36" s="1"/>
  <c r="O209" i="36"/>
  <c r="P209" i="36" s="1"/>
  <c r="Q209" i="36" s="1"/>
  <c r="O123" i="36"/>
  <c r="P123" i="36" s="1"/>
  <c r="Q123" i="36" s="1"/>
  <c r="O212" i="36"/>
  <c r="P212" i="36" s="1"/>
  <c r="Q212" i="36" s="1"/>
  <c r="O5" i="36"/>
  <c r="P5" i="36" s="1"/>
  <c r="Q5" i="36" s="1"/>
  <c r="O25" i="36"/>
  <c r="P25" i="36" s="1"/>
  <c r="Q25" i="36" s="1"/>
  <c r="O69" i="36"/>
  <c r="P69" i="36" s="1"/>
  <c r="Q69" i="36" s="1"/>
  <c r="O198" i="36"/>
  <c r="P198" i="36" s="1"/>
  <c r="Q198" i="36" s="1"/>
  <c r="O19" i="36"/>
  <c r="P19" i="36" s="1"/>
  <c r="Q19" i="36" s="1"/>
  <c r="O46" i="36"/>
  <c r="P46" i="36" s="1"/>
  <c r="Q46" i="36" s="1"/>
  <c r="O215" i="36"/>
  <c r="P215" i="36" s="1"/>
  <c r="Q215" i="36" s="1"/>
  <c r="O136" i="36"/>
  <c r="P136" i="36" s="1"/>
  <c r="Q136" i="36" s="1"/>
  <c r="O23" i="36"/>
  <c r="P23" i="36" s="1"/>
  <c r="Q23" i="36" s="1"/>
  <c r="O177" i="36"/>
  <c r="P177" i="36" s="1"/>
  <c r="Q177" i="36" s="1"/>
  <c r="O312" i="36"/>
  <c r="P312" i="36" s="1"/>
  <c r="Q312" i="36" s="1"/>
  <c r="O152" i="36"/>
  <c r="P152" i="36" s="1"/>
  <c r="Q152" i="36" s="1"/>
  <c r="O100" i="36"/>
  <c r="P100" i="36" s="1"/>
  <c r="Q100" i="36" s="1"/>
  <c r="O86" i="36"/>
  <c r="P86" i="36" s="1"/>
  <c r="Q86" i="36" s="1"/>
  <c r="O49" i="36"/>
  <c r="P49" i="36" s="1"/>
  <c r="Q49" i="36" s="1"/>
  <c r="O124" i="36"/>
  <c r="P124" i="36" s="1"/>
  <c r="Q124" i="36" s="1"/>
  <c r="O55" i="36"/>
  <c r="P55" i="36" s="1"/>
  <c r="Q55" i="36" s="1"/>
  <c r="O162" i="36"/>
  <c r="P162" i="36" s="1"/>
  <c r="Q162" i="36" s="1"/>
  <c r="O84" i="36"/>
  <c r="P84" i="36" s="1"/>
  <c r="Q84" i="36" s="1"/>
  <c r="O167" i="36"/>
  <c r="P167" i="36" s="1"/>
  <c r="Q167" i="36" s="1"/>
  <c r="O277" i="36"/>
  <c r="P277" i="36" s="1"/>
  <c r="Q277" i="36" s="1"/>
  <c r="O181" i="36"/>
  <c r="P181" i="36" s="1"/>
  <c r="Q181" i="36" s="1"/>
  <c r="O286" i="36"/>
  <c r="P286" i="36" s="1"/>
  <c r="Q286" i="36" s="1"/>
  <c r="O114" i="36"/>
  <c r="P114" i="36" s="1"/>
  <c r="Q114" i="36" s="1"/>
  <c r="O82" i="36"/>
  <c r="P82" i="36" s="1"/>
  <c r="Q82" i="36" s="1"/>
  <c r="O88" i="36"/>
  <c r="P88" i="36" s="1"/>
  <c r="Q88" i="36" s="1"/>
  <c r="O294" i="36"/>
  <c r="P294" i="36" s="1"/>
  <c r="Q294" i="36" s="1"/>
  <c r="O28" i="36"/>
  <c r="P28" i="36" s="1"/>
  <c r="Q28" i="36" s="1"/>
  <c r="O83" i="36"/>
  <c r="P83" i="36" s="1"/>
  <c r="Q83" i="36" s="1"/>
  <c r="O255" i="36"/>
  <c r="P255" i="36" s="1"/>
  <c r="Q255" i="36" s="1"/>
  <c r="O133" i="36"/>
  <c r="P133" i="36" s="1"/>
  <c r="Q133" i="36" s="1"/>
  <c r="O239" i="36"/>
  <c r="P239" i="36" s="1"/>
  <c r="Q239" i="36" s="1"/>
  <c r="O39" i="36"/>
  <c r="P39" i="36" s="1"/>
  <c r="Q39" i="36" s="1"/>
  <c r="O196" i="36"/>
  <c r="P196" i="36" s="1"/>
  <c r="Q196" i="36" s="1"/>
  <c r="O180" i="36"/>
  <c r="P180" i="36" s="1"/>
  <c r="Q180" i="36" s="1"/>
  <c r="O272" i="36"/>
  <c r="P272" i="36" s="1"/>
  <c r="Q272" i="36" s="1"/>
  <c r="O295" i="36"/>
  <c r="P295" i="36" s="1"/>
  <c r="Q295" i="36" s="1"/>
  <c r="O132" i="36"/>
  <c r="P132" i="36" s="1"/>
  <c r="Q132" i="36" s="1"/>
  <c r="O155" i="36"/>
  <c r="P155" i="36" s="1"/>
  <c r="Q155" i="36" s="1"/>
  <c r="O165" i="36"/>
  <c r="P165" i="36" s="1"/>
  <c r="Q165" i="36" s="1"/>
  <c r="O99" i="36"/>
  <c r="P99" i="36" s="1"/>
  <c r="Q99" i="36" s="1"/>
  <c r="O191" i="36"/>
  <c r="P191" i="36" s="1"/>
  <c r="Q191" i="36" s="1"/>
  <c r="O216" i="36"/>
  <c r="P216" i="36" s="1"/>
  <c r="Q216" i="36" s="1"/>
  <c r="O204" i="36"/>
  <c r="P204" i="36" s="1"/>
  <c r="Q204" i="36" s="1"/>
  <c r="O51" i="36"/>
  <c r="P51" i="36" s="1"/>
  <c r="Q51" i="36" s="1"/>
  <c r="O214" i="36"/>
  <c r="P214" i="36" s="1"/>
  <c r="Q214" i="36" s="1"/>
  <c r="O315" i="36"/>
  <c r="P315" i="36" s="1"/>
  <c r="Q315" i="36" s="1"/>
  <c r="O251" i="36"/>
  <c r="P251" i="36" s="1"/>
  <c r="Q251" i="36" s="1"/>
  <c r="O128" i="36"/>
  <c r="P128" i="36" s="1"/>
  <c r="Q128" i="36" s="1"/>
  <c r="O48" i="36"/>
  <c r="P48" i="36" s="1"/>
  <c r="Q48" i="36" s="1"/>
  <c r="O219" i="36"/>
  <c r="P219" i="36" s="1"/>
  <c r="Q219" i="36" s="1"/>
  <c r="O12" i="36"/>
  <c r="P12" i="36" s="1"/>
  <c r="Q12" i="36" s="1"/>
  <c r="O129" i="36"/>
  <c r="P129" i="36" s="1"/>
  <c r="Q129" i="36" s="1"/>
  <c r="O281" i="36"/>
  <c r="P281" i="36" s="1"/>
  <c r="Q281" i="36" s="1"/>
  <c r="O15" i="36"/>
  <c r="P15" i="36" s="1"/>
  <c r="Q15" i="36" s="1"/>
  <c r="O267" i="36"/>
  <c r="P267" i="36" s="1"/>
  <c r="Q267" i="36" s="1"/>
  <c r="O305" i="36"/>
  <c r="P305" i="36" s="1"/>
  <c r="Q305" i="36" s="1"/>
  <c r="O183" i="36"/>
  <c r="P183" i="36" s="1"/>
  <c r="Q183" i="36" s="1"/>
  <c r="O13" i="36"/>
  <c r="P13" i="36" s="1"/>
  <c r="Q13" i="36" s="1"/>
  <c r="R319" i="38" l="1"/>
  <c r="R320" i="38"/>
  <c r="R320" i="37"/>
  <c r="R320" i="39"/>
  <c r="R319" i="39"/>
  <c r="R320" i="36"/>
  <c r="R319" i="36"/>
  <c r="R257" i="39"/>
  <c r="R187" i="39"/>
  <c r="R142" i="39"/>
  <c r="R267" i="39"/>
  <c r="R138" i="39"/>
  <c r="R249" i="39"/>
  <c r="R280" i="39"/>
  <c r="R311" i="39"/>
  <c r="R195" i="39"/>
  <c r="R219" i="39"/>
  <c r="R207" i="39"/>
  <c r="R29" i="39"/>
  <c r="R242" i="39"/>
  <c r="R124" i="39"/>
  <c r="R258" i="39"/>
  <c r="R32" i="39"/>
  <c r="R101" i="39"/>
  <c r="R182" i="39"/>
  <c r="R238" i="39"/>
  <c r="R170" i="39"/>
  <c r="R312" i="39"/>
  <c r="R137" i="39"/>
  <c r="R220" i="39"/>
  <c r="R301" i="39"/>
  <c r="R232" i="39"/>
  <c r="R67" i="39"/>
  <c r="R57" i="39"/>
  <c r="R282" i="39"/>
  <c r="R289" i="39"/>
  <c r="R115" i="39"/>
  <c r="R190" i="39"/>
  <c r="R61" i="39"/>
  <c r="R164" i="39"/>
  <c r="R168" i="39"/>
  <c r="R309" i="39"/>
  <c r="R201" i="39"/>
  <c r="R212" i="39"/>
  <c r="R186" i="39"/>
  <c r="R49" i="39"/>
  <c r="R158" i="39"/>
  <c r="R37" i="39"/>
  <c r="R192" i="39"/>
  <c r="R140" i="39"/>
  <c r="R159" i="39"/>
  <c r="R210" i="39"/>
  <c r="R129" i="39"/>
  <c r="R5" i="39"/>
  <c r="R110" i="39"/>
  <c r="R19" i="39"/>
  <c r="R127" i="39"/>
  <c r="R196" i="39"/>
  <c r="R42" i="39"/>
  <c r="R100" i="39"/>
  <c r="R223" i="39"/>
  <c r="R160" i="39"/>
  <c r="R22" i="39"/>
  <c r="R65" i="39"/>
  <c r="R184" i="39"/>
  <c r="R21" i="39"/>
  <c r="R189" i="39"/>
  <c r="R109" i="39"/>
  <c r="R269" i="39"/>
  <c r="R10" i="39"/>
  <c r="R253" i="39"/>
  <c r="R169" i="39"/>
  <c r="R256" i="39"/>
  <c r="R308" i="39"/>
  <c r="R285" i="39"/>
  <c r="R51" i="39"/>
  <c r="R283" i="39"/>
  <c r="R82" i="39"/>
  <c r="R178" i="39"/>
  <c r="R171" i="39"/>
  <c r="R91" i="39"/>
  <c r="R276" i="39"/>
  <c r="R141" i="39"/>
  <c r="R237" i="39"/>
  <c r="R296" i="39"/>
  <c r="R35" i="39"/>
  <c r="R316" i="39"/>
  <c r="R46" i="39"/>
  <c r="R157" i="39"/>
  <c r="R58" i="39"/>
  <c r="R318" i="39"/>
  <c r="R74" i="39"/>
  <c r="R119" i="39"/>
  <c r="R191" i="39"/>
  <c r="R125" i="39"/>
  <c r="R246" i="39"/>
  <c r="R133" i="39"/>
  <c r="R48" i="39"/>
  <c r="R93" i="39"/>
  <c r="R307" i="39"/>
  <c r="R90" i="39"/>
  <c r="R79" i="39"/>
  <c r="R120" i="39"/>
  <c r="R123" i="39"/>
  <c r="R287" i="39"/>
  <c r="R47" i="39"/>
  <c r="R73" i="39"/>
  <c r="R209" i="39"/>
  <c r="R87" i="39"/>
  <c r="O3" i="39" a="1"/>
  <c r="O3" i="39" s="1"/>
  <c r="P4" i="39"/>
  <c r="R9" i="39"/>
  <c r="R151" i="39"/>
  <c r="R97" i="39"/>
  <c r="R66" i="39"/>
  <c r="R180" i="39"/>
  <c r="R291" i="39"/>
  <c r="R104" i="39"/>
  <c r="R295" i="39"/>
  <c r="R274" i="39"/>
  <c r="R225" i="39"/>
  <c r="R211" i="39"/>
  <c r="R63" i="39"/>
  <c r="R130" i="39"/>
  <c r="R263" i="39"/>
  <c r="R16" i="39"/>
  <c r="R132" i="39"/>
  <c r="R89" i="39"/>
  <c r="R259" i="39"/>
  <c r="R215" i="39"/>
  <c r="R121" i="39"/>
  <c r="R131" i="39"/>
  <c r="R150" i="39"/>
  <c r="R31" i="39"/>
  <c r="R126" i="39"/>
  <c r="R273" i="39"/>
  <c r="R45" i="39"/>
  <c r="R166" i="39"/>
  <c r="R146" i="39"/>
  <c r="R172" i="39"/>
  <c r="R118" i="39"/>
  <c r="R72" i="39"/>
  <c r="R122" i="39"/>
  <c r="R203" i="39"/>
  <c r="R305" i="39"/>
  <c r="R250" i="39"/>
  <c r="R261" i="39"/>
  <c r="R299" i="39"/>
  <c r="R310" i="39"/>
  <c r="R206" i="39"/>
  <c r="R199" i="39"/>
  <c r="R163" i="39"/>
  <c r="R26" i="39"/>
  <c r="R167" i="39"/>
  <c r="R103" i="39"/>
  <c r="R128" i="39"/>
  <c r="R205" i="39"/>
  <c r="R75" i="39"/>
  <c r="R275" i="39"/>
  <c r="R235" i="39"/>
  <c r="R293" i="39"/>
  <c r="R88" i="39"/>
  <c r="R117" i="39"/>
  <c r="R52" i="39"/>
  <c r="R76" i="39"/>
  <c r="R279" i="39"/>
  <c r="R149" i="39"/>
  <c r="R314" i="39"/>
  <c r="R200" i="39"/>
  <c r="R208" i="39"/>
  <c r="R95" i="39"/>
  <c r="R154" i="39"/>
  <c r="R176" i="39"/>
  <c r="R18" i="39"/>
  <c r="R173" i="39"/>
  <c r="R153" i="39"/>
  <c r="R260" i="39"/>
  <c r="R77" i="39"/>
  <c r="R217" i="39"/>
  <c r="R112" i="39"/>
  <c r="R6" i="39"/>
  <c r="R116" i="39"/>
  <c r="R71" i="39"/>
  <c r="R145" i="39"/>
  <c r="R114" i="39"/>
  <c r="R317" i="39"/>
  <c r="R231" i="39"/>
  <c r="R265" i="39"/>
  <c r="R226" i="39"/>
  <c r="R144" i="39"/>
  <c r="R277" i="39"/>
  <c r="R92" i="39"/>
  <c r="R290" i="39"/>
  <c r="R245" i="39"/>
  <c r="R143" i="39"/>
  <c r="R303" i="39"/>
  <c r="R183" i="39"/>
  <c r="R213" i="39"/>
  <c r="R105" i="39"/>
  <c r="R254" i="39"/>
  <c r="R227" i="39"/>
  <c r="R80" i="39"/>
  <c r="R41" i="39"/>
  <c r="R69" i="39"/>
  <c r="R156" i="39"/>
  <c r="R24" i="39"/>
  <c r="R60" i="39"/>
  <c r="R234" i="39"/>
  <c r="R50" i="39"/>
  <c r="R271" i="39"/>
  <c r="R266" i="39"/>
  <c r="R43" i="39"/>
  <c r="R68" i="39"/>
  <c r="R177" i="39"/>
  <c r="R179" i="39"/>
  <c r="R288" i="39"/>
  <c r="R306" i="39"/>
  <c r="R12" i="39"/>
  <c r="R36" i="39"/>
  <c r="R147" i="39"/>
  <c r="R152" i="39"/>
  <c r="R313" i="39"/>
  <c r="R96" i="39"/>
  <c r="R27" i="39"/>
  <c r="R230" i="39"/>
  <c r="R7" i="39"/>
  <c r="R298" i="39"/>
  <c r="R25" i="39"/>
  <c r="R300" i="39"/>
  <c r="R54" i="39"/>
  <c r="R85" i="39"/>
  <c r="R181" i="39"/>
  <c r="R262" i="39"/>
  <c r="R194" i="39"/>
  <c r="R241" i="39"/>
  <c r="R302" i="39"/>
  <c r="R53" i="39"/>
  <c r="R134" i="39"/>
  <c r="R62" i="39"/>
  <c r="R278" i="39"/>
  <c r="R218" i="39"/>
  <c r="R94" i="39"/>
  <c r="R304" i="39"/>
  <c r="R13" i="39"/>
  <c r="R56" i="39"/>
  <c r="R268" i="39"/>
  <c r="R155" i="39"/>
  <c r="R251" i="39"/>
  <c r="R99" i="39"/>
  <c r="R214" i="39"/>
  <c r="R83" i="39"/>
  <c r="R222" i="39"/>
  <c r="R315" i="39"/>
  <c r="R55" i="39"/>
  <c r="R244" i="39"/>
  <c r="R135" i="39"/>
  <c r="R81" i="39"/>
  <c r="R236" i="39"/>
  <c r="R188" i="39"/>
  <c r="R102" i="39"/>
  <c r="R294" i="39"/>
  <c r="R108" i="39"/>
  <c r="R44" i="39"/>
  <c r="R221" i="39"/>
  <c r="R239" i="39"/>
  <c r="R281" i="39"/>
  <c r="R243" i="39"/>
  <c r="R175" i="39"/>
  <c r="R59" i="39"/>
  <c r="R86" i="39"/>
  <c r="R229" i="39"/>
  <c r="R174" i="39"/>
  <c r="R17" i="39"/>
  <c r="R84" i="39"/>
  <c r="R139" i="39"/>
  <c r="R39" i="39"/>
  <c r="R247" i="39"/>
  <c r="R20" i="39"/>
  <c r="R64" i="39"/>
  <c r="R78" i="39"/>
  <c r="R216" i="39"/>
  <c r="R240" i="39"/>
  <c r="R148" i="39"/>
  <c r="R270" i="39"/>
  <c r="R11" i="39"/>
  <c r="R70" i="39"/>
  <c r="R264" i="39"/>
  <c r="R193" i="39"/>
  <c r="R197" i="39"/>
  <c r="R161" i="39"/>
  <c r="R14" i="39"/>
  <c r="R272" i="39"/>
  <c r="R162" i="39"/>
  <c r="R248" i="39"/>
  <c r="R106" i="39"/>
  <c r="R30" i="39"/>
  <c r="R113" i="39"/>
  <c r="R23" i="39"/>
  <c r="R111" i="39"/>
  <c r="R224" i="39"/>
  <c r="R297" i="39"/>
  <c r="R198" i="39"/>
  <c r="R286" i="39"/>
  <c r="R202" i="39"/>
  <c r="R204" i="39"/>
  <c r="R98" i="39"/>
  <c r="R185" i="39"/>
  <c r="R252" i="39"/>
  <c r="R228" i="39"/>
  <c r="R28" i="39"/>
  <c r="R165" i="39"/>
  <c r="R40" i="39"/>
  <c r="R34" i="39"/>
  <c r="R38" i="39"/>
  <c r="R292" i="39"/>
  <c r="R8" i="39"/>
  <c r="R136" i="39"/>
  <c r="R233" i="39"/>
  <c r="R107" i="39"/>
  <c r="R15" i="39"/>
  <c r="R255" i="39"/>
  <c r="R284" i="39"/>
  <c r="R33" i="39"/>
  <c r="R313" i="38"/>
  <c r="R269" i="38"/>
  <c r="R161" i="38"/>
  <c r="R60" i="38"/>
  <c r="R289" i="38"/>
  <c r="R206" i="38"/>
  <c r="R249" i="38"/>
  <c r="R199" i="38"/>
  <c r="R264" i="38"/>
  <c r="R251" i="38"/>
  <c r="R308" i="38"/>
  <c r="R52" i="38"/>
  <c r="R217" i="38"/>
  <c r="R233" i="38"/>
  <c r="R261" i="38"/>
  <c r="R186" i="38"/>
  <c r="R250" i="38"/>
  <c r="R284" i="38"/>
  <c r="R67" i="38"/>
  <c r="R154" i="38"/>
  <c r="R270" i="38"/>
  <c r="R70" i="38"/>
  <c r="R113" i="38"/>
  <c r="R23" i="38"/>
  <c r="R237" i="38"/>
  <c r="R130" i="38"/>
  <c r="R300" i="38"/>
  <c r="R274" i="38"/>
  <c r="R254" i="38"/>
  <c r="R149" i="38"/>
  <c r="R120" i="38"/>
  <c r="R43" i="38"/>
  <c r="R111" i="38"/>
  <c r="R40" i="38"/>
  <c r="R193" i="38"/>
  <c r="R6" i="38"/>
  <c r="R55" i="38"/>
  <c r="R90" i="38"/>
  <c r="R305" i="38"/>
  <c r="R21" i="38"/>
  <c r="R14" i="38"/>
  <c r="R247" i="38"/>
  <c r="R302" i="38"/>
  <c r="R188" i="38"/>
  <c r="R185" i="38"/>
  <c r="R119" i="38"/>
  <c r="R65" i="38"/>
  <c r="R210" i="38"/>
  <c r="R50" i="38"/>
  <c r="R223" i="38"/>
  <c r="R117" i="38"/>
  <c r="R304" i="38"/>
  <c r="R54" i="38"/>
  <c r="R189" i="38"/>
  <c r="R268" i="38"/>
  <c r="R316" i="38"/>
  <c r="R286" i="38"/>
  <c r="R156" i="38"/>
  <c r="R8" i="38"/>
  <c r="R32" i="38"/>
  <c r="R257" i="38"/>
  <c r="R202" i="38"/>
  <c r="R228" i="38"/>
  <c r="R259" i="38"/>
  <c r="R197" i="38"/>
  <c r="R234" i="38"/>
  <c r="R178" i="38"/>
  <c r="R106" i="38"/>
  <c r="R71" i="38"/>
  <c r="R315" i="38"/>
  <c r="R220" i="38"/>
  <c r="R69" i="38"/>
  <c r="R276" i="38"/>
  <c r="R128" i="38"/>
  <c r="R314" i="38"/>
  <c r="R105" i="38"/>
  <c r="R80" i="38"/>
  <c r="R34" i="38"/>
  <c r="R263" i="38"/>
  <c r="R296" i="38"/>
  <c r="R280" i="38"/>
  <c r="R282" i="38"/>
  <c r="O3" i="38" a="1"/>
  <c r="O3" i="38" s="1"/>
  <c r="P4" i="38"/>
  <c r="R303" i="38"/>
  <c r="R208" i="38"/>
  <c r="R74" i="38"/>
  <c r="R260" i="38"/>
  <c r="R64" i="38"/>
  <c r="R190" i="38"/>
  <c r="R226" i="38"/>
  <c r="R285" i="38"/>
  <c r="R118" i="38"/>
  <c r="R95" i="38"/>
  <c r="R101" i="38"/>
  <c r="R53" i="38"/>
  <c r="R116" i="38"/>
  <c r="R207" i="38"/>
  <c r="R12" i="38"/>
  <c r="R109" i="38"/>
  <c r="R141" i="38"/>
  <c r="R49" i="38"/>
  <c r="R255" i="38"/>
  <c r="R298" i="38"/>
  <c r="R148" i="38"/>
  <c r="R72" i="38"/>
  <c r="R139" i="38"/>
  <c r="R13" i="38"/>
  <c r="R150" i="38"/>
  <c r="R26" i="38"/>
  <c r="R22" i="38"/>
  <c r="R266" i="38"/>
  <c r="R311" i="38"/>
  <c r="R57" i="38"/>
  <c r="R96" i="38"/>
  <c r="R138" i="38"/>
  <c r="R78" i="38"/>
  <c r="R42" i="38"/>
  <c r="R246" i="38"/>
  <c r="R81" i="38"/>
  <c r="R7" i="38"/>
  <c r="R253" i="38"/>
  <c r="R36" i="38"/>
  <c r="R146" i="38"/>
  <c r="R194" i="38"/>
  <c r="R86" i="38"/>
  <c r="R153" i="38"/>
  <c r="R33" i="38"/>
  <c r="R166" i="38"/>
  <c r="R48" i="38"/>
  <c r="R82" i="38"/>
  <c r="R195" i="38"/>
  <c r="R123" i="38"/>
  <c r="R279" i="38"/>
  <c r="R107" i="38"/>
  <c r="R135" i="38"/>
  <c r="R144" i="38"/>
  <c r="R75" i="38"/>
  <c r="R151" i="38"/>
  <c r="R35" i="38"/>
  <c r="R25" i="38"/>
  <c r="R131" i="38"/>
  <c r="R244" i="38"/>
  <c r="R312" i="38"/>
  <c r="R239" i="38"/>
  <c r="R152" i="38"/>
  <c r="R214" i="38"/>
  <c r="R85" i="38"/>
  <c r="R309" i="38"/>
  <c r="R133" i="38"/>
  <c r="R179" i="38"/>
  <c r="R262" i="38"/>
  <c r="R68" i="38"/>
  <c r="R267" i="38"/>
  <c r="R301" i="38"/>
  <c r="R94" i="38"/>
  <c r="R163" i="38"/>
  <c r="R66" i="38"/>
  <c r="R238" i="38"/>
  <c r="R176" i="38"/>
  <c r="R157" i="38"/>
  <c r="R258" i="38"/>
  <c r="R143" i="38"/>
  <c r="R243" i="38"/>
  <c r="R16" i="38"/>
  <c r="R19" i="38"/>
  <c r="R97" i="38"/>
  <c r="R219" i="38"/>
  <c r="R182" i="38"/>
  <c r="R165" i="38"/>
  <c r="R46" i="38"/>
  <c r="R28" i="38"/>
  <c r="R231" i="38"/>
  <c r="R310" i="38"/>
  <c r="R76" i="38"/>
  <c r="R183" i="38"/>
  <c r="R201" i="38"/>
  <c r="R100" i="38"/>
  <c r="R172" i="38"/>
  <c r="R168" i="38"/>
  <c r="R307" i="38"/>
  <c r="R277" i="38"/>
  <c r="R318" i="38"/>
  <c r="R236" i="38"/>
  <c r="R83" i="38"/>
  <c r="R38" i="38"/>
  <c r="R295" i="38"/>
  <c r="R61" i="38"/>
  <c r="R175" i="38"/>
  <c r="R278" i="38"/>
  <c r="R15" i="38"/>
  <c r="R180" i="38"/>
  <c r="R287" i="38"/>
  <c r="R293" i="38"/>
  <c r="R63" i="38"/>
  <c r="R164" i="38"/>
  <c r="R173" i="38"/>
  <c r="R177" i="38"/>
  <c r="R27" i="38"/>
  <c r="R93" i="38"/>
  <c r="R191" i="38"/>
  <c r="R216" i="38"/>
  <c r="R242" i="38"/>
  <c r="R222" i="38"/>
  <c r="R271" i="38"/>
  <c r="R162" i="38"/>
  <c r="R84" i="38"/>
  <c r="R115" i="38"/>
  <c r="R227" i="38"/>
  <c r="R275" i="38"/>
  <c r="R127" i="38"/>
  <c r="R142" i="38"/>
  <c r="R140" i="38"/>
  <c r="R181" i="38"/>
  <c r="R306" i="38"/>
  <c r="R108" i="38"/>
  <c r="R124" i="38"/>
  <c r="R294" i="38"/>
  <c r="R134" i="38"/>
  <c r="R18" i="38"/>
  <c r="R205" i="38"/>
  <c r="R299" i="38"/>
  <c r="R221" i="38"/>
  <c r="R129" i="38"/>
  <c r="R155" i="38"/>
  <c r="R29" i="38"/>
  <c r="R47" i="38"/>
  <c r="R24" i="38"/>
  <c r="R292" i="38"/>
  <c r="R225" i="38"/>
  <c r="R245" i="38"/>
  <c r="R121" i="38"/>
  <c r="R98" i="38"/>
  <c r="R218" i="38"/>
  <c r="R11" i="38"/>
  <c r="R132" i="38"/>
  <c r="R110" i="38"/>
  <c r="R73" i="38"/>
  <c r="R158" i="38"/>
  <c r="R215" i="38"/>
  <c r="R20" i="38"/>
  <c r="R122" i="38"/>
  <c r="R192" i="38"/>
  <c r="R92" i="38"/>
  <c r="R171" i="38"/>
  <c r="R56" i="38"/>
  <c r="R204" i="38"/>
  <c r="R169" i="38"/>
  <c r="R224" i="38"/>
  <c r="R211" i="38"/>
  <c r="R213" i="38"/>
  <c r="R77" i="38"/>
  <c r="R145" i="38"/>
  <c r="R200" i="38"/>
  <c r="R37" i="38"/>
  <c r="R103" i="38"/>
  <c r="R291" i="38"/>
  <c r="R297" i="38"/>
  <c r="R209" i="38"/>
  <c r="R104" i="38"/>
  <c r="R114" i="38"/>
  <c r="R196" i="38"/>
  <c r="R147" i="38"/>
  <c r="R79" i="38"/>
  <c r="R174" i="38"/>
  <c r="R102" i="38"/>
  <c r="R88" i="38"/>
  <c r="R126" i="38"/>
  <c r="R256" i="38"/>
  <c r="R62" i="38"/>
  <c r="R30" i="38"/>
  <c r="R290" i="38"/>
  <c r="R317" i="38"/>
  <c r="R288" i="38"/>
  <c r="R229" i="38"/>
  <c r="R9" i="38"/>
  <c r="R232" i="38"/>
  <c r="R230" i="38"/>
  <c r="R91" i="38"/>
  <c r="R252" i="38"/>
  <c r="R51" i="38"/>
  <c r="R44" i="38"/>
  <c r="R99" i="38"/>
  <c r="R39" i="38"/>
  <c r="R281" i="38"/>
  <c r="R241" i="38"/>
  <c r="R136" i="38"/>
  <c r="R184" i="38"/>
  <c r="R41" i="38"/>
  <c r="R167" i="38"/>
  <c r="R187" i="38"/>
  <c r="R248" i="38"/>
  <c r="R87" i="38"/>
  <c r="R170" i="38"/>
  <c r="R198" i="38"/>
  <c r="R58" i="38"/>
  <c r="R59" i="38"/>
  <c r="R203" i="38"/>
  <c r="R89" i="38"/>
  <c r="R235" i="38"/>
  <c r="R265" i="38"/>
  <c r="R17" i="38"/>
  <c r="R283" i="38"/>
  <c r="R159" i="38"/>
  <c r="R273" i="38"/>
  <c r="R10" i="38"/>
  <c r="R160" i="38"/>
  <c r="R272" i="38"/>
  <c r="R112" i="38"/>
  <c r="R212" i="38"/>
  <c r="R31" i="38"/>
  <c r="R5" i="38"/>
  <c r="R125" i="38"/>
  <c r="R137" i="38"/>
  <c r="R240" i="38"/>
  <c r="R45" i="38"/>
  <c r="P4" i="37"/>
  <c r="O303" i="37"/>
  <c r="P303" i="37" s="1"/>
  <c r="Q303" i="37" s="1"/>
  <c r="O221" i="37"/>
  <c r="P221" i="37" s="1"/>
  <c r="Q221" i="37" s="1"/>
  <c r="O50" i="37"/>
  <c r="P50" i="37" s="1"/>
  <c r="Q50" i="37" s="1"/>
  <c r="O217" i="37"/>
  <c r="P217" i="37" s="1"/>
  <c r="Q217" i="37" s="1"/>
  <c r="O198" i="37"/>
  <c r="P198" i="37" s="1"/>
  <c r="Q198" i="37" s="1"/>
  <c r="O208" i="37"/>
  <c r="P208" i="37" s="1"/>
  <c r="Q208" i="37" s="1"/>
  <c r="O60" i="37"/>
  <c r="P60" i="37" s="1"/>
  <c r="Q60" i="37" s="1"/>
  <c r="O46" i="37"/>
  <c r="P46" i="37" s="1"/>
  <c r="Q46" i="37" s="1"/>
  <c r="O147" i="37"/>
  <c r="P147" i="37" s="1"/>
  <c r="Q147" i="37" s="1"/>
  <c r="O250" i="37"/>
  <c r="P250" i="37" s="1"/>
  <c r="Q250" i="37" s="1"/>
  <c r="O199" i="37"/>
  <c r="P199" i="37" s="1"/>
  <c r="Q199" i="37" s="1"/>
  <c r="O308" i="37"/>
  <c r="P308" i="37" s="1"/>
  <c r="Q308" i="37" s="1"/>
  <c r="O7" i="37"/>
  <c r="P7" i="37" s="1"/>
  <c r="Q7" i="37" s="1"/>
  <c r="O144" i="37"/>
  <c r="P144" i="37" s="1"/>
  <c r="Q144" i="37" s="1"/>
  <c r="O141" i="37"/>
  <c r="P141" i="37" s="1"/>
  <c r="Q141" i="37" s="1"/>
  <c r="O183" i="37"/>
  <c r="P183" i="37" s="1"/>
  <c r="Q183" i="37" s="1"/>
  <c r="O209" i="37"/>
  <c r="P209" i="37" s="1"/>
  <c r="Q209" i="37" s="1"/>
  <c r="O69" i="37"/>
  <c r="P69" i="37" s="1"/>
  <c r="Q69" i="37" s="1"/>
  <c r="O44" i="37"/>
  <c r="P44" i="37" s="1"/>
  <c r="Q44" i="37" s="1"/>
  <c r="O234" i="37"/>
  <c r="P234" i="37" s="1"/>
  <c r="Q234" i="37" s="1"/>
  <c r="O137" i="37"/>
  <c r="P137" i="37" s="1"/>
  <c r="Q137" i="37" s="1"/>
  <c r="O127" i="37"/>
  <c r="P127" i="37" s="1"/>
  <c r="Q127" i="37" s="1"/>
  <c r="O205" i="37"/>
  <c r="P205" i="37" s="1"/>
  <c r="Q205" i="37" s="1"/>
  <c r="O236" i="37"/>
  <c r="P236" i="37" s="1"/>
  <c r="Q236" i="37" s="1"/>
  <c r="O122" i="37"/>
  <c r="P122" i="37" s="1"/>
  <c r="Q122" i="37" s="1"/>
  <c r="O194" i="37"/>
  <c r="P194" i="37" s="1"/>
  <c r="Q194" i="37" s="1"/>
  <c r="O10" i="37"/>
  <c r="P10" i="37" s="1"/>
  <c r="Q10" i="37" s="1"/>
  <c r="O259" i="37"/>
  <c r="P259" i="37" s="1"/>
  <c r="Q259" i="37" s="1"/>
  <c r="O129" i="37"/>
  <c r="P129" i="37" s="1"/>
  <c r="Q129" i="37" s="1"/>
  <c r="O109" i="37"/>
  <c r="P109" i="37" s="1"/>
  <c r="Q109" i="37" s="1"/>
  <c r="O243" i="37"/>
  <c r="P243" i="37" s="1"/>
  <c r="Q243" i="37" s="1"/>
  <c r="O232" i="37"/>
  <c r="P232" i="37" s="1"/>
  <c r="Q232" i="37" s="1"/>
  <c r="O192" i="37"/>
  <c r="P192" i="37" s="1"/>
  <c r="Q192" i="37" s="1"/>
  <c r="O72" i="37"/>
  <c r="P72" i="37" s="1"/>
  <c r="Q72" i="37" s="1"/>
  <c r="O214" i="37"/>
  <c r="P214" i="37" s="1"/>
  <c r="Q214" i="37" s="1"/>
  <c r="O213" i="37"/>
  <c r="P213" i="37" s="1"/>
  <c r="Q213" i="37" s="1"/>
  <c r="O235" i="37"/>
  <c r="P235" i="37" s="1"/>
  <c r="Q235" i="37" s="1"/>
  <c r="O290" i="37"/>
  <c r="P290" i="37" s="1"/>
  <c r="Q290" i="37" s="1"/>
  <c r="O102" i="37"/>
  <c r="P102" i="37" s="1"/>
  <c r="Q102" i="37" s="1"/>
  <c r="O158" i="37"/>
  <c r="P158" i="37" s="1"/>
  <c r="Q158" i="37" s="1"/>
  <c r="O230" i="37"/>
  <c r="P230" i="37" s="1"/>
  <c r="Q230" i="37" s="1"/>
  <c r="O304" i="37"/>
  <c r="P304" i="37" s="1"/>
  <c r="Q304" i="37" s="1"/>
  <c r="O17" i="37"/>
  <c r="P17" i="37" s="1"/>
  <c r="Q17" i="37" s="1"/>
  <c r="O267" i="37"/>
  <c r="P267" i="37" s="1"/>
  <c r="Q267" i="37" s="1"/>
  <c r="O224" i="37"/>
  <c r="P224" i="37" s="1"/>
  <c r="Q224" i="37" s="1"/>
  <c r="O90" i="37"/>
  <c r="P90" i="37" s="1"/>
  <c r="Q90" i="37" s="1"/>
  <c r="O66" i="37"/>
  <c r="P66" i="37" s="1"/>
  <c r="Q66" i="37" s="1"/>
  <c r="O292" i="37"/>
  <c r="P292" i="37" s="1"/>
  <c r="Q292" i="37" s="1"/>
  <c r="O256" i="37"/>
  <c r="P256" i="37" s="1"/>
  <c r="Q256" i="37" s="1"/>
  <c r="O310" i="37"/>
  <c r="P310" i="37" s="1"/>
  <c r="Q310" i="37" s="1"/>
  <c r="O225" i="37"/>
  <c r="P225" i="37" s="1"/>
  <c r="Q225" i="37" s="1"/>
  <c r="O101" i="37"/>
  <c r="P101" i="37" s="1"/>
  <c r="Q101" i="37" s="1"/>
  <c r="O314" i="37"/>
  <c r="P314" i="37" s="1"/>
  <c r="Q314" i="37" s="1"/>
  <c r="O20" i="37"/>
  <c r="P20" i="37" s="1"/>
  <c r="Q20" i="37" s="1"/>
  <c r="O240" i="37"/>
  <c r="P240" i="37" s="1"/>
  <c r="Q240" i="37" s="1"/>
  <c r="O40" i="37"/>
  <c r="P40" i="37" s="1"/>
  <c r="Q40" i="37" s="1"/>
  <c r="O16" i="37"/>
  <c r="P16" i="37" s="1"/>
  <c r="Q16" i="37" s="1"/>
  <c r="O195" i="37"/>
  <c r="P195" i="37" s="1"/>
  <c r="Q195" i="37" s="1"/>
  <c r="O6" i="37"/>
  <c r="P6" i="37" s="1"/>
  <c r="Q6" i="37" s="1"/>
  <c r="O91" i="37"/>
  <c r="P91" i="37" s="1"/>
  <c r="Q91" i="37" s="1"/>
  <c r="O227" i="37"/>
  <c r="P227" i="37" s="1"/>
  <c r="Q227" i="37" s="1"/>
  <c r="O193" i="37"/>
  <c r="P193" i="37" s="1"/>
  <c r="Q193" i="37" s="1"/>
  <c r="O140" i="37"/>
  <c r="P140" i="37" s="1"/>
  <c r="Q140" i="37" s="1"/>
  <c r="O164" i="37"/>
  <c r="P164" i="37" s="1"/>
  <c r="Q164" i="37" s="1"/>
  <c r="O165" i="37"/>
  <c r="P165" i="37" s="1"/>
  <c r="Q165" i="37" s="1"/>
  <c r="O121" i="37"/>
  <c r="P121" i="37" s="1"/>
  <c r="Q121" i="37" s="1"/>
  <c r="O162" i="37"/>
  <c r="P162" i="37" s="1"/>
  <c r="Q162" i="37" s="1"/>
  <c r="O136" i="37"/>
  <c r="P136" i="37" s="1"/>
  <c r="Q136" i="37" s="1"/>
  <c r="O188" i="37"/>
  <c r="P188" i="37" s="1"/>
  <c r="Q188" i="37" s="1"/>
  <c r="O61" i="37"/>
  <c r="P61" i="37" s="1"/>
  <c r="Q61" i="37" s="1"/>
  <c r="O82" i="37"/>
  <c r="P82" i="37" s="1"/>
  <c r="Q82" i="37" s="1"/>
  <c r="O56" i="37"/>
  <c r="P56" i="37" s="1"/>
  <c r="Q56" i="37" s="1"/>
  <c r="O130" i="37"/>
  <c r="P130" i="37" s="1"/>
  <c r="Q130" i="37" s="1"/>
  <c r="O237" i="37"/>
  <c r="P237" i="37" s="1"/>
  <c r="Q237" i="37" s="1"/>
  <c r="O106" i="37"/>
  <c r="P106" i="37" s="1"/>
  <c r="Q106" i="37" s="1"/>
  <c r="O25" i="37"/>
  <c r="P25" i="37" s="1"/>
  <c r="Q25" i="37" s="1"/>
  <c r="O23" i="37"/>
  <c r="P23" i="37" s="1"/>
  <c r="Q23" i="37" s="1"/>
  <c r="O88" i="37"/>
  <c r="P88" i="37" s="1"/>
  <c r="Q88" i="37" s="1"/>
  <c r="O63" i="37"/>
  <c r="P63" i="37" s="1"/>
  <c r="Q63" i="37" s="1"/>
  <c r="O112" i="37"/>
  <c r="P112" i="37" s="1"/>
  <c r="Q112" i="37" s="1"/>
  <c r="O202" i="37"/>
  <c r="P202" i="37" s="1"/>
  <c r="Q202" i="37" s="1"/>
  <c r="O53" i="37"/>
  <c r="P53" i="37" s="1"/>
  <c r="Q53" i="37" s="1"/>
  <c r="O86" i="37"/>
  <c r="P86" i="37" s="1"/>
  <c r="Q86" i="37" s="1"/>
  <c r="O276" i="37"/>
  <c r="P276" i="37" s="1"/>
  <c r="Q276" i="37" s="1"/>
  <c r="O83" i="37"/>
  <c r="P83" i="37" s="1"/>
  <c r="Q83" i="37" s="1"/>
  <c r="O178" i="37"/>
  <c r="P178" i="37" s="1"/>
  <c r="Q178" i="37" s="1"/>
  <c r="O135" i="37"/>
  <c r="P135" i="37" s="1"/>
  <c r="Q135" i="37" s="1"/>
  <c r="O120" i="37"/>
  <c r="P120" i="37" s="1"/>
  <c r="Q120" i="37" s="1"/>
  <c r="O13" i="37"/>
  <c r="P13" i="37" s="1"/>
  <c r="Q13" i="37" s="1"/>
  <c r="O124" i="37"/>
  <c r="P124" i="37" s="1"/>
  <c r="Q124" i="37" s="1"/>
  <c r="O306" i="37"/>
  <c r="P306" i="37" s="1"/>
  <c r="Q306" i="37" s="1"/>
  <c r="O24" i="37"/>
  <c r="P24" i="37" s="1"/>
  <c r="Q24" i="37" s="1"/>
  <c r="O189" i="37"/>
  <c r="P189" i="37" s="1"/>
  <c r="Q189" i="37" s="1"/>
  <c r="O89" i="37"/>
  <c r="P89" i="37" s="1"/>
  <c r="Q89" i="37" s="1"/>
  <c r="O87" i="37"/>
  <c r="P87" i="37" s="1"/>
  <c r="Q87" i="37" s="1"/>
  <c r="O93" i="37"/>
  <c r="P93" i="37" s="1"/>
  <c r="Q93" i="37" s="1"/>
  <c r="O166" i="37"/>
  <c r="P166" i="37" s="1"/>
  <c r="Q166" i="37" s="1"/>
  <c r="O45" i="37"/>
  <c r="P45" i="37" s="1"/>
  <c r="Q45" i="37" s="1"/>
  <c r="O79" i="37"/>
  <c r="P79" i="37" s="1"/>
  <c r="Q79" i="37" s="1"/>
  <c r="O43" i="37"/>
  <c r="P43" i="37" s="1"/>
  <c r="Q43" i="37" s="1"/>
  <c r="O260" i="37"/>
  <c r="P260" i="37" s="1"/>
  <c r="Q260" i="37" s="1"/>
  <c r="O139" i="37"/>
  <c r="P139" i="37" s="1"/>
  <c r="Q139" i="37" s="1"/>
  <c r="O301" i="37"/>
  <c r="P301" i="37" s="1"/>
  <c r="Q301" i="37" s="1"/>
  <c r="O279" i="37"/>
  <c r="P279" i="37" s="1"/>
  <c r="Q279" i="37" s="1"/>
  <c r="O163" i="37"/>
  <c r="P163" i="37" s="1"/>
  <c r="Q163" i="37" s="1"/>
  <c r="O37" i="37"/>
  <c r="P37" i="37" s="1"/>
  <c r="Q37" i="37" s="1"/>
  <c r="O34" i="37"/>
  <c r="P34" i="37" s="1"/>
  <c r="Q34" i="37" s="1"/>
  <c r="O264" i="37"/>
  <c r="P264" i="37" s="1"/>
  <c r="Q264" i="37" s="1"/>
  <c r="O254" i="37"/>
  <c r="P254" i="37" s="1"/>
  <c r="Q254" i="37" s="1"/>
  <c r="O84" i="37"/>
  <c r="P84" i="37" s="1"/>
  <c r="Q84" i="37" s="1"/>
  <c r="O258" i="37"/>
  <c r="P258" i="37" s="1"/>
  <c r="Q258" i="37" s="1"/>
  <c r="O118" i="37"/>
  <c r="P118" i="37" s="1"/>
  <c r="Q118" i="37" s="1"/>
  <c r="O128" i="37"/>
  <c r="P128" i="37" s="1"/>
  <c r="Q128" i="37" s="1"/>
  <c r="O99" i="37"/>
  <c r="P99" i="37" s="1"/>
  <c r="Q99" i="37" s="1"/>
  <c r="O116" i="37"/>
  <c r="P116" i="37" s="1"/>
  <c r="Q116" i="37" s="1"/>
  <c r="O155" i="37"/>
  <c r="P155" i="37" s="1"/>
  <c r="Q155" i="37" s="1"/>
  <c r="O283" i="37"/>
  <c r="P283" i="37" s="1"/>
  <c r="Q283" i="37" s="1"/>
  <c r="O246" i="37"/>
  <c r="P246" i="37" s="1"/>
  <c r="Q246" i="37" s="1"/>
  <c r="O215" i="37"/>
  <c r="P215" i="37" s="1"/>
  <c r="Q215" i="37" s="1"/>
  <c r="O31" i="37"/>
  <c r="P31" i="37" s="1"/>
  <c r="Q31" i="37" s="1"/>
  <c r="O19" i="37"/>
  <c r="P19" i="37" s="1"/>
  <c r="Q19" i="37" s="1"/>
  <c r="O78" i="37"/>
  <c r="P78" i="37" s="1"/>
  <c r="Q78" i="37" s="1"/>
  <c r="O307" i="37"/>
  <c r="P307" i="37" s="1"/>
  <c r="Q307" i="37" s="1"/>
  <c r="O177" i="37"/>
  <c r="P177" i="37" s="1"/>
  <c r="Q177" i="37" s="1"/>
  <c r="O110" i="37"/>
  <c r="P110" i="37" s="1"/>
  <c r="Q110" i="37" s="1"/>
  <c r="O14" i="37"/>
  <c r="P14" i="37" s="1"/>
  <c r="Q14" i="37" s="1"/>
  <c r="O170" i="37"/>
  <c r="P170" i="37" s="1"/>
  <c r="Q170" i="37" s="1"/>
  <c r="O253" i="37"/>
  <c r="P253" i="37" s="1"/>
  <c r="Q253" i="37" s="1"/>
  <c r="O161" i="37"/>
  <c r="P161" i="37" s="1"/>
  <c r="Q161" i="37" s="1"/>
  <c r="O152" i="37"/>
  <c r="P152" i="37" s="1"/>
  <c r="Q152" i="37" s="1"/>
  <c r="O65" i="37"/>
  <c r="P65" i="37" s="1"/>
  <c r="Q65" i="37" s="1"/>
  <c r="O15" i="37"/>
  <c r="P15" i="37" s="1"/>
  <c r="Q15" i="37" s="1"/>
  <c r="O291" i="37"/>
  <c r="P291" i="37" s="1"/>
  <c r="Q291" i="37" s="1"/>
  <c r="O55" i="37"/>
  <c r="P55" i="37" s="1"/>
  <c r="Q55" i="37" s="1"/>
  <c r="O257" i="37"/>
  <c r="P257" i="37" s="1"/>
  <c r="Q257" i="37" s="1"/>
  <c r="O200" i="37"/>
  <c r="P200" i="37" s="1"/>
  <c r="Q200" i="37" s="1"/>
  <c r="O74" i="37"/>
  <c r="P74" i="37" s="1"/>
  <c r="Q74" i="37" s="1"/>
  <c r="O174" i="37"/>
  <c r="P174" i="37" s="1"/>
  <c r="Q174" i="37" s="1"/>
  <c r="O62" i="37"/>
  <c r="P62" i="37" s="1"/>
  <c r="Q62" i="37" s="1"/>
  <c r="O272" i="37"/>
  <c r="P272" i="37" s="1"/>
  <c r="Q272" i="37" s="1"/>
  <c r="O245" i="37"/>
  <c r="P245" i="37" s="1"/>
  <c r="Q245" i="37" s="1"/>
  <c r="O281" i="37"/>
  <c r="P281" i="37" s="1"/>
  <c r="Q281" i="37" s="1"/>
  <c r="O41" i="37"/>
  <c r="P41" i="37" s="1"/>
  <c r="Q41" i="37" s="1"/>
  <c r="O113" i="37"/>
  <c r="P113" i="37" s="1"/>
  <c r="Q113" i="37" s="1"/>
  <c r="O153" i="37"/>
  <c r="P153" i="37" s="1"/>
  <c r="Q153" i="37" s="1"/>
  <c r="O312" i="37"/>
  <c r="P312" i="37" s="1"/>
  <c r="Q312" i="37" s="1"/>
  <c r="O315" i="37"/>
  <c r="P315" i="37" s="1"/>
  <c r="Q315" i="37" s="1"/>
  <c r="O299" i="37"/>
  <c r="P299" i="37" s="1"/>
  <c r="Q299" i="37" s="1"/>
  <c r="O296" i="37"/>
  <c r="P296" i="37" s="1"/>
  <c r="Q296" i="37" s="1"/>
  <c r="O280" i="37"/>
  <c r="P280" i="37" s="1"/>
  <c r="Q280" i="37" s="1"/>
  <c r="O96" i="37"/>
  <c r="P96" i="37" s="1"/>
  <c r="Q96" i="37" s="1"/>
  <c r="O247" i="37"/>
  <c r="P247" i="37" s="1"/>
  <c r="Q247" i="37" s="1"/>
  <c r="O218" i="37"/>
  <c r="P218" i="37" s="1"/>
  <c r="Q218" i="37" s="1"/>
  <c r="O181" i="37"/>
  <c r="P181" i="37" s="1"/>
  <c r="Q181" i="37" s="1"/>
  <c r="O266" i="37"/>
  <c r="P266" i="37" s="1"/>
  <c r="Q266" i="37" s="1"/>
  <c r="O70" i="37"/>
  <c r="P70" i="37" s="1"/>
  <c r="Q70" i="37" s="1"/>
  <c r="O309" i="37"/>
  <c r="P309" i="37" s="1"/>
  <c r="Q309" i="37" s="1"/>
  <c r="O270" i="37"/>
  <c r="P270" i="37" s="1"/>
  <c r="Q270" i="37" s="1"/>
  <c r="O172" i="37"/>
  <c r="P172" i="37" s="1"/>
  <c r="Q172" i="37" s="1"/>
  <c r="O302" i="37"/>
  <c r="P302" i="37" s="1"/>
  <c r="Q302" i="37" s="1"/>
  <c r="O75" i="37"/>
  <c r="P75" i="37" s="1"/>
  <c r="Q75" i="37" s="1"/>
  <c r="O252" i="37"/>
  <c r="P252" i="37" s="1"/>
  <c r="Q252" i="37" s="1"/>
  <c r="O160" i="37"/>
  <c r="P160" i="37" s="1"/>
  <c r="Q160" i="37" s="1"/>
  <c r="O47" i="37"/>
  <c r="P47" i="37" s="1"/>
  <c r="Q47" i="37" s="1"/>
  <c r="O117" i="37"/>
  <c r="P117" i="37" s="1"/>
  <c r="Q117" i="37" s="1"/>
  <c r="O169" i="37"/>
  <c r="P169" i="37" s="1"/>
  <c r="Q169" i="37" s="1"/>
  <c r="O229" i="37"/>
  <c r="P229" i="37" s="1"/>
  <c r="Q229" i="37" s="1"/>
  <c r="O39" i="37"/>
  <c r="P39" i="37" s="1"/>
  <c r="Q39" i="37" s="1"/>
  <c r="O85" i="37"/>
  <c r="P85" i="37" s="1"/>
  <c r="Q85" i="37" s="1"/>
  <c r="O298" i="37"/>
  <c r="P298" i="37" s="1"/>
  <c r="Q298" i="37" s="1"/>
  <c r="O220" i="37"/>
  <c r="P220" i="37" s="1"/>
  <c r="Q220" i="37" s="1"/>
  <c r="O233" i="37"/>
  <c r="P233" i="37" s="1"/>
  <c r="Q233" i="37" s="1"/>
  <c r="O33" i="37"/>
  <c r="P33" i="37" s="1"/>
  <c r="Q33" i="37" s="1"/>
  <c r="O294" i="37"/>
  <c r="P294" i="37" s="1"/>
  <c r="Q294" i="37" s="1"/>
  <c r="O293" i="37"/>
  <c r="P293" i="37" s="1"/>
  <c r="Q293" i="37" s="1"/>
  <c r="O228" i="37"/>
  <c r="P228" i="37" s="1"/>
  <c r="Q228" i="37" s="1"/>
  <c r="O18" i="37"/>
  <c r="P18" i="37" s="1"/>
  <c r="Q18" i="37" s="1"/>
  <c r="O154" i="37"/>
  <c r="P154" i="37" s="1"/>
  <c r="Q154" i="37" s="1"/>
  <c r="O133" i="37"/>
  <c r="P133" i="37" s="1"/>
  <c r="Q133" i="37" s="1"/>
  <c r="O204" i="37"/>
  <c r="P204" i="37" s="1"/>
  <c r="Q204" i="37" s="1"/>
  <c r="O142" i="37"/>
  <c r="P142" i="37" s="1"/>
  <c r="Q142" i="37" s="1"/>
  <c r="O94" i="37"/>
  <c r="P94" i="37" s="1"/>
  <c r="Q94" i="37" s="1"/>
  <c r="O138" i="37"/>
  <c r="P138" i="37" s="1"/>
  <c r="Q138" i="37" s="1"/>
  <c r="O171" i="37"/>
  <c r="P171" i="37" s="1"/>
  <c r="Q171" i="37" s="1"/>
  <c r="O38" i="37"/>
  <c r="P38" i="37" s="1"/>
  <c r="Q38" i="37" s="1"/>
  <c r="O156" i="37"/>
  <c r="P156" i="37" s="1"/>
  <c r="Q156" i="37" s="1"/>
  <c r="O9" i="37"/>
  <c r="P9" i="37" s="1"/>
  <c r="Q9" i="37" s="1"/>
  <c r="O175" i="37"/>
  <c r="P175" i="37" s="1"/>
  <c r="Q175" i="37" s="1"/>
  <c r="O131" i="37"/>
  <c r="P131" i="37" s="1"/>
  <c r="Q131" i="37" s="1"/>
  <c r="O182" i="37"/>
  <c r="P182" i="37" s="1"/>
  <c r="Q182" i="37" s="1"/>
  <c r="O52" i="37"/>
  <c r="P52" i="37" s="1"/>
  <c r="Q52" i="37" s="1"/>
  <c r="O216" i="37"/>
  <c r="P216" i="37" s="1"/>
  <c r="Q216" i="37" s="1"/>
  <c r="O35" i="37"/>
  <c r="P35" i="37" s="1"/>
  <c r="Q35" i="37" s="1"/>
  <c r="O297" i="37"/>
  <c r="P297" i="37" s="1"/>
  <c r="Q297" i="37" s="1"/>
  <c r="O51" i="37"/>
  <c r="P51" i="37" s="1"/>
  <c r="Q51" i="37" s="1"/>
  <c r="O313" i="37"/>
  <c r="P313" i="37" s="1"/>
  <c r="Q313" i="37" s="1"/>
  <c r="O196" i="37"/>
  <c r="P196" i="37" s="1"/>
  <c r="Q196" i="37" s="1"/>
  <c r="O287" i="37"/>
  <c r="P287" i="37" s="1"/>
  <c r="Q287" i="37" s="1"/>
  <c r="O42" i="37"/>
  <c r="P42" i="37" s="1"/>
  <c r="Q42" i="37" s="1"/>
  <c r="O68" i="37"/>
  <c r="P68" i="37" s="1"/>
  <c r="Q68" i="37" s="1"/>
  <c r="O274" i="37"/>
  <c r="P274" i="37" s="1"/>
  <c r="Q274" i="37" s="1"/>
  <c r="O179" i="37"/>
  <c r="P179" i="37" s="1"/>
  <c r="Q179" i="37" s="1"/>
  <c r="O5" i="37"/>
  <c r="P5" i="37" s="1"/>
  <c r="Q5" i="37" s="1"/>
  <c r="O48" i="37"/>
  <c r="P48" i="37" s="1"/>
  <c r="Q48" i="37" s="1"/>
  <c r="O207" i="37"/>
  <c r="P207" i="37" s="1"/>
  <c r="Q207" i="37" s="1"/>
  <c r="O134" i="37"/>
  <c r="P134" i="37" s="1"/>
  <c r="Q134" i="37" s="1"/>
  <c r="O197" i="37"/>
  <c r="P197" i="37" s="1"/>
  <c r="Q197" i="37" s="1"/>
  <c r="O248" i="37"/>
  <c r="P248" i="37" s="1"/>
  <c r="Q248" i="37" s="1"/>
  <c r="O114" i="37"/>
  <c r="P114" i="37" s="1"/>
  <c r="Q114" i="37" s="1"/>
  <c r="O22" i="37"/>
  <c r="P22" i="37" s="1"/>
  <c r="Q22" i="37" s="1"/>
  <c r="O173" i="37"/>
  <c r="P173" i="37" s="1"/>
  <c r="Q173" i="37" s="1"/>
  <c r="O231" i="37"/>
  <c r="P231" i="37" s="1"/>
  <c r="Q231" i="37" s="1"/>
  <c r="O176" i="37"/>
  <c r="P176" i="37" s="1"/>
  <c r="Q176" i="37" s="1"/>
  <c r="O8" i="37"/>
  <c r="P8" i="37" s="1"/>
  <c r="Q8" i="37" s="1"/>
  <c r="O282" i="37"/>
  <c r="P282" i="37" s="1"/>
  <c r="Q282" i="37" s="1"/>
  <c r="O105" i="37"/>
  <c r="P105" i="37" s="1"/>
  <c r="Q105" i="37" s="1"/>
  <c r="O305" i="37"/>
  <c r="P305" i="37" s="1"/>
  <c r="Q305" i="37" s="1"/>
  <c r="O26" i="37"/>
  <c r="P26" i="37" s="1"/>
  <c r="Q26" i="37" s="1"/>
  <c r="O219" i="37"/>
  <c r="P219" i="37" s="1"/>
  <c r="Q219" i="37" s="1"/>
  <c r="O242" i="37"/>
  <c r="P242" i="37" s="1"/>
  <c r="Q242" i="37" s="1"/>
  <c r="O265" i="37"/>
  <c r="P265" i="37" s="1"/>
  <c r="Q265" i="37" s="1"/>
  <c r="O27" i="37"/>
  <c r="P27" i="37" s="1"/>
  <c r="Q27" i="37" s="1"/>
  <c r="O12" i="37"/>
  <c r="P12" i="37" s="1"/>
  <c r="Q12" i="37" s="1"/>
  <c r="O146" i="37"/>
  <c r="P146" i="37" s="1"/>
  <c r="Q146" i="37" s="1"/>
  <c r="O261" i="37"/>
  <c r="P261" i="37" s="1"/>
  <c r="Q261" i="37" s="1"/>
  <c r="O30" i="37"/>
  <c r="P30" i="37" s="1"/>
  <c r="Q30" i="37" s="1"/>
  <c r="O210" i="37"/>
  <c r="P210" i="37" s="1"/>
  <c r="Q210" i="37" s="1"/>
  <c r="O149" i="37"/>
  <c r="P149" i="37" s="1"/>
  <c r="Q149" i="37" s="1"/>
  <c r="O285" i="37"/>
  <c r="P285" i="37" s="1"/>
  <c r="Q285" i="37" s="1"/>
  <c r="O277" i="37"/>
  <c r="P277" i="37" s="1"/>
  <c r="Q277" i="37" s="1"/>
  <c r="O167" i="37"/>
  <c r="P167" i="37" s="1"/>
  <c r="Q167" i="37" s="1"/>
  <c r="O289" i="37"/>
  <c r="P289" i="37" s="1"/>
  <c r="Q289" i="37" s="1"/>
  <c r="O300" i="37"/>
  <c r="P300" i="37" s="1"/>
  <c r="Q300" i="37" s="1"/>
  <c r="O77" i="37"/>
  <c r="P77" i="37" s="1"/>
  <c r="Q77" i="37" s="1"/>
  <c r="O223" i="37"/>
  <c r="P223" i="37" s="1"/>
  <c r="Q223" i="37" s="1"/>
  <c r="O97" i="37"/>
  <c r="P97" i="37" s="1"/>
  <c r="Q97" i="37" s="1"/>
  <c r="O241" i="37"/>
  <c r="P241" i="37" s="1"/>
  <c r="Q241" i="37" s="1"/>
  <c r="O132" i="37"/>
  <c r="P132" i="37" s="1"/>
  <c r="Q132" i="37" s="1"/>
  <c r="O186" i="37"/>
  <c r="P186" i="37" s="1"/>
  <c r="Q186" i="37" s="1"/>
  <c r="O185" i="37"/>
  <c r="P185" i="37" s="1"/>
  <c r="Q185" i="37" s="1"/>
  <c r="O54" i="37"/>
  <c r="P54" i="37" s="1"/>
  <c r="Q54" i="37" s="1"/>
  <c r="O318" i="37"/>
  <c r="P318" i="37" s="1"/>
  <c r="Q318" i="37" s="1"/>
  <c r="O145" i="37"/>
  <c r="P145" i="37" s="1"/>
  <c r="Q145" i="37" s="1"/>
  <c r="O95" i="37"/>
  <c r="P95" i="37" s="1"/>
  <c r="Q95" i="37" s="1"/>
  <c r="O273" i="37"/>
  <c r="P273" i="37" s="1"/>
  <c r="Q273" i="37" s="1"/>
  <c r="O64" i="37"/>
  <c r="P64" i="37" s="1"/>
  <c r="Q64" i="37" s="1"/>
  <c r="O29" i="37"/>
  <c r="P29" i="37" s="1"/>
  <c r="Q29" i="37" s="1"/>
  <c r="O123" i="37"/>
  <c r="P123" i="37" s="1"/>
  <c r="Q123" i="37" s="1"/>
  <c r="O125" i="37"/>
  <c r="P125" i="37" s="1"/>
  <c r="Q125" i="37" s="1"/>
  <c r="O58" i="37"/>
  <c r="P58" i="37" s="1"/>
  <c r="Q58" i="37" s="1"/>
  <c r="O262" i="37"/>
  <c r="P262" i="37" s="1"/>
  <c r="Q262" i="37" s="1"/>
  <c r="O203" i="37"/>
  <c r="P203" i="37" s="1"/>
  <c r="Q203" i="37" s="1"/>
  <c r="O168" i="37"/>
  <c r="P168" i="37" s="1"/>
  <c r="Q168" i="37" s="1"/>
  <c r="O255" i="37"/>
  <c r="P255" i="37" s="1"/>
  <c r="Q255" i="37" s="1"/>
  <c r="O11" i="37"/>
  <c r="P11" i="37" s="1"/>
  <c r="Q11" i="37" s="1"/>
  <c r="O98" i="37"/>
  <c r="P98" i="37" s="1"/>
  <c r="Q98" i="37" s="1"/>
  <c r="O268" i="37"/>
  <c r="P268" i="37" s="1"/>
  <c r="Q268" i="37" s="1"/>
  <c r="O49" i="37"/>
  <c r="P49" i="37" s="1"/>
  <c r="Q49" i="37" s="1"/>
  <c r="O284" i="37"/>
  <c r="P284" i="37" s="1"/>
  <c r="Q284" i="37" s="1"/>
  <c r="O36" i="37"/>
  <c r="P36" i="37" s="1"/>
  <c r="Q36" i="37" s="1"/>
  <c r="O311" i="37"/>
  <c r="P311" i="37" s="1"/>
  <c r="Q311" i="37" s="1"/>
  <c r="O251" i="37"/>
  <c r="P251" i="37" s="1"/>
  <c r="Q251" i="37" s="1"/>
  <c r="O184" i="37"/>
  <c r="P184" i="37" s="1"/>
  <c r="Q184" i="37" s="1"/>
  <c r="O316" i="37"/>
  <c r="P316" i="37" s="1"/>
  <c r="Q316" i="37" s="1"/>
  <c r="O59" i="37"/>
  <c r="P59" i="37" s="1"/>
  <c r="Q59" i="37" s="1"/>
  <c r="O151" i="37"/>
  <c r="P151" i="37" s="1"/>
  <c r="Q151" i="37" s="1"/>
  <c r="O71" i="37"/>
  <c r="P71" i="37" s="1"/>
  <c r="Q71" i="37" s="1"/>
  <c r="O57" i="37"/>
  <c r="P57" i="37" s="1"/>
  <c r="Q57" i="37" s="1"/>
  <c r="O80" i="37"/>
  <c r="P80" i="37" s="1"/>
  <c r="Q80" i="37" s="1"/>
  <c r="O157" i="37"/>
  <c r="P157" i="37" s="1"/>
  <c r="Q157" i="37" s="1"/>
  <c r="O28" i="37"/>
  <c r="P28" i="37" s="1"/>
  <c r="Q28" i="37" s="1"/>
  <c r="O108" i="37"/>
  <c r="P108" i="37" s="1"/>
  <c r="Q108" i="37" s="1"/>
  <c r="O275" i="37"/>
  <c r="P275" i="37" s="1"/>
  <c r="Q275" i="37" s="1"/>
  <c r="O249" i="37"/>
  <c r="P249" i="37" s="1"/>
  <c r="Q249" i="37" s="1"/>
  <c r="O211" i="37"/>
  <c r="P211" i="37" s="1"/>
  <c r="Q211" i="37" s="1"/>
  <c r="O143" i="37"/>
  <c r="P143" i="37" s="1"/>
  <c r="Q143" i="37" s="1"/>
  <c r="O150" i="37"/>
  <c r="P150" i="37" s="1"/>
  <c r="Q150" i="37" s="1"/>
  <c r="O100" i="37"/>
  <c r="P100" i="37" s="1"/>
  <c r="Q100" i="37" s="1"/>
  <c r="O76" i="37"/>
  <c r="P76" i="37" s="1"/>
  <c r="Q76" i="37" s="1"/>
  <c r="O201" i="37"/>
  <c r="P201" i="37" s="1"/>
  <c r="Q201" i="37" s="1"/>
  <c r="O244" i="37"/>
  <c r="P244" i="37" s="1"/>
  <c r="Q244" i="37" s="1"/>
  <c r="O295" i="37"/>
  <c r="P295" i="37" s="1"/>
  <c r="Q295" i="37" s="1"/>
  <c r="O148" i="37"/>
  <c r="P148" i="37" s="1"/>
  <c r="Q148" i="37" s="1"/>
  <c r="O278" i="37"/>
  <c r="P278" i="37" s="1"/>
  <c r="Q278" i="37" s="1"/>
  <c r="O271" i="37"/>
  <c r="P271" i="37" s="1"/>
  <c r="Q271" i="37" s="1"/>
  <c r="O111" i="37"/>
  <c r="P111" i="37" s="1"/>
  <c r="Q111" i="37" s="1"/>
  <c r="O126" i="37"/>
  <c r="P126" i="37" s="1"/>
  <c r="Q126" i="37" s="1"/>
  <c r="O159" i="37"/>
  <c r="P159" i="37" s="1"/>
  <c r="Q159" i="37" s="1"/>
  <c r="O286" i="37"/>
  <c r="P286" i="37" s="1"/>
  <c r="Q286" i="37" s="1"/>
  <c r="O212" i="37"/>
  <c r="P212" i="37" s="1"/>
  <c r="Q212" i="37" s="1"/>
  <c r="O238" i="37"/>
  <c r="P238" i="37" s="1"/>
  <c r="Q238" i="37" s="1"/>
  <c r="O269" i="37"/>
  <c r="P269" i="37" s="1"/>
  <c r="Q269" i="37" s="1"/>
  <c r="O317" i="37"/>
  <c r="P317" i="37" s="1"/>
  <c r="Q317" i="37" s="1"/>
  <c r="O222" i="37"/>
  <c r="P222" i="37" s="1"/>
  <c r="Q222" i="37" s="1"/>
  <c r="O119" i="37"/>
  <c r="P119" i="37" s="1"/>
  <c r="Q119" i="37" s="1"/>
  <c r="O226" i="37"/>
  <c r="P226" i="37" s="1"/>
  <c r="Q226" i="37" s="1"/>
  <c r="O115" i="37"/>
  <c r="P115" i="37" s="1"/>
  <c r="Q115" i="37" s="1"/>
  <c r="O32" i="37"/>
  <c r="P32" i="37" s="1"/>
  <c r="Q32" i="37" s="1"/>
  <c r="O107" i="37"/>
  <c r="P107" i="37" s="1"/>
  <c r="Q107" i="37" s="1"/>
  <c r="O67" i="37"/>
  <c r="P67" i="37" s="1"/>
  <c r="Q67" i="37" s="1"/>
  <c r="O288" i="37"/>
  <c r="P288" i="37" s="1"/>
  <c r="Q288" i="37" s="1"/>
  <c r="O21" i="37"/>
  <c r="P21" i="37" s="1"/>
  <c r="Q21" i="37" s="1"/>
  <c r="O180" i="37"/>
  <c r="P180" i="37" s="1"/>
  <c r="Q180" i="37" s="1"/>
  <c r="O263" i="37"/>
  <c r="P263" i="37" s="1"/>
  <c r="Q263" i="37" s="1"/>
  <c r="O103" i="37"/>
  <c r="P103" i="37" s="1"/>
  <c r="Q103" i="37" s="1"/>
  <c r="O73" i="37"/>
  <c r="P73" i="37" s="1"/>
  <c r="Q73" i="37" s="1"/>
  <c r="O81" i="37"/>
  <c r="P81" i="37" s="1"/>
  <c r="Q81" i="37" s="1"/>
  <c r="O187" i="37"/>
  <c r="P187" i="37" s="1"/>
  <c r="Q187" i="37" s="1"/>
  <c r="O206" i="37"/>
  <c r="P206" i="37" s="1"/>
  <c r="Q206" i="37" s="1"/>
  <c r="O191" i="37"/>
  <c r="P191" i="37" s="1"/>
  <c r="Q191" i="37" s="1"/>
  <c r="O190" i="37"/>
  <c r="P190" i="37" s="1"/>
  <c r="Q190" i="37" s="1"/>
  <c r="O239" i="37"/>
  <c r="P239" i="37" s="1"/>
  <c r="Q239" i="37" s="1"/>
  <c r="O92" i="37"/>
  <c r="P92" i="37" s="1"/>
  <c r="Q92" i="37" s="1"/>
  <c r="O104" i="37"/>
  <c r="P104" i="37" s="1"/>
  <c r="Q104" i="37" s="1"/>
  <c r="R129" i="36"/>
  <c r="R51" i="36"/>
  <c r="R295" i="36"/>
  <c r="R83" i="36"/>
  <c r="R277" i="36"/>
  <c r="R100" i="36"/>
  <c r="R19" i="36"/>
  <c r="R288" i="36"/>
  <c r="R60" i="36"/>
  <c r="R179" i="36"/>
  <c r="R193" i="36"/>
  <c r="R245" i="36"/>
  <c r="R252" i="36"/>
  <c r="R34" i="36"/>
  <c r="R138" i="36"/>
  <c r="R68" i="36"/>
  <c r="R112" i="36"/>
  <c r="R101" i="36"/>
  <c r="R235" i="36"/>
  <c r="R67" i="36"/>
  <c r="R273" i="36"/>
  <c r="R210" i="36"/>
  <c r="R115" i="36"/>
  <c r="R65" i="36"/>
  <c r="R221" i="36"/>
  <c r="R173" i="36"/>
  <c r="R62" i="36"/>
  <c r="R287" i="36"/>
  <c r="R130" i="36"/>
  <c r="R297" i="36"/>
  <c r="R203" i="36"/>
  <c r="R20" i="36"/>
  <c r="R265" i="36"/>
  <c r="R228" i="36"/>
  <c r="R52" i="36"/>
  <c r="R79" i="36"/>
  <c r="R284" i="36"/>
  <c r="R141" i="36"/>
  <c r="R12" i="36"/>
  <c r="R204" i="36"/>
  <c r="R272" i="36"/>
  <c r="R28" i="36"/>
  <c r="R167" i="36"/>
  <c r="R152" i="36"/>
  <c r="R198" i="36"/>
  <c r="R218" i="36"/>
  <c r="R168" i="36"/>
  <c r="R16" i="36"/>
  <c r="R92" i="36"/>
  <c r="R96" i="36"/>
  <c r="R302" i="36"/>
  <c r="R161" i="36"/>
  <c r="R38" i="36"/>
  <c r="R249" i="36"/>
  <c r="R171" i="36"/>
  <c r="R166" i="36"/>
  <c r="R260" i="36"/>
  <c r="R182" i="36"/>
  <c r="R290" i="36"/>
  <c r="R158" i="36"/>
  <c r="R125" i="36"/>
  <c r="R80" i="36"/>
  <c r="R148" i="36"/>
  <c r="R185" i="36"/>
  <c r="R256" i="36"/>
  <c r="R139" i="36"/>
  <c r="R188" i="36"/>
  <c r="R244" i="36"/>
  <c r="R262" i="36"/>
  <c r="R35" i="36"/>
  <c r="R140" i="36"/>
  <c r="R192" i="36"/>
  <c r="R61" i="36"/>
  <c r="R207" i="36"/>
  <c r="R291" i="36"/>
  <c r="R241" i="36"/>
  <c r="R106" i="36"/>
  <c r="R13" i="36"/>
  <c r="R219" i="36"/>
  <c r="R216" i="36"/>
  <c r="R180" i="36"/>
  <c r="R294" i="36"/>
  <c r="R84" i="36"/>
  <c r="R312" i="36"/>
  <c r="R69" i="36"/>
  <c r="R103" i="36"/>
  <c r="R308" i="36"/>
  <c r="R160" i="36"/>
  <c r="R45" i="36"/>
  <c r="R172" i="36"/>
  <c r="R254" i="36"/>
  <c r="R143" i="36"/>
  <c r="R310" i="36"/>
  <c r="R118" i="36"/>
  <c r="R225" i="36"/>
  <c r="R282" i="36"/>
  <c r="R163" i="36"/>
  <c r="R227" i="36"/>
  <c r="R205" i="36"/>
  <c r="R89" i="36"/>
  <c r="R231" i="36"/>
  <c r="R190" i="36"/>
  <c r="R54" i="36"/>
  <c r="R237" i="36"/>
  <c r="R76" i="36"/>
  <c r="R178" i="36"/>
  <c r="R53" i="36"/>
  <c r="R253" i="36"/>
  <c r="R87" i="36"/>
  <c r="R250" i="36"/>
  <c r="R197" i="36"/>
  <c r="R156" i="36"/>
  <c r="R285" i="36"/>
  <c r="R279" i="36"/>
  <c r="R229" i="36"/>
  <c r="R261" i="36"/>
  <c r="R201" i="36"/>
  <c r="R183" i="36"/>
  <c r="R48" i="36"/>
  <c r="R191" i="36"/>
  <c r="R196" i="36"/>
  <c r="R88" i="36"/>
  <c r="R162" i="36"/>
  <c r="R177" i="36"/>
  <c r="R25" i="36"/>
  <c r="R37" i="36"/>
  <c r="R202" i="36"/>
  <c r="R33" i="36"/>
  <c r="R134" i="36"/>
  <c r="R78" i="36"/>
  <c r="R159" i="36"/>
  <c r="R270" i="36"/>
  <c r="R57" i="36"/>
  <c r="R50" i="36"/>
  <c r="R217" i="36"/>
  <c r="R131" i="36"/>
  <c r="R145" i="36"/>
  <c r="R169" i="36"/>
  <c r="R200" i="36"/>
  <c r="R236" i="36"/>
  <c r="R98" i="36"/>
  <c r="R149" i="36"/>
  <c r="R278" i="36"/>
  <c r="R246" i="36"/>
  <c r="R108" i="36"/>
  <c r="R32" i="36"/>
  <c r="R10" i="36"/>
  <c r="R66" i="36"/>
  <c r="R264" i="36"/>
  <c r="R259" i="36"/>
  <c r="R63" i="36"/>
  <c r="R119" i="36"/>
  <c r="R104" i="36"/>
  <c r="R268" i="36"/>
  <c r="R105" i="36"/>
  <c r="R70" i="36"/>
  <c r="R164" i="36"/>
  <c r="R305" i="36"/>
  <c r="R128" i="36"/>
  <c r="R99" i="36"/>
  <c r="R39" i="36"/>
  <c r="R82" i="36"/>
  <c r="R55" i="36"/>
  <c r="R23" i="36"/>
  <c r="R5" i="36"/>
  <c r="R107" i="36"/>
  <c r="R81" i="36"/>
  <c r="R75" i="36"/>
  <c r="R317" i="36"/>
  <c r="R117" i="36"/>
  <c r="R176" i="36"/>
  <c r="R306" i="36"/>
  <c r="R41" i="36"/>
  <c r="R157" i="36"/>
  <c r="R301" i="36"/>
  <c r="R248" i="36"/>
  <c r="R304" i="36"/>
  <c r="R187" i="36"/>
  <c r="R73" i="36"/>
  <c r="R27" i="36"/>
  <c r="R97" i="36"/>
  <c r="R36" i="36"/>
  <c r="R208" i="36"/>
  <c r="R26" i="36"/>
  <c r="R232" i="36"/>
  <c r="R220" i="36"/>
  <c r="R85" i="36"/>
  <c r="R113" i="36"/>
  <c r="R174" i="36"/>
  <c r="R274" i="36"/>
  <c r="R18" i="36"/>
  <c r="R258" i="36"/>
  <c r="R233" i="36"/>
  <c r="R151" i="36"/>
  <c r="R120" i="36"/>
  <c r="R175" i="36"/>
  <c r="R269" i="36"/>
  <c r="R267" i="36"/>
  <c r="R251" i="36"/>
  <c r="R165" i="36"/>
  <c r="R239" i="36"/>
  <c r="R114" i="36"/>
  <c r="R124" i="36"/>
  <c r="R136" i="36"/>
  <c r="R212" i="36"/>
  <c r="R74" i="36"/>
  <c r="R29" i="36"/>
  <c r="R195" i="36"/>
  <c r="R93" i="36"/>
  <c r="R289" i="36"/>
  <c r="R42" i="36"/>
  <c r="R31" i="36"/>
  <c r="R40" i="36"/>
  <c r="R189" i="36"/>
  <c r="R184" i="36"/>
  <c r="R206" i="36"/>
  <c r="R296" i="36"/>
  <c r="R314" i="36"/>
  <c r="R43" i="36"/>
  <c r="R137" i="36"/>
  <c r="R110" i="36"/>
  <c r="R292" i="36"/>
  <c r="R293" i="36"/>
  <c r="R122" i="36"/>
  <c r="R95" i="36"/>
  <c r="R223" i="36"/>
  <c r="R309" i="36"/>
  <c r="R91" i="36"/>
  <c r="R109" i="36"/>
  <c r="R121" i="36"/>
  <c r="R24" i="36"/>
  <c r="R77" i="36"/>
  <c r="R150" i="36"/>
  <c r="R144" i="36"/>
  <c r="R72" i="36"/>
  <c r="R94" i="36"/>
  <c r="R15" i="36"/>
  <c r="R315" i="36"/>
  <c r="R155" i="36"/>
  <c r="R133" i="36"/>
  <c r="R286" i="36"/>
  <c r="R49" i="36"/>
  <c r="R215" i="36"/>
  <c r="R123" i="36"/>
  <c r="R7" i="36"/>
  <c r="R242" i="36"/>
  <c r="R226" i="36"/>
  <c r="R307" i="36"/>
  <c r="R58" i="36"/>
  <c r="R64" i="36"/>
  <c r="R300" i="36"/>
  <c r="R11" i="36"/>
  <c r="R280" i="36"/>
  <c r="R9" i="36"/>
  <c r="R170" i="36"/>
  <c r="R30" i="36"/>
  <c r="R14" i="36"/>
  <c r="R6" i="36"/>
  <c r="R126" i="36"/>
  <c r="R240" i="36"/>
  <c r="R22" i="36"/>
  <c r="R238" i="36"/>
  <c r="R275" i="36"/>
  <c r="R234" i="36"/>
  <c r="R311" i="36"/>
  <c r="R194" i="36"/>
  <c r="R8" i="36"/>
  <c r="R283" i="36"/>
  <c r="R313" i="36"/>
  <c r="R318" i="36"/>
  <c r="R135" i="36"/>
  <c r="R47" i="36"/>
  <c r="R243" i="36"/>
  <c r="R213" i="36"/>
  <c r="R90" i="36"/>
  <c r="Q4" i="36"/>
  <c r="P3" i="36" a="1"/>
  <c r="P3" i="36" s="1"/>
  <c r="R281" i="36"/>
  <c r="R214" i="36"/>
  <c r="R132" i="36"/>
  <c r="R255" i="36"/>
  <c r="R181" i="36"/>
  <c r="R86" i="36"/>
  <c r="R46" i="36"/>
  <c r="R209" i="36"/>
  <c r="R116" i="36"/>
  <c r="R186" i="36"/>
  <c r="R102" i="36"/>
  <c r="R303" i="36"/>
  <c r="R71" i="36"/>
  <c r="R222" i="36"/>
  <c r="R142" i="36"/>
  <c r="R230" i="36"/>
  <c r="R21" i="36"/>
  <c r="R111" i="36"/>
  <c r="R154" i="36"/>
  <c r="R263" i="36"/>
  <c r="R271" i="36"/>
  <c r="R299" i="36"/>
  <c r="R247" i="36"/>
  <c r="R298" i="36"/>
  <c r="R17" i="36"/>
  <c r="R199" i="36"/>
  <c r="R153" i="36"/>
  <c r="R316" i="36"/>
  <c r="R276" i="36"/>
  <c r="R257" i="36"/>
  <c r="R56" i="36"/>
  <c r="R146" i="36"/>
  <c r="R266" i="36"/>
  <c r="R127" i="36"/>
  <c r="R224" i="36"/>
  <c r="R59" i="36"/>
  <c r="R211" i="36"/>
  <c r="R147" i="36"/>
  <c r="R44" i="36"/>
  <c r="O3" i="36" a="1"/>
  <c r="O3" i="36" s="1"/>
  <c r="Q4" i="39" l="1"/>
  <c r="P3" i="39" a="1"/>
  <c r="P3" i="39" s="1"/>
  <c r="Q4" i="38"/>
  <c r="P3" i="38" a="1"/>
  <c r="P3" i="38" s="1"/>
  <c r="R81" i="37"/>
  <c r="R206" i="37"/>
  <c r="R111" i="37"/>
  <c r="R251" i="37"/>
  <c r="R42" i="37"/>
  <c r="R288" i="37"/>
  <c r="R317" i="37"/>
  <c r="R271" i="37"/>
  <c r="R150" i="37"/>
  <c r="R80" i="37"/>
  <c r="R311" i="37"/>
  <c r="R168" i="37"/>
  <c r="R273" i="37"/>
  <c r="R241" i="37"/>
  <c r="R285" i="37"/>
  <c r="R8" i="37"/>
  <c r="R134" i="37"/>
  <c r="R287" i="37"/>
  <c r="R182" i="37"/>
  <c r="R94" i="37"/>
  <c r="R294" i="37"/>
  <c r="R169" i="37"/>
  <c r="R270" i="37"/>
  <c r="R280" i="37"/>
  <c r="R281" i="37"/>
  <c r="R55" i="37"/>
  <c r="R14" i="37"/>
  <c r="R246" i="37"/>
  <c r="R84" i="37"/>
  <c r="R139" i="37"/>
  <c r="R89" i="37"/>
  <c r="R178" i="37"/>
  <c r="R88" i="37"/>
  <c r="R61" i="37"/>
  <c r="R193" i="37"/>
  <c r="R20" i="37"/>
  <c r="R90" i="37"/>
  <c r="R290" i="37"/>
  <c r="R109" i="37"/>
  <c r="R127" i="37"/>
  <c r="R144" i="37"/>
  <c r="R208" i="37"/>
  <c r="R107" i="37"/>
  <c r="R222" i="37"/>
  <c r="R157" i="37"/>
  <c r="R197" i="37"/>
  <c r="R187" i="37"/>
  <c r="R67" i="37"/>
  <c r="R269" i="37"/>
  <c r="R278" i="37"/>
  <c r="R143" i="37"/>
  <c r="R57" i="37"/>
  <c r="R36" i="37"/>
  <c r="R203" i="37"/>
  <c r="R95" i="37"/>
  <c r="R97" i="37"/>
  <c r="R149" i="37"/>
  <c r="R265" i="37"/>
  <c r="R176" i="37"/>
  <c r="R207" i="37"/>
  <c r="R196" i="37"/>
  <c r="R131" i="37"/>
  <c r="R142" i="37"/>
  <c r="R33" i="37"/>
  <c r="R117" i="37"/>
  <c r="R309" i="37"/>
  <c r="R296" i="37"/>
  <c r="R245" i="37"/>
  <c r="R291" i="37"/>
  <c r="R110" i="37"/>
  <c r="R283" i="37"/>
  <c r="R254" i="37"/>
  <c r="R260" i="37"/>
  <c r="R189" i="37"/>
  <c r="R83" i="37"/>
  <c r="R23" i="37"/>
  <c r="R188" i="37"/>
  <c r="R227" i="37"/>
  <c r="R314" i="37"/>
  <c r="R224" i="37"/>
  <c r="R235" i="37"/>
  <c r="R129" i="37"/>
  <c r="R137" i="37"/>
  <c r="R7" i="37"/>
  <c r="R198" i="37"/>
  <c r="R104" i="37"/>
  <c r="R71" i="37"/>
  <c r="R223" i="37"/>
  <c r="R48" i="37"/>
  <c r="R233" i="37"/>
  <c r="R299" i="37"/>
  <c r="R155" i="37"/>
  <c r="R276" i="37"/>
  <c r="R91" i="37"/>
  <c r="R267" i="37"/>
  <c r="R217" i="37"/>
  <c r="R92" i="37"/>
  <c r="R73" i="37"/>
  <c r="R32" i="37"/>
  <c r="R212" i="37"/>
  <c r="R295" i="37"/>
  <c r="R249" i="37"/>
  <c r="R151" i="37"/>
  <c r="R49" i="37"/>
  <c r="R58" i="37"/>
  <c r="R318" i="37"/>
  <c r="R77" i="37"/>
  <c r="R30" i="37"/>
  <c r="R219" i="37"/>
  <c r="R173" i="37"/>
  <c r="R5" i="37"/>
  <c r="R51" i="37"/>
  <c r="R9" i="37"/>
  <c r="R133" i="37"/>
  <c r="R220" i="37"/>
  <c r="R160" i="37"/>
  <c r="R266" i="37"/>
  <c r="R315" i="37"/>
  <c r="R62" i="37"/>
  <c r="R65" i="37"/>
  <c r="R307" i="37"/>
  <c r="R116" i="37"/>
  <c r="R34" i="37"/>
  <c r="R79" i="37"/>
  <c r="R306" i="37"/>
  <c r="R86" i="37"/>
  <c r="R106" i="37"/>
  <c r="R162" i="37"/>
  <c r="R6" i="37"/>
  <c r="R225" i="37"/>
  <c r="R17" i="37"/>
  <c r="R214" i="37"/>
  <c r="R10" i="37"/>
  <c r="R44" i="37"/>
  <c r="R199" i="37"/>
  <c r="R50" i="37"/>
  <c r="R211" i="37"/>
  <c r="R284" i="37"/>
  <c r="R210" i="37"/>
  <c r="R313" i="37"/>
  <c r="R47" i="37"/>
  <c r="R15" i="37"/>
  <c r="R264" i="37"/>
  <c r="R25" i="37"/>
  <c r="R101" i="37"/>
  <c r="R213" i="37"/>
  <c r="R308" i="37"/>
  <c r="R239" i="37"/>
  <c r="R103" i="37"/>
  <c r="R115" i="37"/>
  <c r="R286" i="37"/>
  <c r="R244" i="37"/>
  <c r="R275" i="37"/>
  <c r="R59" i="37"/>
  <c r="R268" i="37"/>
  <c r="R125" i="37"/>
  <c r="R54" i="37"/>
  <c r="R300" i="37"/>
  <c r="R261" i="37"/>
  <c r="R26" i="37"/>
  <c r="R22" i="37"/>
  <c r="R179" i="37"/>
  <c r="R297" i="37"/>
  <c r="R156" i="37"/>
  <c r="R154" i="37"/>
  <c r="R298" i="37"/>
  <c r="R252" i="37"/>
  <c r="R181" i="37"/>
  <c r="R312" i="37"/>
  <c r="R174" i="37"/>
  <c r="R152" i="37"/>
  <c r="R78" i="37"/>
  <c r="R99" i="37"/>
  <c r="R37" i="37"/>
  <c r="R45" i="37"/>
  <c r="R124" i="37"/>
  <c r="R53" i="37"/>
  <c r="R237" i="37"/>
  <c r="R121" i="37"/>
  <c r="R195" i="37"/>
  <c r="R310" i="37"/>
  <c r="R304" i="37"/>
  <c r="R72" i="37"/>
  <c r="R194" i="37"/>
  <c r="R69" i="37"/>
  <c r="R250" i="37"/>
  <c r="R221" i="37"/>
  <c r="R148" i="37"/>
  <c r="R262" i="37"/>
  <c r="R242" i="37"/>
  <c r="R175" i="37"/>
  <c r="R70" i="37"/>
  <c r="R177" i="37"/>
  <c r="R24" i="37"/>
  <c r="R234" i="37"/>
  <c r="R190" i="37"/>
  <c r="R263" i="37"/>
  <c r="R226" i="37"/>
  <c r="R159" i="37"/>
  <c r="R201" i="37"/>
  <c r="R108" i="37"/>
  <c r="R316" i="37"/>
  <c r="R98" i="37"/>
  <c r="R123" i="37"/>
  <c r="R185" i="37"/>
  <c r="R289" i="37"/>
  <c r="R146" i="37"/>
  <c r="R305" i="37"/>
  <c r="R114" i="37"/>
  <c r="R274" i="37"/>
  <c r="R35" i="37"/>
  <c r="R38" i="37"/>
  <c r="R18" i="37"/>
  <c r="R85" i="37"/>
  <c r="R75" i="37"/>
  <c r="R218" i="37"/>
  <c r="R153" i="37"/>
  <c r="R74" i="37"/>
  <c r="R161" i="37"/>
  <c r="R19" i="37"/>
  <c r="R128" i="37"/>
  <c r="R163" i="37"/>
  <c r="R166" i="37"/>
  <c r="R13" i="37"/>
  <c r="R202" i="37"/>
  <c r="R130" i="37"/>
  <c r="R165" i="37"/>
  <c r="R16" i="37"/>
  <c r="R256" i="37"/>
  <c r="R230" i="37"/>
  <c r="R192" i="37"/>
  <c r="R122" i="37"/>
  <c r="R209" i="37"/>
  <c r="R147" i="37"/>
  <c r="R303" i="37"/>
  <c r="R238" i="37"/>
  <c r="R145" i="37"/>
  <c r="R231" i="37"/>
  <c r="R204" i="37"/>
  <c r="R272" i="37"/>
  <c r="R43" i="37"/>
  <c r="R136" i="37"/>
  <c r="R259" i="37"/>
  <c r="R191" i="37"/>
  <c r="R180" i="37"/>
  <c r="R119" i="37"/>
  <c r="R126" i="37"/>
  <c r="R76" i="37"/>
  <c r="R28" i="37"/>
  <c r="R184" i="37"/>
  <c r="R11" i="37"/>
  <c r="R29" i="37"/>
  <c r="R186" i="37"/>
  <c r="R167" i="37"/>
  <c r="R12" i="37"/>
  <c r="R105" i="37"/>
  <c r="R248" i="37"/>
  <c r="R68" i="37"/>
  <c r="R216" i="37"/>
  <c r="R171" i="37"/>
  <c r="R228" i="37"/>
  <c r="R39" i="37"/>
  <c r="R302" i="37"/>
  <c r="R247" i="37"/>
  <c r="R113" i="37"/>
  <c r="R200" i="37"/>
  <c r="R253" i="37"/>
  <c r="R31" i="37"/>
  <c r="R118" i="37"/>
  <c r="R279" i="37"/>
  <c r="R93" i="37"/>
  <c r="R120" i="37"/>
  <c r="R112" i="37"/>
  <c r="R56" i="37"/>
  <c r="R164" i="37"/>
  <c r="R40" i="37"/>
  <c r="R292" i="37"/>
  <c r="R158" i="37"/>
  <c r="R232" i="37"/>
  <c r="R236" i="37"/>
  <c r="R183" i="37"/>
  <c r="R46" i="37"/>
  <c r="Q4" i="37"/>
  <c r="P3" i="37" a="1"/>
  <c r="P3" i="37" s="1"/>
  <c r="R21" i="37"/>
  <c r="R100" i="37"/>
  <c r="R255" i="37"/>
  <c r="R64" i="37"/>
  <c r="R132" i="37"/>
  <c r="R277" i="37"/>
  <c r="R27" i="37"/>
  <c r="R282" i="37"/>
  <c r="R52" i="37"/>
  <c r="R138" i="37"/>
  <c r="R293" i="37"/>
  <c r="R229" i="37"/>
  <c r="R172" i="37"/>
  <c r="R96" i="37"/>
  <c r="R41" i="37"/>
  <c r="R257" i="37"/>
  <c r="R170" i="37"/>
  <c r="R215" i="37"/>
  <c r="R258" i="37"/>
  <c r="R301" i="37"/>
  <c r="R87" i="37"/>
  <c r="R135" i="37"/>
  <c r="R63" i="37"/>
  <c r="R82" i="37"/>
  <c r="R140" i="37"/>
  <c r="R240" i="37"/>
  <c r="R66" i="37"/>
  <c r="R102" i="37"/>
  <c r="R243" i="37"/>
  <c r="R205" i="37"/>
  <c r="R141" i="37"/>
  <c r="R60" i="37"/>
  <c r="O3" i="37" a="1"/>
  <c r="O3" i="37" s="1"/>
  <c r="Q3" i="36" a="1"/>
  <c r="Q3" i="36" s="1"/>
  <c r="R4" i="36"/>
  <c r="Q3" i="39" l="1" a="1"/>
  <c r="Q3" i="39" s="1"/>
  <c r="R4" i="39"/>
  <c r="Q3" i="38" a="1"/>
  <c r="Q3" i="38" s="1"/>
  <c r="R4" i="38"/>
  <c r="Q3" i="37" a="1"/>
  <c r="Q3" i="37" s="1"/>
  <c r="R4" i="37"/>
  <c r="R3" i="36" a="1"/>
  <c r="R3" i="36" s="1"/>
  <c r="S4" i="36" l="1"/>
  <c r="T4" i="36" s="1"/>
  <c r="S319" i="36"/>
  <c r="T319" i="36" s="1"/>
  <c r="U319" i="36" s="1"/>
  <c r="S320" i="36"/>
  <c r="T320" i="36" s="1"/>
  <c r="U320" i="36" s="1"/>
  <c r="R3" i="39" a="1"/>
  <c r="R3" i="39" s="1"/>
  <c r="R3" i="38" a="1"/>
  <c r="R3" i="38" s="1"/>
  <c r="R3" i="37" a="1"/>
  <c r="R3" i="37" s="1"/>
  <c r="S276" i="36"/>
  <c r="T276" i="36" s="1"/>
  <c r="U276" i="36" s="1"/>
  <c r="S77" i="36"/>
  <c r="T77" i="36" s="1"/>
  <c r="U77" i="36" s="1"/>
  <c r="S5" i="36"/>
  <c r="T5" i="36" s="1"/>
  <c r="U5" i="36" s="1"/>
  <c r="S266" i="36"/>
  <c r="T266" i="36" s="1"/>
  <c r="U266" i="36" s="1"/>
  <c r="S170" i="36"/>
  <c r="T170" i="36" s="1"/>
  <c r="U170" i="36" s="1"/>
  <c r="S114" i="36"/>
  <c r="T114" i="36" s="1"/>
  <c r="U114" i="36" s="1"/>
  <c r="S153" i="36"/>
  <c r="T153" i="36" s="1"/>
  <c r="U153" i="36" s="1"/>
  <c r="S109" i="36"/>
  <c r="T109" i="36" s="1"/>
  <c r="U109" i="36" s="1"/>
  <c r="S174" i="36"/>
  <c r="T174" i="36" s="1"/>
  <c r="U174" i="36" s="1"/>
  <c r="S96" i="36"/>
  <c r="T96" i="36" s="1"/>
  <c r="U96" i="36" s="1"/>
  <c r="S281" i="36"/>
  <c r="T281" i="36" s="1"/>
  <c r="U281" i="36" s="1"/>
  <c r="S95" i="36"/>
  <c r="T95" i="36" s="1"/>
  <c r="U95" i="36" s="1"/>
  <c r="S139" i="36"/>
  <c r="T139" i="36" s="1"/>
  <c r="U139" i="36" s="1"/>
  <c r="S240" i="36"/>
  <c r="T240" i="36" s="1"/>
  <c r="U240" i="36" s="1"/>
  <c r="S97" i="36"/>
  <c r="T97" i="36" s="1"/>
  <c r="U97" i="36" s="1"/>
  <c r="S59" i="36"/>
  <c r="T59" i="36" s="1"/>
  <c r="U59" i="36" s="1"/>
  <c r="S108" i="36"/>
  <c r="T108" i="36" s="1"/>
  <c r="U108" i="36" s="1"/>
  <c r="S86" i="36"/>
  <c r="T86" i="36" s="1"/>
  <c r="U86" i="36" s="1"/>
  <c r="S36" i="36"/>
  <c r="T36" i="36" s="1"/>
  <c r="U36" i="36" s="1"/>
  <c r="S243" i="36"/>
  <c r="T243" i="36" s="1"/>
  <c r="U243" i="36" s="1"/>
  <c r="S26" i="36"/>
  <c r="T26" i="36" s="1"/>
  <c r="U26" i="36" s="1"/>
  <c r="S262" i="36"/>
  <c r="T262" i="36" s="1"/>
  <c r="U262" i="36" s="1"/>
  <c r="S167" i="36"/>
  <c r="T167" i="36" s="1"/>
  <c r="U167" i="36" s="1"/>
  <c r="S284" i="36"/>
  <c r="T284" i="36" s="1"/>
  <c r="U284" i="36" s="1"/>
  <c r="S250" i="36"/>
  <c r="T250" i="36" s="1"/>
  <c r="U250" i="36" s="1"/>
  <c r="S21" i="36"/>
  <c r="T21" i="36" s="1"/>
  <c r="U21" i="36" s="1"/>
  <c r="S189" i="36"/>
  <c r="T189" i="36" s="1"/>
  <c r="U189" i="36" s="1"/>
  <c r="S82" i="36"/>
  <c r="T82" i="36" s="1"/>
  <c r="U82" i="36" s="1"/>
  <c r="S154" i="36"/>
  <c r="T154" i="36" s="1"/>
  <c r="U154" i="36" s="1"/>
  <c r="S58" i="36"/>
  <c r="T58" i="36" s="1"/>
  <c r="U58" i="36" s="1"/>
  <c r="S274" i="36"/>
  <c r="T274" i="36" s="1"/>
  <c r="U274" i="36" s="1"/>
  <c r="S142" i="36"/>
  <c r="T142" i="36" s="1"/>
  <c r="U142" i="36" s="1"/>
  <c r="S309" i="36"/>
  <c r="T309" i="36" s="1"/>
  <c r="U309" i="36" s="1"/>
  <c r="S304" i="36"/>
  <c r="T304" i="36" s="1"/>
  <c r="U304" i="36" s="1"/>
  <c r="S152" i="36"/>
  <c r="T152" i="36" s="1"/>
  <c r="U152" i="36" s="1"/>
  <c r="S318" i="36"/>
  <c r="T318" i="36" s="1"/>
  <c r="U318" i="36" s="1"/>
  <c r="S124" i="36"/>
  <c r="T124" i="36" s="1"/>
  <c r="U124" i="36" s="1"/>
  <c r="S147" i="36"/>
  <c r="T147" i="36" s="1"/>
  <c r="U147" i="36" s="1"/>
  <c r="S242" i="36"/>
  <c r="T242" i="36" s="1"/>
  <c r="U242" i="36" s="1"/>
  <c r="S73" i="36"/>
  <c r="T73" i="36" s="1"/>
  <c r="U73" i="36" s="1"/>
  <c r="S199" i="36"/>
  <c r="T199" i="36" s="1"/>
  <c r="U199" i="36" s="1"/>
  <c r="S64" i="36"/>
  <c r="T64" i="36" s="1"/>
  <c r="U64" i="36" s="1"/>
  <c r="S212" i="36"/>
  <c r="T212" i="36" s="1"/>
  <c r="U212" i="36" s="1"/>
  <c r="S159" i="36"/>
  <c r="T159" i="36" s="1"/>
  <c r="U159" i="36" s="1"/>
  <c r="S214" i="36"/>
  <c r="T214" i="36" s="1"/>
  <c r="U214" i="36" s="1"/>
  <c r="S117" i="36"/>
  <c r="T117" i="36" s="1"/>
  <c r="U117" i="36" s="1"/>
  <c r="S146" i="36"/>
  <c r="T146" i="36" s="1"/>
  <c r="U146" i="36" s="1"/>
  <c r="S8" i="36"/>
  <c r="T8" i="36" s="1"/>
  <c r="U8" i="36" s="1"/>
  <c r="S292" i="36"/>
  <c r="T292" i="36" s="1"/>
  <c r="U292" i="36" s="1"/>
  <c r="S157" i="36"/>
  <c r="T157" i="36" s="1"/>
  <c r="U157" i="36" s="1"/>
  <c r="S264" i="36"/>
  <c r="T264" i="36" s="1"/>
  <c r="U264" i="36" s="1"/>
  <c r="S290" i="36"/>
  <c r="T290" i="36" s="1"/>
  <c r="U290" i="36" s="1"/>
  <c r="S308" i="36"/>
  <c r="T308" i="36" s="1"/>
  <c r="U308" i="36" s="1"/>
  <c r="S265" i="36"/>
  <c r="T265" i="36" s="1"/>
  <c r="U265" i="36" s="1"/>
  <c r="S180" i="36"/>
  <c r="T180" i="36" s="1"/>
  <c r="U180" i="36" s="1"/>
  <c r="S130" i="36"/>
  <c r="T130" i="36" s="1"/>
  <c r="U130" i="36" s="1"/>
  <c r="S202" i="36"/>
  <c r="T202" i="36" s="1"/>
  <c r="U202" i="36" s="1"/>
  <c r="S260" i="36"/>
  <c r="T260" i="36" s="1"/>
  <c r="U260" i="36" s="1"/>
  <c r="S149" i="36"/>
  <c r="T149" i="36" s="1"/>
  <c r="U149" i="36" s="1"/>
  <c r="S282" i="36"/>
  <c r="T282" i="36" s="1"/>
  <c r="U282" i="36" s="1"/>
  <c r="S19" i="36"/>
  <c r="T19" i="36" s="1"/>
  <c r="U19" i="36" s="1"/>
  <c r="S185" i="36"/>
  <c r="T185" i="36" s="1"/>
  <c r="U185" i="36" s="1"/>
  <c r="S173" i="36"/>
  <c r="T173" i="36" s="1"/>
  <c r="U173" i="36" s="1"/>
  <c r="S190" i="36"/>
  <c r="T190" i="36" s="1"/>
  <c r="U190" i="36" s="1"/>
  <c r="S16" i="36"/>
  <c r="T16" i="36" s="1"/>
  <c r="U16" i="36" s="1"/>
  <c r="S216" i="36"/>
  <c r="T216" i="36" s="1"/>
  <c r="U216" i="36" s="1"/>
  <c r="S57" i="36"/>
  <c r="T57" i="36" s="1"/>
  <c r="U57" i="36" s="1"/>
  <c r="S186" i="36"/>
  <c r="T186" i="36" s="1"/>
  <c r="U186" i="36" s="1"/>
  <c r="S135" i="36"/>
  <c r="T135" i="36" s="1"/>
  <c r="U135" i="36" s="1"/>
  <c r="S136" i="36"/>
  <c r="T136" i="36" s="1"/>
  <c r="U136" i="36" s="1"/>
  <c r="S128" i="36"/>
  <c r="T128" i="36" s="1"/>
  <c r="U128" i="36" s="1"/>
  <c r="S102" i="36"/>
  <c r="T102" i="36" s="1"/>
  <c r="U102" i="36" s="1"/>
  <c r="S226" i="36"/>
  <c r="T226" i="36" s="1"/>
  <c r="U226" i="36" s="1"/>
  <c r="S113" i="36"/>
  <c r="T113" i="36" s="1"/>
  <c r="U113" i="36" s="1"/>
  <c r="S47" i="36"/>
  <c r="T47" i="36" s="1"/>
  <c r="U47" i="36" s="1"/>
  <c r="S110" i="36"/>
  <c r="T110" i="36" s="1"/>
  <c r="U110" i="36" s="1"/>
  <c r="S119" i="36"/>
  <c r="T119" i="36" s="1"/>
  <c r="U119" i="36" s="1"/>
  <c r="S224" i="36"/>
  <c r="T224" i="36" s="1"/>
  <c r="U224" i="36" s="1"/>
  <c r="S194" i="36"/>
  <c r="T194" i="36" s="1"/>
  <c r="U194" i="36" s="1"/>
  <c r="S120" i="36"/>
  <c r="T120" i="36" s="1"/>
  <c r="U120" i="36" s="1"/>
  <c r="S222" i="36"/>
  <c r="T222" i="36" s="1"/>
  <c r="U222" i="36" s="1"/>
  <c r="S296" i="36"/>
  <c r="T296" i="36" s="1"/>
  <c r="U296" i="36" s="1"/>
  <c r="S23" i="36"/>
  <c r="T23" i="36" s="1"/>
  <c r="U23" i="36" s="1"/>
  <c r="S299" i="36"/>
  <c r="T299" i="36" s="1"/>
  <c r="U299" i="36" s="1"/>
  <c r="S123" i="36"/>
  <c r="T123" i="36" s="1"/>
  <c r="U123" i="36" s="1"/>
  <c r="S251" i="36"/>
  <c r="T251" i="36" s="1"/>
  <c r="U251" i="36" s="1"/>
  <c r="S76" i="36"/>
  <c r="T76" i="36" s="1"/>
  <c r="U76" i="36" s="1"/>
  <c r="S275" i="36"/>
  <c r="T275" i="36" s="1"/>
  <c r="U275" i="36" s="1"/>
  <c r="S107" i="36"/>
  <c r="T107" i="36" s="1"/>
  <c r="U107" i="36" s="1"/>
  <c r="S257" i="36"/>
  <c r="T257" i="36" s="1"/>
  <c r="U257" i="36" s="1"/>
  <c r="S22" i="36"/>
  <c r="T22" i="36" s="1"/>
  <c r="U22" i="36" s="1"/>
  <c r="S314" i="36"/>
  <c r="T314" i="36" s="1"/>
  <c r="U314" i="36" s="1"/>
  <c r="S306" i="36"/>
  <c r="T306" i="36" s="1"/>
  <c r="U306" i="36" s="1"/>
  <c r="S10" i="36"/>
  <c r="T10" i="36" s="1"/>
  <c r="U10" i="36" s="1"/>
  <c r="S302" i="36"/>
  <c r="T302" i="36" s="1"/>
  <c r="U302" i="36" s="1"/>
  <c r="S106" i="36"/>
  <c r="T106" i="36" s="1"/>
  <c r="U106" i="36" s="1"/>
  <c r="S203" i="36"/>
  <c r="T203" i="36" s="1"/>
  <c r="U203" i="36" s="1"/>
  <c r="S140" i="36"/>
  <c r="T140" i="36" s="1"/>
  <c r="U140" i="36" s="1"/>
  <c r="S221" i="36"/>
  <c r="T221" i="36" s="1"/>
  <c r="U221" i="36" s="1"/>
  <c r="S162" i="36"/>
  <c r="T162" i="36" s="1"/>
  <c r="U162" i="36" s="1"/>
  <c r="S171" i="36"/>
  <c r="T171" i="36" s="1"/>
  <c r="U171" i="36" s="1"/>
  <c r="S236" i="36"/>
  <c r="T236" i="36" s="1"/>
  <c r="U236" i="36" s="1"/>
  <c r="S143" i="36"/>
  <c r="T143" i="36" s="1"/>
  <c r="U143" i="36" s="1"/>
  <c r="S277" i="36"/>
  <c r="T277" i="36" s="1"/>
  <c r="U277" i="36" s="1"/>
  <c r="S158" i="36"/>
  <c r="T158" i="36" s="1"/>
  <c r="U158" i="36" s="1"/>
  <c r="S227" i="36"/>
  <c r="T227" i="36" s="1"/>
  <c r="U227" i="36" s="1"/>
  <c r="S218" i="36"/>
  <c r="T218" i="36" s="1"/>
  <c r="U218" i="36" s="1"/>
  <c r="S267" i="36"/>
  <c r="T267" i="36" s="1"/>
  <c r="U267" i="36" s="1"/>
  <c r="S247" i="36"/>
  <c r="T247" i="36" s="1"/>
  <c r="U247" i="36" s="1"/>
  <c r="S18" i="36"/>
  <c r="T18" i="36" s="1"/>
  <c r="U18" i="36" s="1"/>
  <c r="S41" i="36"/>
  <c r="T41" i="36" s="1"/>
  <c r="U41" i="36" s="1"/>
  <c r="S286" i="36"/>
  <c r="T286" i="36" s="1"/>
  <c r="U286" i="36" s="1"/>
  <c r="S298" i="36"/>
  <c r="T298" i="36" s="1"/>
  <c r="U298" i="36" s="1"/>
  <c r="S74" i="36"/>
  <c r="T74" i="36" s="1"/>
  <c r="U74" i="36" s="1"/>
  <c r="S25" i="36"/>
  <c r="T25" i="36" s="1"/>
  <c r="U25" i="36" s="1"/>
  <c r="S52" i="36"/>
  <c r="T52" i="36" s="1"/>
  <c r="U52" i="36" s="1"/>
  <c r="S273" i="36"/>
  <c r="T273" i="36" s="1"/>
  <c r="U273" i="36" s="1"/>
  <c r="S68" i="36"/>
  <c r="T68" i="36" s="1"/>
  <c r="U68" i="36" s="1"/>
  <c r="S305" i="36"/>
  <c r="T305" i="36" s="1"/>
  <c r="U305" i="36" s="1"/>
  <c r="S33" i="36"/>
  <c r="T33" i="36" s="1"/>
  <c r="U33" i="36" s="1"/>
  <c r="S228" i="36"/>
  <c r="T228" i="36" s="1"/>
  <c r="U228" i="36" s="1"/>
  <c r="S27" i="36"/>
  <c r="T27" i="36" s="1"/>
  <c r="U27" i="36" s="1"/>
  <c r="S181" i="36"/>
  <c r="T181" i="36" s="1"/>
  <c r="U181" i="36" s="1"/>
  <c r="S145" i="36"/>
  <c r="T145" i="36" s="1"/>
  <c r="U145" i="36" s="1"/>
  <c r="S29" i="36"/>
  <c r="T29" i="36" s="1"/>
  <c r="U29" i="36" s="1"/>
  <c r="S191" i="36"/>
  <c r="T191" i="36" s="1"/>
  <c r="U191" i="36" s="1"/>
  <c r="S307" i="36"/>
  <c r="T307" i="36" s="1"/>
  <c r="U307" i="36" s="1"/>
  <c r="S213" i="36"/>
  <c r="T213" i="36" s="1"/>
  <c r="U213" i="36" s="1"/>
  <c r="S217" i="36"/>
  <c r="T217" i="36" s="1"/>
  <c r="U217" i="36" s="1"/>
  <c r="S24" i="36"/>
  <c r="T24" i="36" s="1"/>
  <c r="U24" i="36" s="1"/>
  <c r="S176" i="36"/>
  <c r="T176" i="36" s="1"/>
  <c r="U176" i="36" s="1"/>
  <c r="S15" i="36"/>
  <c r="T15" i="36" s="1"/>
  <c r="U15" i="36" s="1"/>
  <c r="S246" i="36"/>
  <c r="T246" i="36" s="1"/>
  <c r="U246" i="36" s="1"/>
  <c r="S155" i="36"/>
  <c r="T155" i="36" s="1"/>
  <c r="U155" i="36" s="1"/>
  <c r="S160" i="36"/>
  <c r="T160" i="36" s="1"/>
  <c r="U160" i="36" s="1"/>
  <c r="S197" i="36"/>
  <c r="T197" i="36" s="1"/>
  <c r="U197" i="36" s="1"/>
  <c r="S83" i="36"/>
  <c r="T83" i="36" s="1"/>
  <c r="U83" i="36" s="1"/>
  <c r="S100" i="36"/>
  <c r="T100" i="36" s="1"/>
  <c r="U100" i="36" s="1"/>
  <c r="S179" i="36"/>
  <c r="T179" i="36" s="1"/>
  <c r="U179" i="36" s="1"/>
  <c r="S70" i="36"/>
  <c r="T70" i="36" s="1"/>
  <c r="U70" i="36" s="1"/>
  <c r="S210" i="36"/>
  <c r="T210" i="36" s="1"/>
  <c r="U210" i="36" s="1"/>
  <c r="S178" i="36"/>
  <c r="T178" i="36" s="1"/>
  <c r="U178" i="36" s="1"/>
  <c r="S166" i="36"/>
  <c r="T166" i="36" s="1"/>
  <c r="U166" i="36" s="1"/>
  <c r="S313" i="36"/>
  <c r="T313" i="36" s="1"/>
  <c r="U313" i="36" s="1"/>
  <c r="S165" i="36"/>
  <c r="T165" i="36" s="1"/>
  <c r="U165" i="36" s="1"/>
  <c r="S310" i="36"/>
  <c r="T310" i="36" s="1"/>
  <c r="U310" i="36" s="1"/>
  <c r="S116" i="36"/>
  <c r="T116" i="36" s="1"/>
  <c r="U116" i="36" s="1"/>
  <c r="S72" i="36"/>
  <c r="T72" i="36" s="1"/>
  <c r="U72" i="36" s="1"/>
  <c r="S248" i="36"/>
  <c r="T248" i="36" s="1"/>
  <c r="U248" i="36" s="1"/>
  <c r="S234" i="36"/>
  <c r="T234" i="36" s="1"/>
  <c r="U234" i="36" s="1"/>
  <c r="S43" i="36"/>
  <c r="T43" i="36" s="1"/>
  <c r="U43" i="36" s="1"/>
  <c r="S131" i="36"/>
  <c r="T131" i="36" s="1"/>
  <c r="U131" i="36" s="1"/>
  <c r="S17" i="36"/>
  <c r="T17" i="36" s="1"/>
  <c r="U17" i="36" s="1"/>
  <c r="S30" i="36"/>
  <c r="T30" i="36" s="1"/>
  <c r="U30" i="36" s="1"/>
  <c r="S301" i="36"/>
  <c r="T301" i="36" s="1"/>
  <c r="U301" i="36" s="1"/>
  <c r="S303" i="36"/>
  <c r="T303" i="36" s="1"/>
  <c r="U303" i="36" s="1"/>
  <c r="S40" i="36"/>
  <c r="T40" i="36" s="1"/>
  <c r="U40" i="36" s="1"/>
  <c r="S39" i="36"/>
  <c r="T39" i="36" s="1"/>
  <c r="U39" i="36" s="1"/>
  <c r="S255" i="36"/>
  <c r="T255" i="36" s="1"/>
  <c r="U255" i="36" s="1"/>
  <c r="S133" i="36"/>
  <c r="T133" i="36" s="1"/>
  <c r="U133" i="36" s="1"/>
  <c r="S269" i="36"/>
  <c r="T269" i="36" s="1"/>
  <c r="U269" i="36" s="1"/>
  <c r="S225" i="36"/>
  <c r="T225" i="36" s="1"/>
  <c r="U225" i="36" s="1"/>
  <c r="S14" i="36"/>
  <c r="T14" i="36" s="1"/>
  <c r="U14" i="36" s="1"/>
  <c r="S55" i="36"/>
  <c r="T55" i="36" s="1"/>
  <c r="U55" i="36" s="1"/>
  <c r="S316" i="36"/>
  <c r="T316" i="36" s="1"/>
  <c r="U316" i="36" s="1"/>
  <c r="S300" i="36"/>
  <c r="T300" i="36" s="1"/>
  <c r="U300" i="36" s="1"/>
  <c r="S206" i="36"/>
  <c r="T206" i="36" s="1"/>
  <c r="U206" i="36" s="1"/>
  <c r="S78" i="36"/>
  <c r="T78" i="36" s="1"/>
  <c r="U78" i="36" s="1"/>
  <c r="S134" i="36"/>
  <c r="T134" i="36" s="1"/>
  <c r="U134" i="36" s="1"/>
  <c r="S12" i="36"/>
  <c r="T12" i="36" s="1"/>
  <c r="U12" i="36" s="1"/>
  <c r="S291" i="36"/>
  <c r="T291" i="36" s="1"/>
  <c r="U291" i="36" s="1"/>
  <c r="S62" i="36"/>
  <c r="T62" i="36" s="1"/>
  <c r="U62" i="36" s="1"/>
  <c r="S148" i="36"/>
  <c r="T148" i="36" s="1"/>
  <c r="U148" i="36" s="1"/>
  <c r="S101" i="36"/>
  <c r="T101" i="36" s="1"/>
  <c r="U101" i="36" s="1"/>
  <c r="S201" i="36"/>
  <c r="T201" i="36" s="1"/>
  <c r="U201" i="36" s="1"/>
  <c r="S38" i="36"/>
  <c r="T38" i="36" s="1"/>
  <c r="U38" i="36" s="1"/>
  <c r="S169" i="36"/>
  <c r="T169" i="36" s="1"/>
  <c r="U169" i="36" s="1"/>
  <c r="S13" i="36"/>
  <c r="T13" i="36" s="1"/>
  <c r="U13" i="36" s="1"/>
  <c r="S129" i="36"/>
  <c r="T129" i="36" s="1"/>
  <c r="U129" i="36" s="1"/>
  <c r="S182" i="36"/>
  <c r="T182" i="36" s="1"/>
  <c r="U182" i="36" s="1"/>
  <c r="S112" i="36"/>
  <c r="T112" i="36" s="1"/>
  <c r="U112" i="36" s="1"/>
  <c r="S118" i="36"/>
  <c r="T118" i="36" s="1"/>
  <c r="U118" i="36" s="1"/>
  <c r="S204" i="36"/>
  <c r="T204" i="36" s="1"/>
  <c r="U204" i="36" s="1"/>
  <c r="S126" i="36"/>
  <c r="T126" i="36" s="1"/>
  <c r="U126" i="36" s="1"/>
  <c r="S46" i="36"/>
  <c r="T46" i="36" s="1"/>
  <c r="U46" i="36" s="1"/>
  <c r="S122" i="36"/>
  <c r="T122" i="36" s="1"/>
  <c r="U122" i="36" s="1"/>
  <c r="S278" i="36"/>
  <c r="T278" i="36" s="1"/>
  <c r="U278" i="36" s="1"/>
  <c r="S6" i="36"/>
  <c r="T6" i="36" s="1"/>
  <c r="U6" i="36" s="1"/>
  <c r="S184" i="36"/>
  <c r="T184" i="36" s="1"/>
  <c r="U184" i="36" s="1"/>
  <c r="S9" i="36"/>
  <c r="T9" i="36" s="1"/>
  <c r="U9" i="36" s="1"/>
  <c r="S200" i="36"/>
  <c r="T200" i="36" s="1"/>
  <c r="U200" i="36" s="1"/>
  <c r="S268" i="36"/>
  <c r="T268" i="36" s="1"/>
  <c r="U268" i="36" s="1"/>
  <c r="S94" i="36"/>
  <c r="T94" i="36" s="1"/>
  <c r="U94" i="36" s="1"/>
  <c r="S172" i="36"/>
  <c r="T172" i="36" s="1"/>
  <c r="U172" i="36" s="1"/>
  <c r="S259" i="36"/>
  <c r="T259" i="36" s="1"/>
  <c r="U259" i="36" s="1"/>
  <c r="S7" i="36"/>
  <c r="T7" i="36" s="1"/>
  <c r="U7" i="36" s="1"/>
  <c r="S205" i="36"/>
  <c r="T205" i="36" s="1"/>
  <c r="U205" i="36" s="1"/>
  <c r="S61" i="36"/>
  <c r="T61" i="36" s="1"/>
  <c r="U61" i="36" s="1"/>
  <c r="S125" i="36"/>
  <c r="T125" i="36" s="1"/>
  <c r="U125" i="36" s="1"/>
  <c r="S87" i="36"/>
  <c r="T87" i="36" s="1"/>
  <c r="U87" i="36" s="1"/>
  <c r="S50" i="36"/>
  <c r="T50" i="36" s="1"/>
  <c r="U50" i="36" s="1"/>
  <c r="S192" i="36"/>
  <c r="T192" i="36" s="1"/>
  <c r="U192" i="36" s="1"/>
  <c r="S249" i="36"/>
  <c r="T249" i="36" s="1"/>
  <c r="U249" i="36" s="1"/>
  <c r="S294" i="36"/>
  <c r="T294" i="36" s="1"/>
  <c r="U294" i="36" s="1"/>
  <c r="S280" i="36"/>
  <c r="T280" i="36" s="1"/>
  <c r="U280" i="36" s="1"/>
  <c r="S207" i="36"/>
  <c r="T207" i="36" s="1"/>
  <c r="U207" i="36" s="1"/>
  <c r="S137" i="36"/>
  <c r="T137" i="36" s="1"/>
  <c r="U137" i="36" s="1"/>
  <c r="S11" i="36"/>
  <c r="T11" i="36" s="1"/>
  <c r="U11" i="36" s="1"/>
  <c r="S271" i="36"/>
  <c r="T271" i="36" s="1"/>
  <c r="U271" i="36" s="1"/>
  <c r="S270" i="36"/>
  <c r="T270" i="36" s="1"/>
  <c r="U270" i="36" s="1"/>
  <c r="S85" i="36"/>
  <c r="T85" i="36" s="1"/>
  <c r="U85" i="36" s="1"/>
  <c r="S297" i="36"/>
  <c r="T297" i="36" s="1"/>
  <c r="U297" i="36" s="1"/>
  <c r="S175" i="36"/>
  <c r="T175" i="36" s="1"/>
  <c r="U175" i="36" s="1"/>
  <c r="S115" i="36"/>
  <c r="T115" i="36" s="1"/>
  <c r="U115" i="36" s="1"/>
  <c r="S92" i="36"/>
  <c r="T92" i="36" s="1"/>
  <c r="U92" i="36" s="1"/>
  <c r="S177" i="36"/>
  <c r="T177" i="36" s="1"/>
  <c r="U177" i="36" s="1"/>
  <c r="S161" i="36"/>
  <c r="T161" i="36" s="1"/>
  <c r="U161" i="36" s="1"/>
  <c r="S32" i="36"/>
  <c r="T32" i="36" s="1"/>
  <c r="U32" i="36" s="1"/>
  <c r="S237" i="36"/>
  <c r="T237" i="36" s="1"/>
  <c r="U237" i="36" s="1"/>
  <c r="S67" i="36"/>
  <c r="T67" i="36" s="1"/>
  <c r="U67" i="36" s="1"/>
  <c r="S263" i="36"/>
  <c r="T263" i="36" s="1"/>
  <c r="U263" i="36" s="1"/>
  <c r="S188" i="36"/>
  <c r="T188" i="36" s="1"/>
  <c r="U188" i="36" s="1"/>
  <c r="S53" i="36"/>
  <c r="T53" i="36" s="1"/>
  <c r="U53" i="36" s="1"/>
  <c r="S80" i="36"/>
  <c r="T80" i="36" s="1"/>
  <c r="U80" i="36" s="1"/>
  <c r="S241" i="36"/>
  <c r="T241" i="36" s="1"/>
  <c r="U241" i="36" s="1"/>
  <c r="S60" i="36"/>
  <c r="T60" i="36" s="1"/>
  <c r="U60" i="36" s="1"/>
  <c r="S183" i="36"/>
  <c r="T183" i="36" s="1"/>
  <c r="U183" i="36" s="1"/>
  <c r="S215" i="36"/>
  <c r="T215" i="36" s="1"/>
  <c r="U215" i="36" s="1"/>
  <c r="S187" i="36"/>
  <c r="T187" i="36" s="1"/>
  <c r="U187" i="36" s="1"/>
  <c r="S44" i="36"/>
  <c r="T44" i="36" s="1"/>
  <c r="U44" i="36" s="1"/>
  <c r="S90" i="36"/>
  <c r="T90" i="36" s="1"/>
  <c r="U90" i="36" s="1"/>
  <c r="S31" i="36"/>
  <c r="T31" i="36" s="1"/>
  <c r="U31" i="36" s="1"/>
  <c r="S103" i="36"/>
  <c r="T103" i="36" s="1"/>
  <c r="U103" i="36" s="1"/>
  <c r="S49" i="36"/>
  <c r="T49" i="36" s="1"/>
  <c r="U49" i="36" s="1"/>
  <c r="S239" i="36"/>
  <c r="T239" i="36" s="1"/>
  <c r="U239" i="36" s="1"/>
  <c r="S229" i="36"/>
  <c r="T229" i="36" s="1"/>
  <c r="U229" i="36" s="1"/>
  <c r="S71" i="36"/>
  <c r="T71" i="36" s="1"/>
  <c r="U71" i="36" s="1"/>
  <c r="S315" i="36"/>
  <c r="T315" i="36" s="1"/>
  <c r="U315" i="36" s="1"/>
  <c r="S48" i="36"/>
  <c r="T48" i="36" s="1"/>
  <c r="U48" i="36" s="1"/>
  <c r="S283" i="36"/>
  <c r="T283" i="36" s="1"/>
  <c r="U283" i="36" s="1"/>
  <c r="S232" i="36"/>
  <c r="T232" i="36" s="1"/>
  <c r="U232" i="36" s="1"/>
  <c r="S28" i="36"/>
  <c r="T28" i="36" s="1"/>
  <c r="U28" i="36" s="1"/>
  <c r="S293" i="36"/>
  <c r="T293" i="36" s="1"/>
  <c r="U293" i="36" s="1"/>
  <c r="S99" i="36"/>
  <c r="T99" i="36" s="1"/>
  <c r="U99" i="36" s="1"/>
  <c r="S65" i="36"/>
  <c r="T65" i="36" s="1"/>
  <c r="U65" i="36" s="1"/>
  <c r="S289" i="36"/>
  <c r="T289" i="36" s="1"/>
  <c r="U289" i="36" s="1"/>
  <c r="S89" i="36"/>
  <c r="T89" i="36" s="1"/>
  <c r="U89" i="36" s="1"/>
  <c r="S230" i="36"/>
  <c r="T230" i="36" s="1"/>
  <c r="U230" i="36" s="1"/>
  <c r="S121" i="36"/>
  <c r="T121" i="36" s="1"/>
  <c r="U121" i="36" s="1"/>
  <c r="S258" i="36"/>
  <c r="T258" i="36" s="1"/>
  <c r="U258" i="36" s="1"/>
  <c r="S81" i="36"/>
  <c r="T81" i="36" s="1"/>
  <c r="U81" i="36" s="1"/>
  <c r="S231" i="36"/>
  <c r="T231" i="36" s="1"/>
  <c r="U231" i="36" s="1"/>
  <c r="S34" i="36"/>
  <c r="T34" i="36" s="1"/>
  <c r="U34" i="36" s="1"/>
  <c r="S256" i="36"/>
  <c r="T256" i="36" s="1"/>
  <c r="U256" i="36" s="1"/>
  <c r="S196" i="36"/>
  <c r="T196" i="36" s="1"/>
  <c r="U196" i="36" s="1"/>
  <c r="S198" i="36"/>
  <c r="T198" i="36" s="1"/>
  <c r="U198" i="36" s="1"/>
  <c r="S317" i="36"/>
  <c r="T317" i="36" s="1"/>
  <c r="U317" i="36" s="1"/>
  <c r="S254" i="36"/>
  <c r="T254" i="36" s="1"/>
  <c r="U254" i="36" s="1"/>
  <c r="S288" i="36"/>
  <c r="T288" i="36" s="1"/>
  <c r="U288" i="36" s="1"/>
  <c r="S88" i="36"/>
  <c r="T88" i="36" s="1"/>
  <c r="U88" i="36" s="1"/>
  <c r="S287" i="36"/>
  <c r="T287" i="36" s="1"/>
  <c r="U287" i="36" s="1"/>
  <c r="S37" i="36"/>
  <c r="T37" i="36" s="1"/>
  <c r="U37" i="36" s="1"/>
  <c r="S141" i="36"/>
  <c r="T141" i="36" s="1"/>
  <c r="U141" i="36" s="1"/>
  <c r="S261" i="36"/>
  <c r="T261" i="36" s="1"/>
  <c r="U261" i="36" s="1"/>
  <c r="S35" i="36"/>
  <c r="T35" i="36" s="1"/>
  <c r="U35" i="36" s="1"/>
  <c r="S235" i="36"/>
  <c r="T235" i="36" s="1"/>
  <c r="U235" i="36" s="1"/>
  <c r="S56" i="36"/>
  <c r="T56" i="36" s="1"/>
  <c r="U56" i="36" s="1"/>
  <c r="S150" i="36"/>
  <c r="T150" i="36" s="1"/>
  <c r="U150" i="36" s="1"/>
  <c r="S75" i="36"/>
  <c r="T75" i="36" s="1"/>
  <c r="U75" i="36" s="1"/>
  <c r="S211" i="36"/>
  <c r="T211" i="36" s="1"/>
  <c r="U211" i="36" s="1"/>
  <c r="S311" i="36"/>
  <c r="T311" i="36" s="1"/>
  <c r="U311" i="36" s="1"/>
  <c r="S195" i="36"/>
  <c r="T195" i="36" s="1"/>
  <c r="U195" i="36" s="1"/>
  <c r="S193" i="36"/>
  <c r="T193" i="36" s="1"/>
  <c r="U193" i="36" s="1"/>
  <c r="S144" i="36"/>
  <c r="T144" i="36" s="1"/>
  <c r="U144" i="36" s="1"/>
  <c r="S233" i="36"/>
  <c r="T233" i="36" s="1"/>
  <c r="U233" i="36" s="1"/>
  <c r="S163" i="36"/>
  <c r="T163" i="36" s="1"/>
  <c r="U163" i="36" s="1"/>
  <c r="S132" i="36"/>
  <c r="T132" i="36" s="1"/>
  <c r="U132" i="36" s="1"/>
  <c r="S312" i="36"/>
  <c r="T312" i="36" s="1"/>
  <c r="U312" i="36" s="1"/>
  <c r="S238" i="36"/>
  <c r="T238" i="36" s="1"/>
  <c r="U238" i="36" s="1"/>
  <c r="S208" i="36"/>
  <c r="T208" i="36" s="1"/>
  <c r="U208" i="36" s="1"/>
  <c r="S295" i="36"/>
  <c r="T295" i="36" s="1"/>
  <c r="U295" i="36" s="1"/>
  <c r="S42" i="36"/>
  <c r="T42" i="36" s="1"/>
  <c r="U42" i="36" s="1"/>
  <c r="S164" i="36"/>
  <c r="T164" i="36" s="1"/>
  <c r="U164" i="36" s="1"/>
  <c r="S111" i="36"/>
  <c r="T111" i="36" s="1"/>
  <c r="U111" i="36" s="1"/>
  <c r="S151" i="36"/>
  <c r="T151" i="36" s="1"/>
  <c r="U151" i="36" s="1"/>
  <c r="S45" i="36"/>
  <c r="T45" i="36" s="1"/>
  <c r="U45" i="36" s="1"/>
  <c r="S209" i="36"/>
  <c r="T209" i="36" s="1"/>
  <c r="U209" i="36" s="1"/>
  <c r="S91" i="36"/>
  <c r="T91" i="36" s="1"/>
  <c r="U91" i="36" s="1"/>
  <c r="S220" i="36"/>
  <c r="T220" i="36" s="1"/>
  <c r="U220" i="36" s="1"/>
  <c r="S105" i="36"/>
  <c r="T105" i="36" s="1"/>
  <c r="U105" i="36" s="1"/>
  <c r="S219" i="36"/>
  <c r="T219" i="36" s="1"/>
  <c r="U219" i="36" s="1"/>
  <c r="S245" i="36"/>
  <c r="T245" i="36" s="1"/>
  <c r="U245" i="36" s="1"/>
  <c r="S168" i="36"/>
  <c r="T168" i="36" s="1"/>
  <c r="U168" i="36" s="1"/>
  <c r="S285" i="36"/>
  <c r="T285" i="36" s="1"/>
  <c r="U285" i="36" s="1"/>
  <c r="S272" i="36"/>
  <c r="T272" i="36" s="1"/>
  <c r="U272" i="36" s="1"/>
  <c r="S63" i="36"/>
  <c r="T63" i="36" s="1"/>
  <c r="U63" i="36" s="1"/>
  <c r="S69" i="36"/>
  <c r="T69" i="36" s="1"/>
  <c r="U69" i="36" s="1"/>
  <c r="S66" i="36"/>
  <c r="T66" i="36" s="1"/>
  <c r="U66" i="36" s="1"/>
  <c r="S279" i="36"/>
  <c r="T279" i="36" s="1"/>
  <c r="U279" i="36" s="1"/>
  <c r="S138" i="36"/>
  <c r="T138" i="36" s="1"/>
  <c r="U138" i="36" s="1"/>
  <c r="S253" i="36"/>
  <c r="T253" i="36" s="1"/>
  <c r="U253" i="36" s="1"/>
  <c r="S79" i="36"/>
  <c r="T79" i="36" s="1"/>
  <c r="U79" i="36" s="1"/>
  <c r="S156" i="36"/>
  <c r="T156" i="36" s="1"/>
  <c r="U156" i="36" s="1"/>
  <c r="S244" i="36"/>
  <c r="T244" i="36" s="1"/>
  <c r="U244" i="36" s="1"/>
  <c r="S252" i="36"/>
  <c r="T252" i="36" s="1"/>
  <c r="U252" i="36" s="1"/>
  <c r="S93" i="36"/>
  <c r="T93" i="36" s="1"/>
  <c r="U93" i="36" s="1"/>
  <c r="S127" i="36"/>
  <c r="T127" i="36" s="1"/>
  <c r="U127" i="36" s="1"/>
  <c r="S223" i="36"/>
  <c r="T223" i="36" s="1"/>
  <c r="U223" i="36" s="1"/>
  <c r="S104" i="36"/>
  <c r="T104" i="36" s="1"/>
  <c r="U104" i="36" s="1"/>
  <c r="S51" i="36"/>
  <c r="T51" i="36" s="1"/>
  <c r="U51" i="36" s="1"/>
  <c r="S54" i="36"/>
  <c r="T54" i="36" s="1"/>
  <c r="U54" i="36" s="1"/>
  <c r="S98" i="36"/>
  <c r="T98" i="36" s="1"/>
  <c r="U98" i="36" s="1"/>
  <c r="S84" i="36"/>
  <c r="T84" i="36" s="1"/>
  <c r="U84" i="36" s="1"/>
  <c r="S20" i="36"/>
  <c r="T20" i="36" s="1"/>
  <c r="U20" i="36" s="1"/>
  <c r="S4" i="37" l="1"/>
  <c r="T4" i="37" s="1"/>
  <c r="S319" i="37"/>
  <c r="T319" i="37" s="1"/>
  <c r="U319" i="37" s="1"/>
  <c r="V319" i="37" s="1"/>
  <c r="S320" i="37"/>
  <c r="T320" i="37" s="1"/>
  <c r="U320" i="37" s="1"/>
  <c r="V320" i="37" s="1"/>
  <c r="S4" i="38"/>
  <c r="T4" i="38" s="1"/>
  <c r="S320" i="38"/>
  <c r="T320" i="38" s="1"/>
  <c r="U320" i="38" s="1"/>
  <c r="S319" i="38"/>
  <c r="T319" i="38" s="1"/>
  <c r="U319" i="38" s="1"/>
  <c r="V319" i="38" s="1"/>
  <c r="S319" i="39"/>
  <c r="T319" i="39" s="1"/>
  <c r="U319" i="39" s="1"/>
  <c r="S320" i="39"/>
  <c r="T320" i="39" s="1"/>
  <c r="U320" i="39" s="1"/>
  <c r="V320" i="36"/>
  <c r="V319" i="36"/>
  <c r="S292" i="39"/>
  <c r="T292" i="39" s="1"/>
  <c r="U292" i="39" s="1"/>
  <c r="S251" i="39"/>
  <c r="T251" i="39" s="1"/>
  <c r="U251" i="39" s="1"/>
  <c r="S146" i="39"/>
  <c r="T146" i="39" s="1"/>
  <c r="U146" i="39" s="1"/>
  <c r="S15" i="39"/>
  <c r="T15" i="39" s="1"/>
  <c r="U15" i="39" s="1"/>
  <c r="S281" i="39"/>
  <c r="T281" i="39" s="1"/>
  <c r="U281" i="39" s="1"/>
  <c r="S9" i="39"/>
  <c r="T9" i="39" s="1"/>
  <c r="U9" i="39" s="1"/>
  <c r="S197" i="39"/>
  <c r="T197" i="39" s="1"/>
  <c r="U197" i="39" s="1"/>
  <c r="S92" i="39"/>
  <c r="T92" i="39" s="1"/>
  <c r="U92" i="39" s="1"/>
  <c r="S159" i="39"/>
  <c r="T159" i="39" s="1"/>
  <c r="U159" i="39" s="1"/>
  <c r="S66" i="39"/>
  <c r="T66" i="39" s="1"/>
  <c r="U66" i="39" s="1"/>
  <c r="S181" i="39"/>
  <c r="T181" i="39" s="1"/>
  <c r="U181" i="39" s="1"/>
  <c r="S314" i="39"/>
  <c r="T314" i="39" s="1"/>
  <c r="U314" i="39" s="1"/>
  <c r="S87" i="39"/>
  <c r="T87" i="39" s="1"/>
  <c r="U87" i="39" s="1"/>
  <c r="S233" i="39"/>
  <c r="T233" i="39" s="1"/>
  <c r="U233" i="39" s="1"/>
  <c r="S165" i="39"/>
  <c r="T165" i="39" s="1"/>
  <c r="U165" i="39" s="1"/>
  <c r="S81" i="39"/>
  <c r="T81" i="39" s="1"/>
  <c r="U81" i="39" s="1"/>
  <c r="S103" i="39"/>
  <c r="T103" i="39" s="1"/>
  <c r="U103" i="39" s="1"/>
  <c r="S285" i="39"/>
  <c r="T285" i="39" s="1"/>
  <c r="U285" i="39" s="1"/>
  <c r="S224" i="39"/>
  <c r="T224" i="39" s="1"/>
  <c r="U224" i="39" s="1"/>
  <c r="S177" i="39"/>
  <c r="T177" i="39" s="1"/>
  <c r="U177" i="39" s="1"/>
  <c r="S296" i="39"/>
  <c r="T296" i="39" s="1"/>
  <c r="U296" i="39" s="1"/>
  <c r="S69" i="39"/>
  <c r="T69" i="39" s="1"/>
  <c r="U69" i="39" s="1"/>
  <c r="S70" i="39"/>
  <c r="T70" i="39" s="1"/>
  <c r="U70" i="39" s="1"/>
  <c r="S105" i="39"/>
  <c r="T105" i="39" s="1"/>
  <c r="U105" i="39" s="1"/>
  <c r="S192" i="39"/>
  <c r="T192" i="39" s="1"/>
  <c r="U192" i="39" s="1"/>
  <c r="S104" i="39"/>
  <c r="T104" i="39" s="1"/>
  <c r="U104" i="39" s="1"/>
  <c r="S91" i="39"/>
  <c r="T91" i="39" s="1"/>
  <c r="U91" i="39" s="1"/>
  <c r="S67" i="39"/>
  <c r="T67" i="39" s="1"/>
  <c r="U67" i="39" s="1"/>
  <c r="S183" i="39"/>
  <c r="T183" i="39" s="1"/>
  <c r="U183" i="39" s="1"/>
  <c r="S166" i="39"/>
  <c r="T166" i="39" s="1"/>
  <c r="U166" i="39" s="1"/>
  <c r="S124" i="39"/>
  <c r="T124" i="39" s="1"/>
  <c r="U124" i="39" s="1"/>
  <c r="S96" i="39"/>
  <c r="T96" i="39" s="1"/>
  <c r="U96" i="39" s="1"/>
  <c r="S215" i="39"/>
  <c r="T215" i="39" s="1"/>
  <c r="U215" i="39" s="1"/>
  <c r="S190" i="39"/>
  <c r="T190" i="39" s="1"/>
  <c r="U190" i="39" s="1"/>
  <c r="S278" i="39"/>
  <c r="T278" i="39" s="1"/>
  <c r="U278" i="39" s="1"/>
  <c r="S245" i="39"/>
  <c r="T245" i="39" s="1"/>
  <c r="U245" i="39" s="1"/>
  <c r="S203" i="39"/>
  <c r="T203" i="39" s="1"/>
  <c r="U203" i="39" s="1"/>
  <c r="S248" i="39"/>
  <c r="T248" i="39" s="1"/>
  <c r="U248" i="39" s="1"/>
  <c r="S13" i="39"/>
  <c r="T13" i="39" s="1"/>
  <c r="U13" i="39" s="1"/>
  <c r="S16" i="39"/>
  <c r="T16" i="39" s="1"/>
  <c r="U16" i="39" s="1"/>
  <c r="S40" i="39"/>
  <c r="T40" i="39" s="1"/>
  <c r="U40" i="39" s="1"/>
  <c r="S236" i="39"/>
  <c r="T236" i="39" s="1"/>
  <c r="U236" i="39" s="1"/>
  <c r="S267" i="39"/>
  <c r="T267" i="39" s="1"/>
  <c r="U267" i="39" s="1"/>
  <c r="S240" i="39"/>
  <c r="T240" i="39" s="1"/>
  <c r="U240" i="39" s="1"/>
  <c r="S231" i="39"/>
  <c r="T231" i="39" s="1"/>
  <c r="U231" i="39" s="1"/>
  <c r="S61" i="39"/>
  <c r="T61" i="39" s="1"/>
  <c r="U61" i="39" s="1"/>
  <c r="S289" i="39"/>
  <c r="T289" i="39" s="1"/>
  <c r="U289" i="39" s="1"/>
  <c r="S298" i="39"/>
  <c r="T298" i="39" s="1"/>
  <c r="U298" i="39" s="1"/>
  <c r="S275" i="39"/>
  <c r="T275" i="39" s="1"/>
  <c r="U275" i="39" s="1"/>
  <c r="S253" i="39"/>
  <c r="T253" i="39" s="1"/>
  <c r="U253" i="39" s="1"/>
  <c r="S28" i="39"/>
  <c r="T28" i="39" s="1"/>
  <c r="U28" i="39" s="1"/>
  <c r="S185" i="39"/>
  <c r="T185" i="39" s="1"/>
  <c r="U185" i="39" s="1"/>
  <c r="S99" i="39"/>
  <c r="T99" i="39" s="1"/>
  <c r="U99" i="39" s="1"/>
  <c r="S196" i="39"/>
  <c r="T196" i="39" s="1"/>
  <c r="U196" i="39" s="1"/>
  <c r="S161" i="39"/>
  <c r="T161" i="39" s="1"/>
  <c r="U161" i="39" s="1"/>
  <c r="S234" i="39"/>
  <c r="T234" i="39" s="1"/>
  <c r="U234" i="39" s="1"/>
  <c r="S308" i="39"/>
  <c r="T308" i="39" s="1"/>
  <c r="U308" i="39" s="1"/>
  <c r="S145" i="39"/>
  <c r="T145" i="39" s="1"/>
  <c r="U145" i="39" s="1"/>
  <c r="S84" i="39"/>
  <c r="T84" i="39" s="1"/>
  <c r="U84" i="39" s="1"/>
  <c r="S176" i="39"/>
  <c r="T176" i="39" s="1"/>
  <c r="U176" i="39" s="1"/>
  <c r="S186" i="39"/>
  <c r="T186" i="39" s="1"/>
  <c r="U186" i="39" s="1"/>
  <c r="S97" i="39"/>
  <c r="T97" i="39" s="1"/>
  <c r="U97" i="39" s="1"/>
  <c r="S178" i="39"/>
  <c r="T178" i="39" s="1"/>
  <c r="U178" i="39" s="1"/>
  <c r="S182" i="39"/>
  <c r="T182" i="39" s="1"/>
  <c r="U182" i="39" s="1"/>
  <c r="S226" i="39"/>
  <c r="T226" i="39" s="1"/>
  <c r="U226" i="39" s="1"/>
  <c r="S273" i="39"/>
  <c r="T273" i="39" s="1"/>
  <c r="U273" i="39" s="1"/>
  <c r="S249" i="39"/>
  <c r="T249" i="39" s="1"/>
  <c r="U249" i="39" s="1"/>
  <c r="S179" i="39"/>
  <c r="T179" i="39" s="1"/>
  <c r="U179" i="39" s="1"/>
  <c r="S191" i="39"/>
  <c r="T191" i="39" s="1"/>
  <c r="U191" i="39" s="1"/>
  <c r="S238" i="39"/>
  <c r="T238" i="39" s="1"/>
  <c r="U238" i="39" s="1"/>
  <c r="S194" i="39"/>
  <c r="T194" i="39" s="1"/>
  <c r="U194" i="39" s="1"/>
  <c r="S265" i="39"/>
  <c r="T265" i="39" s="1"/>
  <c r="U265" i="39" s="1"/>
  <c r="S72" i="39"/>
  <c r="T72" i="39" s="1"/>
  <c r="U72" i="39" s="1"/>
  <c r="S246" i="39"/>
  <c r="T246" i="39" s="1"/>
  <c r="U246" i="39" s="1"/>
  <c r="S209" i="39"/>
  <c r="T209" i="39" s="1"/>
  <c r="U209" i="39" s="1"/>
  <c r="S140" i="39"/>
  <c r="T140" i="39" s="1"/>
  <c r="U140" i="39" s="1"/>
  <c r="S207" i="39"/>
  <c r="T207" i="39" s="1"/>
  <c r="U207" i="39" s="1"/>
  <c r="S216" i="39"/>
  <c r="T216" i="39" s="1"/>
  <c r="U216" i="39" s="1"/>
  <c r="S85" i="39"/>
  <c r="T85" i="39" s="1"/>
  <c r="U85" i="39" s="1"/>
  <c r="S211" i="39"/>
  <c r="T211" i="39" s="1"/>
  <c r="U211" i="39" s="1"/>
  <c r="S252" i="39"/>
  <c r="T252" i="39" s="1"/>
  <c r="U252" i="39" s="1"/>
  <c r="S315" i="39"/>
  <c r="T315" i="39" s="1"/>
  <c r="U315" i="39" s="1"/>
  <c r="S78" i="39"/>
  <c r="T78" i="39" s="1"/>
  <c r="U78" i="39" s="1"/>
  <c r="S239" i="39"/>
  <c r="T239" i="39" s="1"/>
  <c r="U239" i="39" s="1"/>
  <c r="S173" i="39"/>
  <c r="T173" i="39" s="1"/>
  <c r="U173" i="39" s="1"/>
  <c r="S312" i="39"/>
  <c r="T312" i="39" s="1"/>
  <c r="U312" i="39" s="1"/>
  <c r="S98" i="39"/>
  <c r="T98" i="39" s="1"/>
  <c r="U98" i="39" s="1"/>
  <c r="S306" i="39"/>
  <c r="T306" i="39" s="1"/>
  <c r="U306" i="39" s="1"/>
  <c r="S163" i="39"/>
  <c r="T163" i="39" s="1"/>
  <c r="U163" i="39" s="1"/>
  <c r="S189" i="39"/>
  <c r="T189" i="39" s="1"/>
  <c r="U189" i="39" s="1"/>
  <c r="S264" i="39"/>
  <c r="T264" i="39" s="1"/>
  <c r="U264" i="39" s="1"/>
  <c r="S204" i="39"/>
  <c r="T204" i="39" s="1"/>
  <c r="U204" i="39" s="1"/>
  <c r="S53" i="39"/>
  <c r="T53" i="39" s="1"/>
  <c r="U53" i="39" s="1"/>
  <c r="S45" i="39"/>
  <c r="T45" i="39" s="1"/>
  <c r="U45" i="39" s="1"/>
  <c r="S309" i="39"/>
  <c r="T309" i="39" s="1"/>
  <c r="U309" i="39" s="1"/>
  <c r="S64" i="39"/>
  <c r="T64" i="39" s="1"/>
  <c r="U64" i="39" s="1"/>
  <c r="S277" i="39"/>
  <c r="T277" i="39" s="1"/>
  <c r="U277" i="39" s="1"/>
  <c r="S21" i="39"/>
  <c r="T21" i="39" s="1"/>
  <c r="U21" i="39" s="1"/>
  <c r="S33" i="39"/>
  <c r="T33" i="39" s="1"/>
  <c r="U33" i="39" s="1"/>
  <c r="S59" i="39"/>
  <c r="T59" i="39" s="1"/>
  <c r="U59" i="39" s="1"/>
  <c r="S52" i="39"/>
  <c r="T52" i="39" s="1"/>
  <c r="U52" i="39" s="1"/>
  <c r="S257" i="39"/>
  <c r="T257" i="39" s="1"/>
  <c r="U257" i="39" s="1"/>
  <c r="S90" i="39"/>
  <c r="T90" i="39" s="1"/>
  <c r="U90" i="39" s="1"/>
  <c r="S283" i="39"/>
  <c r="T283" i="39" s="1"/>
  <c r="U283" i="39" s="1"/>
  <c r="S32" i="39"/>
  <c r="T32" i="39" s="1"/>
  <c r="U32" i="39" s="1"/>
  <c r="S114" i="39"/>
  <c r="T114" i="39" s="1"/>
  <c r="U114" i="39" s="1"/>
  <c r="S120" i="39"/>
  <c r="T120" i="39" s="1"/>
  <c r="U120" i="39" s="1"/>
  <c r="S148" i="39"/>
  <c r="T148" i="39" s="1"/>
  <c r="U148" i="39" s="1"/>
  <c r="S60" i="39"/>
  <c r="T60" i="39" s="1"/>
  <c r="U60" i="39" s="1"/>
  <c r="S237" i="39"/>
  <c r="T237" i="39" s="1"/>
  <c r="U237" i="39" s="1"/>
  <c r="S258" i="39"/>
  <c r="T258" i="39" s="1"/>
  <c r="U258" i="39" s="1"/>
  <c r="S7" i="39"/>
  <c r="T7" i="39" s="1"/>
  <c r="U7" i="39" s="1"/>
  <c r="S116" i="39"/>
  <c r="T116" i="39" s="1"/>
  <c r="U116" i="39" s="1"/>
  <c r="S150" i="39"/>
  <c r="T150" i="39" s="1"/>
  <c r="U150" i="39" s="1"/>
  <c r="S46" i="39"/>
  <c r="T46" i="39" s="1"/>
  <c r="U46" i="39" s="1"/>
  <c r="S47" i="39"/>
  <c r="T47" i="39" s="1"/>
  <c r="U47" i="39" s="1"/>
  <c r="S164" i="39"/>
  <c r="T164" i="39" s="1"/>
  <c r="U164" i="39" s="1"/>
  <c r="S19" i="39"/>
  <c r="T19" i="39" s="1"/>
  <c r="U19" i="39" s="1"/>
  <c r="S20" i="39"/>
  <c r="T20" i="39" s="1"/>
  <c r="U20" i="39" s="1"/>
  <c r="S25" i="39"/>
  <c r="T25" i="39" s="1"/>
  <c r="U25" i="39" s="1"/>
  <c r="S73" i="39"/>
  <c r="T73" i="39" s="1"/>
  <c r="U73" i="39" s="1"/>
  <c r="S152" i="39"/>
  <c r="T152" i="39" s="1"/>
  <c r="U152" i="39" s="1"/>
  <c r="S54" i="39"/>
  <c r="T54" i="39" s="1"/>
  <c r="U54" i="39" s="1"/>
  <c r="S44" i="39"/>
  <c r="T44" i="39" s="1"/>
  <c r="U44" i="39" s="1"/>
  <c r="S263" i="39"/>
  <c r="T263" i="39" s="1"/>
  <c r="U263" i="39" s="1"/>
  <c r="S228" i="39"/>
  <c r="T228" i="39" s="1"/>
  <c r="U228" i="39" s="1"/>
  <c r="S174" i="39"/>
  <c r="T174" i="39" s="1"/>
  <c r="U174" i="39" s="1"/>
  <c r="S24" i="39"/>
  <c r="T24" i="39" s="1"/>
  <c r="U24" i="39" s="1"/>
  <c r="S310" i="39"/>
  <c r="T310" i="39" s="1"/>
  <c r="U310" i="39" s="1"/>
  <c r="S22" i="39"/>
  <c r="T22" i="39" s="1"/>
  <c r="U22" i="39" s="1"/>
  <c r="S304" i="39"/>
  <c r="T304" i="39" s="1"/>
  <c r="U304" i="39" s="1"/>
  <c r="S202" i="39"/>
  <c r="T202" i="39" s="1"/>
  <c r="U202" i="39" s="1"/>
  <c r="S50" i="39"/>
  <c r="T50" i="39" s="1"/>
  <c r="U50" i="39" s="1"/>
  <c r="S63" i="39"/>
  <c r="T63" i="39" s="1"/>
  <c r="U63" i="39" s="1"/>
  <c r="S301" i="39"/>
  <c r="T301" i="39" s="1"/>
  <c r="U301" i="39" s="1"/>
  <c r="S108" i="39"/>
  <c r="T108" i="39" s="1"/>
  <c r="U108" i="39" s="1"/>
  <c r="S112" i="39"/>
  <c r="T112" i="39" s="1"/>
  <c r="U112" i="39" s="1"/>
  <c r="S160" i="39"/>
  <c r="T160" i="39" s="1"/>
  <c r="U160" i="39" s="1"/>
  <c r="S255" i="39"/>
  <c r="T255" i="39" s="1"/>
  <c r="U255" i="39" s="1"/>
  <c r="S135" i="39"/>
  <c r="T135" i="39" s="1"/>
  <c r="U135" i="39" s="1"/>
  <c r="S167" i="39"/>
  <c r="T167" i="39" s="1"/>
  <c r="U167" i="39" s="1"/>
  <c r="S95" i="39"/>
  <c r="T95" i="39" s="1"/>
  <c r="U95" i="39" s="1"/>
  <c r="S93" i="39"/>
  <c r="T93" i="39" s="1"/>
  <c r="U93" i="39" s="1"/>
  <c r="S269" i="39"/>
  <c r="T269" i="39" s="1"/>
  <c r="U269" i="39" s="1"/>
  <c r="S29" i="39"/>
  <c r="T29" i="39" s="1"/>
  <c r="U29" i="39" s="1"/>
  <c r="S6" i="39"/>
  <c r="T6" i="39" s="1"/>
  <c r="U6" i="39" s="1"/>
  <c r="S125" i="39"/>
  <c r="T125" i="39" s="1"/>
  <c r="U125" i="39" s="1"/>
  <c r="S247" i="39"/>
  <c r="T247" i="39" s="1"/>
  <c r="U247" i="39" s="1"/>
  <c r="S76" i="39"/>
  <c r="T76" i="39" s="1"/>
  <c r="U76" i="39" s="1"/>
  <c r="S171" i="39"/>
  <c r="T171" i="39" s="1"/>
  <c r="U171" i="39" s="1"/>
  <c r="S142" i="39"/>
  <c r="T142" i="39" s="1"/>
  <c r="U142" i="39" s="1"/>
  <c r="S27" i="39"/>
  <c r="T27" i="39" s="1"/>
  <c r="U27" i="39" s="1"/>
  <c r="S154" i="39"/>
  <c r="T154" i="39" s="1"/>
  <c r="U154" i="39" s="1"/>
  <c r="S121" i="39"/>
  <c r="T121" i="39" s="1"/>
  <c r="U121" i="39" s="1"/>
  <c r="S109" i="39"/>
  <c r="T109" i="39" s="1"/>
  <c r="U109" i="39" s="1"/>
  <c r="S307" i="39"/>
  <c r="T307" i="39" s="1"/>
  <c r="U307" i="39" s="1"/>
  <c r="S232" i="39"/>
  <c r="T232" i="39" s="1"/>
  <c r="U232" i="39" s="1"/>
  <c r="S80" i="39"/>
  <c r="T80" i="39" s="1"/>
  <c r="U80" i="39" s="1"/>
  <c r="S129" i="39"/>
  <c r="T129" i="39" s="1"/>
  <c r="U129" i="39" s="1"/>
  <c r="S290" i="39"/>
  <c r="T290" i="39" s="1"/>
  <c r="U290" i="39" s="1"/>
  <c r="S8" i="39"/>
  <c r="T8" i="39" s="1"/>
  <c r="U8" i="39" s="1"/>
  <c r="S318" i="39"/>
  <c r="T318" i="39" s="1"/>
  <c r="U318" i="39" s="1"/>
  <c r="S222" i="39"/>
  <c r="T222" i="39" s="1"/>
  <c r="U222" i="39" s="1"/>
  <c r="S317" i="39"/>
  <c r="T317" i="39" s="1"/>
  <c r="U317" i="39" s="1"/>
  <c r="S158" i="39"/>
  <c r="T158" i="39" s="1"/>
  <c r="U158" i="39" s="1"/>
  <c r="S23" i="39"/>
  <c r="T23" i="39" s="1"/>
  <c r="U23" i="39" s="1"/>
  <c r="S287" i="39"/>
  <c r="T287" i="39" s="1"/>
  <c r="U287" i="39" s="1"/>
  <c r="S55" i="39"/>
  <c r="T55" i="39" s="1"/>
  <c r="U55" i="39" s="1"/>
  <c r="S242" i="39"/>
  <c r="T242" i="39" s="1"/>
  <c r="U242" i="39" s="1"/>
  <c r="S136" i="39"/>
  <c r="T136" i="39" s="1"/>
  <c r="U136" i="39" s="1"/>
  <c r="S180" i="39"/>
  <c r="T180" i="39" s="1"/>
  <c r="U180" i="39" s="1"/>
  <c r="S119" i="39"/>
  <c r="T119" i="39" s="1"/>
  <c r="U119" i="39" s="1"/>
  <c r="S36" i="39"/>
  <c r="T36" i="39" s="1"/>
  <c r="U36" i="39" s="1"/>
  <c r="S168" i="39"/>
  <c r="T168" i="39" s="1"/>
  <c r="U168" i="39" s="1"/>
  <c r="S199" i="39"/>
  <c r="T199" i="39" s="1"/>
  <c r="U199" i="39" s="1"/>
  <c r="S221" i="39"/>
  <c r="T221" i="39" s="1"/>
  <c r="U221" i="39" s="1"/>
  <c r="S235" i="39"/>
  <c r="T235" i="39" s="1"/>
  <c r="U235" i="39" s="1"/>
  <c r="S210" i="39"/>
  <c r="T210" i="39" s="1"/>
  <c r="U210" i="39" s="1"/>
  <c r="S280" i="39"/>
  <c r="T280" i="39" s="1"/>
  <c r="U280" i="39" s="1"/>
  <c r="S5" i="39"/>
  <c r="T5" i="39" s="1"/>
  <c r="U5" i="39" s="1"/>
  <c r="S39" i="39"/>
  <c r="T39" i="39" s="1"/>
  <c r="U39" i="39" s="1"/>
  <c r="S68" i="39"/>
  <c r="T68" i="39" s="1"/>
  <c r="U68" i="39" s="1"/>
  <c r="S223" i="39"/>
  <c r="T223" i="39" s="1"/>
  <c r="U223" i="39" s="1"/>
  <c r="S113" i="39"/>
  <c r="T113" i="39" s="1"/>
  <c r="U113" i="39" s="1"/>
  <c r="S12" i="39"/>
  <c r="T12" i="39" s="1"/>
  <c r="U12" i="39" s="1"/>
  <c r="S172" i="39"/>
  <c r="T172" i="39" s="1"/>
  <c r="U172" i="39" s="1"/>
  <c r="S244" i="39"/>
  <c r="T244" i="39" s="1"/>
  <c r="U244" i="39" s="1"/>
  <c r="S48" i="39"/>
  <c r="T48" i="39" s="1"/>
  <c r="U48" i="39" s="1"/>
  <c r="S38" i="39"/>
  <c r="T38" i="39" s="1"/>
  <c r="U38" i="39" s="1"/>
  <c r="S243" i="39"/>
  <c r="T243" i="39" s="1"/>
  <c r="U243" i="39" s="1"/>
  <c r="S143" i="39"/>
  <c r="T143" i="39" s="1"/>
  <c r="U143" i="39" s="1"/>
  <c r="S250" i="39"/>
  <c r="T250" i="39" s="1"/>
  <c r="U250" i="39" s="1"/>
  <c r="S42" i="39"/>
  <c r="T42" i="39" s="1"/>
  <c r="U42" i="39" s="1"/>
  <c r="S217" i="39"/>
  <c r="T217" i="39" s="1"/>
  <c r="U217" i="39" s="1"/>
  <c r="S198" i="39"/>
  <c r="T198" i="39" s="1"/>
  <c r="U198" i="39" s="1"/>
  <c r="S41" i="39"/>
  <c r="T41" i="39" s="1"/>
  <c r="U41" i="39" s="1"/>
  <c r="S274" i="39"/>
  <c r="T274" i="39" s="1"/>
  <c r="U274" i="39" s="1"/>
  <c r="S187" i="39"/>
  <c r="T187" i="39" s="1"/>
  <c r="U187" i="39" s="1"/>
  <c r="S188" i="39"/>
  <c r="T188" i="39" s="1"/>
  <c r="U188" i="39" s="1"/>
  <c r="S208" i="39"/>
  <c r="T208" i="39" s="1"/>
  <c r="U208" i="39" s="1"/>
  <c r="S57" i="39"/>
  <c r="T57" i="39" s="1"/>
  <c r="U57" i="39" s="1"/>
  <c r="S107" i="39"/>
  <c r="T107" i="39" s="1"/>
  <c r="U107" i="39" s="1"/>
  <c r="S218" i="39"/>
  <c r="T218" i="39" s="1"/>
  <c r="U218" i="39" s="1"/>
  <c r="S295" i="39"/>
  <c r="T295" i="39" s="1"/>
  <c r="U295" i="39" s="1"/>
  <c r="S149" i="39"/>
  <c r="T149" i="39" s="1"/>
  <c r="U149" i="39" s="1"/>
  <c r="S133" i="39"/>
  <c r="T133" i="39" s="1"/>
  <c r="U133" i="39" s="1"/>
  <c r="S184" i="39"/>
  <c r="T184" i="39" s="1"/>
  <c r="U184" i="39" s="1"/>
  <c r="S311" i="39"/>
  <c r="T311" i="39" s="1"/>
  <c r="U311" i="39" s="1"/>
  <c r="S260" i="39"/>
  <c r="T260" i="39" s="1"/>
  <c r="U260" i="39" s="1"/>
  <c r="S256" i="39"/>
  <c r="T256" i="39" s="1"/>
  <c r="U256" i="39" s="1"/>
  <c r="S139" i="39"/>
  <c r="T139" i="39" s="1"/>
  <c r="U139" i="39" s="1"/>
  <c r="S117" i="39"/>
  <c r="T117" i="39" s="1"/>
  <c r="U117" i="39" s="1"/>
  <c r="S10" i="39"/>
  <c r="T10" i="39" s="1"/>
  <c r="U10" i="39" s="1"/>
  <c r="S175" i="39"/>
  <c r="T175" i="39" s="1"/>
  <c r="U175" i="39" s="1"/>
  <c r="S147" i="39"/>
  <c r="T147" i="39" s="1"/>
  <c r="U147" i="39" s="1"/>
  <c r="S279" i="39"/>
  <c r="T279" i="39" s="1"/>
  <c r="U279" i="39" s="1"/>
  <c r="S225" i="39"/>
  <c r="T225" i="39" s="1"/>
  <c r="U225" i="39" s="1"/>
  <c r="S65" i="39"/>
  <c r="T65" i="39" s="1"/>
  <c r="U65" i="39" s="1"/>
  <c r="S74" i="39"/>
  <c r="T74" i="39" s="1"/>
  <c r="U74" i="39" s="1"/>
  <c r="S101" i="39"/>
  <c r="T101" i="39" s="1"/>
  <c r="U101" i="39" s="1"/>
  <c r="S229" i="39"/>
  <c r="T229" i="39" s="1"/>
  <c r="U229" i="39" s="1"/>
  <c r="S106" i="39"/>
  <c r="T106" i="39" s="1"/>
  <c r="U106" i="39" s="1"/>
  <c r="S134" i="39"/>
  <c r="T134" i="39" s="1"/>
  <c r="U134" i="39" s="1"/>
  <c r="S86" i="39"/>
  <c r="T86" i="39" s="1"/>
  <c r="U86" i="39" s="1"/>
  <c r="S122" i="39"/>
  <c r="T122" i="39" s="1"/>
  <c r="U122" i="39" s="1"/>
  <c r="S128" i="39"/>
  <c r="T128" i="39" s="1"/>
  <c r="U128" i="39" s="1"/>
  <c r="S254" i="39"/>
  <c r="T254" i="39" s="1"/>
  <c r="U254" i="39" s="1"/>
  <c r="S297" i="39"/>
  <c r="T297" i="39" s="1"/>
  <c r="U297" i="39" s="1"/>
  <c r="S75" i="39"/>
  <c r="T75" i="39" s="1"/>
  <c r="U75" i="39" s="1"/>
  <c r="S62" i="39"/>
  <c r="T62" i="39" s="1"/>
  <c r="U62" i="39" s="1"/>
  <c r="S293" i="39"/>
  <c r="T293" i="39" s="1"/>
  <c r="U293" i="39" s="1"/>
  <c r="S110" i="39"/>
  <c r="T110" i="39" s="1"/>
  <c r="U110" i="39" s="1"/>
  <c r="S200" i="39"/>
  <c r="T200" i="39" s="1"/>
  <c r="U200" i="39" s="1"/>
  <c r="S17" i="39"/>
  <c r="T17" i="39" s="1"/>
  <c r="U17" i="39" s="1"/>
  <c r="S37" i="39"/>
  <c r="T37" i="39" s="1"/>
  <c r="U37" i="39" s="1"/>
  <c r="S43" i="39"/>
  <c r="T43" i="39" s="1"/>
  <c r="U43" i="39" s="1"/>
  <c r="S291" i="39"/>
  <c r="T291" i="39" s="1"/>
  <c r="U291" i="39" s="1"/>
  <c r="S276" i="39"/>
  <c r="T276" i="39" s="1"/>
  <c r="U276" i="39" s="1"/>
  <c r="S195" i="39"/>
  <c r="T195" i="39" s="1"/>
  <c r="U195" i="39" s="1"/>
  <c r="S294" i="39"/>
  <c r="T294" i="39" s="1"/>
  <c r="U294" i="39" s="1"/>
  <c r="S144" i="39"/>
  <c r="T144" i="39" s="1"/>
  <c r="U144" i="39" s="1"/>
  <c r="S138" i="39"/>
  <c r="T138" i="39" s="1"/>
  <c r="U138" i="39" s="1"/>
  <c r="S162" i="39"/>
  <c r="T162" i="39" s="1"/>
  <c r="U162" i="39" s="1"/>
  <c r="S118" i="39"/>
  <c r="T118" i="39" s="1"/>
  <c r="U118" i="39" s="1"/>
  <c r="S286" i="39"/>
  <c r="T286" i="39" s="1"/>
  <c r="U286" i="39" s="1"/>
  <c r="S227" i="39"/>
  <c r="T227" i="39" s="1"/>
  <c r="U227" i="39" s="1"/>
  <c r="S316" i="39"/>
  <c r="T316" i="39" s="1"/>
  <c r="U316" i="39" s="1"/>
  <c r="S214" i="39"/>
  <c r="T214" i="39" s="1"/>
  <c r="U214" i="39" s="1"/>
  <c r="S94" i="39"/>
  <c r="T94" i="39" s="1"/>
  <c r="U94" i="39" s="1"/>
  <c r="S77" i="39"/>
  <c r="T77" i="39" s="1"/>
  <c r="U77" i="39" s="1"/>
  <c r="S89" i="39"/>
  <c r="T89" i="39" s="1"/>
  <c r="U89" i="39" s="1"/>
  <c r="S201" i="39"/>
  <c r="T201" i="39" s="1"/>
  <c r="U201" i="39" s="1"/>
  <c r="S126" i="39"/>
  <c r="T126" i="39" s="1"/>
  <c r="U126" i="39" s="1"/>
  <c r="S30" i="39"/>
  <c r="T30" i="39" s="1"/>
  <c r="U30" i="39" s="1"/>
  <c r="S71" i="39"/>
  <c r="T71" i="39" s="1"/>
  <c r="U71" i="39" s="1"/>
  <c r="S58" i="39"/>
  <c r="T58" i="39" s="1"/>
  <c r="U58" i="39" s="1"/>
  <c r="S79" i="39"/>
  <c r="T79" i="39" s="1"/>
  <c r="U79" i="39" s="1"/>
  <c r="S313" i="39"/>
  <c r="T313" i="39" s="1"/>
  <c r="U313" i="39" s="1"/>
  <c r="S132" i="39"/>
  <c r="T132" i="39" s="1"/>
  <c r="U132" i="39" s="1"/>
  <c r="S11" i="39"/>
  <c r="T11" i="39" s="1"/>
  <c r="U11" i="39" s="1"/>
  <c r="S272" i="39"/>
  <c r="T272" i="39" s="1"/>
  <c r="U272" i="39" s="1"/>
  <c r="S302" i="39"/>
  <c r="T302" i="39" s="1"/>
  <c r="U302" i="39" s="1"/>
  <c r="S82" i="39"/>
  <c r="T82" i="39" s="1"/>
  <c r="U82" i="39" s="1"/>
  <c r="S26" i="39"/>
  <c r="T26" i="39" s="1"/>
  <c r="U26" i="39" s="1"/>
  <c r="S157" i="39"/>
  <c r="T157" i="39" s="1"/>
  <c r="U157" i="39" s="1"/>
  <c r="S115" i="39"/>
  <c r="T115" i="39" s="1"/>
  <c r="U115" i="39" s="1"/>
  <c r="S266" i="39"/>
  <c r="T266" i="39" s="1"/>
  <c r="U266" i="39" s="1"/>
  <c r="S205" i="39"/>
  <c r="T205" i="39" s="1"/>
  <c r="U205" i="39" s="1"/>
  <c r="S137" i="39"/>
  <c r="T137" i="39" s="1"/>
  <c r="U137" i="39" s="1"/>
  <c r="S155" i="39"/>
  <c r="T155" i="39" s="1"/>
  <c r="U155" i="39" s="1"/>
  <c r="S261" i="39"/>
  <c r="T261" i="39" s="1"/>
  <c r="U261" i="39" s="1"/>
  <c r="S49" i="39"/>
  <c r="T49" i="39" s="1"/>
  <c r="U49" i="39" s="1"/>
  <c r="S102" i="39"/>
  <c r="T102" i="39" s="1"/>
  <c r="U102" i="39" s="1"/>
  <c r="S271" i="39"/>
  <c r="T271" i="39" s="1"/>
  <c r="U271" i="39" s="1"/>
  <c r="S206" i="39"/>
  <c r="T206" i="39" s="1"/>
  <c r="U206" i="39" s="1"/>
  <c r="S151" i="39"/>
  <c r="T151" i="39" s="1"/>
  <c r="U151" i="39" s="1"/>
  <c r="S220" i="39"/>
  <c r="T220" i="39" s="1"/>
  <c r="U220" i="39" s="1"/>
  <c r="S100" i="39"/>
  <c r="T100" i="39" s="1"/>
  <c r="U100" i="39" s="1"/>
  <c r="S83" i="39"/>
  <c r="T83" i="39" s="1"/>
  <c r="U83" i="39" s="1"/>
  <c r="S153" i="39"/>
  <c r="T153" i="39" s="1"/>
  <c r="U153" i="39" s="1"/>
  <c r="S284" i="39"/>
  <c r="T284" i="39" s="1"/>
  <c r="U284" i="39" s="1"/>
  <c r="S14" i="39"/>
  <c r="T14" i="39" s="1"/>
  <c r="U14" i="39" s="1"/>
  <c r="S259" i="39"/>
  <c r="T259" i="39" s="1"/>
  <c r="U259" i="39" s="1"/>
  <c r="S111" i="39"/>
  <c r="T111" i="39" s="1"/>
  <c r="U111" i="39" s="1"/>
  <c r="S213" i="39"/>
  <c r="T213" i="39" s="1"/>
  <c r="U213" i="39" s="1"/>
  <c r="S51" i="39"/>
  <c r="T51" i="39" s="1"/>
  <c r="U51" i="39" s="1"/>
  <c r="S262" i="39"/>
  <c r="T262" i="39" s="1"/>
  <c r="U262" i="39" s="1"/>
  <c r="S241" i="39"/>
  <c r="T241" i="39" s="1"/>
  <c r="U241" i="39" s="1"/>
  <c r="S18" i="39"/>
  <c r="T18" i="39" s="1"/>
  <c r="U18" i="39" s="1"/>
  <c r="S130" i="39"/>
  <c r="T130" i="39" s="1"/>
  <c r="U130" i="39" s="1"/>
  <c r="S219" i="39"/>
  <c r="T219" i="39" s="1"/>
  <c r="U219" i="39" s="1"/>
  <c r="S169" i="39"/>
  <c r="T169" i="39" s="1"/>
  <c r="U169" i="39" s="1"/>
  <c r="S270" i="39"/>
  <c r="T270" i="39" s="1"/>
  <c r="U270" i="39" s="1"/>
  <c r="S88" i="39"/>
  <c r="T88" i="39" s="1"/>
  <c r="U88" i="39" s="1"/>
  <c r="S35" i="39"/>
  <c r="T35" i="39" s="1"/>
  <c r="U35" i="39" s="1"/>
  <c r="S34" i="39"/>
  <c r="T34" i="39" s="1"/>
  <c r="U34" i="39" s="1"/>
  <c r="S288" i="39"/>
  <c r="T288" i="39" s="1"/>
  <c r="U288" i="39" s="1"/>
  <c r="S123" i="39"/>
  <c r="T123" i="39" s="1"/>
  <c r="U123" i="39" s="1"/>
  <c r="S230" i="39"/>
  <c r="T230" i="39" s="1"/>
  <c r="U230" i="39" s="1"/>
  <c r="S193" i="39"/>
  <c r="T193" i="39" s="1"/>
  <c r="U193" i="39" s="1"/>
  <c r="S300" i="39"/>
  <c r="T300" i="39" s="1"/>
  <c r="U300" i="39" s="1"/>
  <c r="S127" i="39"/>
  <c r="T127" i="39" s="1"/>
  <c r="U127" i="39" s="1"/>
  <c r="S131" i="39"/>
  <c r="T131" i="39" s="1"/>
  <c r="U131" i="39" s="1"/>
  <c r="S141" i="39"/>
  <c r="T141" i="39" s="1"/>
  <c r="U141" i="39" s="1"/>
  <c r="S282" i="39"/>
  <c r="T282" i="39" s="1"/>
  <c r="U282" i="39" s="1"/>
  <c r="S156" i="39"/>
  <c r="T156" i="39" s="1"/>
  <c r="U156" i="39" s="1"/>
  <c r="S305" i="39"/>
  <c r="T305" i="39" s="1"/>
  <c r="U305" i="39" s="1"/>
  <c r="S170" i="39"/>
  <c r="T170" i="39" s="1"/>
  <c r="U170" i="39" s="1"/>
  <c r="S56" i="39"/>
  <c r="T56" i="39" s="1"/>
  <c r="U56" i="39" s="1"/>
  <c r="S31" i="39"/>
  <c r="T31" i="39" s="1"/>
  <c r="U31" i="39" s="1"/>
  <c r="S212" i="39"/>
  <c r="T212" i="39" s="1"/>
  <c r="U212" i="39" s="1"/>
  <c r="S268" i="39"/>
  <c r="T268" i="39" s="1"/>
  <c r="U268" i="39" s="1"/>
  <c r="S303" i="39"/>
  <c r="T303" i="39" s="1"/>
  <c r="U303" i="39" s="1"/>
  <c r="S299" i="39"/>
  <c r="T299" i="39" s="1"/>
  <c r="U299" i="39" s="1"/>
  <c r="S4" i="39"/>
  <c r="S103" i="38"/>
  <c r="T103" i="38" s="1"/>
  <c r="U103" i="38" s="1"/>
  <c r="S39" i="38"/>
  <c r="T39" i="38" s="1"/>
  <c r="U39" i="38" s="1"/>
  <c r="S162" i="38"/>
  <c r="T162" i="38" s="1"/>
  <c r="U162" i="38" s="1"/>
  <c r="S301" i="38"/>
  <c r="T301" i="38" s="1"/>
  <c r="U301" i="38" s="1"/>
  <c r="S308" i="38"/>
  <c r="T308" i="38" s="1"/>
  <c r="U308" i="38" s="1"/>
  <c r="S299" i="38"/>
  <c r="T299" i="38" s="1"/>
  <c r="U299" i="38" s="1"/>
  <c r="S30" i="38"/>
  <c r="T30" i="38" s="1"/>
  <c r="U30" i="38" s="1"/>
  <c r="S205" i="38"/>
  <c r="T205" i="38" s="1"/>
  <c r="U205" i="38" s="1"/>
  <c r="S267" i="38"/>
  <c r="T267" i="38" s="1"/>
  <c r="U267" i="38" s="1"/>
  <c r="S218" i="38"/>
  <c r="T218" i="38" s="1"/>
  <c r="U218" i="38" s="1"/>
  <c r="S95" i="38"/>
  <c r="T95" i="38" s="1"/>
  <c r="U95" i="38" s="1"/>
  <c r="S204" i="38"/>
  <c r="T204" i="38" s="1"/>
  <c r="U204" i="38" s="1"/>
  <c r="S33" i="38"/>
  <c r="T33" i="38" s="1"/>
  <c r="U33" i="38" s="1"/>
  <c r="S206" i="38"/>
  <c r="T206" i="38" s="1"/>
  <c r="U206" i="38" s="1"/>
  <c r="S172" i="38"/>
  <c r="T172" i="38" s="1"/>
  <c r="U172" i="38" s="1"/>
  <c r="S229" i="38"/>
  <c r="T229" i="38" s="1"/>
  <c r="U229" i="38" s="1"/>
  <c r="S84" i="38"/>
  <c r="T84" i="38" s="1"/>
  <c r="U84" i="38" s="1"/>
  <c r="S111" i="38"/>
  <c r="T111" i="38" s="1"/>
  <c r="U111" i="38" s="1"/>
  <c r="S88" i="38"/>
  <c r="T88" i="38" s="1"/>
  <c r="U88" i="38" s="1"/>
  <c r="S306" i="38"/>
  <c r="T306" i="38" s="1"/>
  <c r="U306" i="38" s="1"/>
  <c r="S133" i="38"/>
  <c r="T133" i="38" s="1"/>
  <c r="U133" i="38" s="1"/>
  <c r="S217" i="38"/>
  <c r="T217" i="38" s="1"/>
  <c r="U217" i="38" s="1"/>
  <c r="S169" i="38"/>
  <c r="T169" i="38" s="1"/>
  <c r="U169" i="38" s="1"/>
  <c r="S10" i="38"/>
  <c r="T10" i="38" s="1"/>
  <c r="U10" i="38" s="1"/>
  <c r="S196" i="38"/>
  <c r="T196" i="38" s="1"/>
  <c r="U196" i="38" s="1"/>
  <c r="S164" i="38"/>
  <c r="T164" i="38" s="1"/>
  <c r="U164" i="38" s="1"/>
  <c r="S315" i="38"/>
  <c r="T315" i="38" s="1"/>
  <c r="U315" i="38" s="1"/>
  <c r="S244" i="38"/>
  <c r="T244" i="38" s="1"/>
  <c r="U244" i="38" s="1"/>
  <c r="S64" i="38"/>
  <c r="T64" i="38" s="1"/>
  <c r="U64" i="38" s="1"/>
  <c r="S23" i="38"/>
  <c r="T23" i="38" s="1"/>
  <c r="U23" i="38" s="1"/>
  <c r="S194" i="38"/>
  <c r="T194" i="38" s="1"/>
  <c r="U194" i="38" s="1"/>
  <c r="S128" i="38"/>
  <c r="T128" i="38" s="1"/>
  <c r="U128" i="38" s="1"/>
  <c r="S40" i="38"/>
  <c r="T40" i="38" s="1"/>
  <c r="U40" i="38" s="1"/>
  <c r="S168" i="38"/>
  <c r="T168" i="38" s="1"/>
  <c r="U168" i="38" s="1"/>
  <c r="S12" i="38"/>
  <c r="T12" i="38" s="1"/>
  <c r="U12" i="38" s="1"/>
  <c r="S8" i="38"/>
  <c r="T8" i="38" s="1"/>
  <c r="U8" i="38" s="1"/>
  <c r="S161" i="38"/>
  <c r="T161" i="38" s="1"/>
  <c r="U161" i="38" s="1"/>
  <c r="S75" i="38"/>
  <c r="T75" i="38" s="1"/>
  <c r="U75" i="38" s="1"/>
  <c r="S142" i="38"/>
  <c r="T142" i="38" s="1"/>
  <c r="U142" i="38" s="1"/>
  <c r="S290" i="38"/>
  <c r="T290" i="38" s="1"/>
  <c r="U290" i="38" s="1"/>
  <c r="S216" i="38"/>
  <c r="T216" i="38" s="1"/>
  <c r="U216" i="38" s="1"/>
  <c r="S85" i="38"/>
  <c r="T85" i="38" s="1"/>
  <c r="U85" i="38" s="1"/>
  <c r="S58" i="38"/>
  <c r="T58" i="38" s="1"/>
  <c r="U58" i="38" s="1"/>
  <c r="S193" i="38"/>
  <c r="T193" i="38" s="1"/>
  <c r="U193" i="38" s="1"/>
  <c r="S174" i="38"/>
  <c r="T174" i="38" s="1"/>
  <c r="U174" i="38" s="1"/>
  <c r="S27" i="38"/>
  <c r="T27" i="38" s="1"/>
  <c r="U27" i="38" s="1"/>
  <c r="S282" i="38"/>
  <c r="T282" i="38" s="1"/>
  <c r="U282" i="38" s="1"/>
  <c r="S222" i="38"/>
  <c r="T222" i="38" s="1"/>
  <c r="U222" i="38" s="1"/>
  <c r="S240" i="38"/>
  <c r="T240" i="38" s="1"/>
  <c r="U240" i="38" s="1"/>
  <c r="S98" i="38"/>
  <c r="T98" i="38" s="1"/>
  <c r="U98" i="38" s="1"/>
  <c r="S42" i="38"/>
  <c r="T42" i="38" s="1"/>
  <c r="U42" i="38" s="1"/>
  <c r="S200" i="38"/>
  <c r="T200" i="38" s="1"/>
  <c r="U200" i="38" s="1"/>
  <c r="S258" i="38"/>
  <c r="T258" i="38" s="1"/>
  <c r="U258" i="38" s="1"/>
  <c r="S147" i="38"/>
  <c r="T147" i="38" s="1"/>
  <c r="U147" i="38" s="1"/>
  <c r="S271" i="38"/>
  <c r="T271" i="38" s="1"/>
  <c r="U271" i="38" s="1"/>
  <c r="S113" i="38"/>
  <c r="T113" i="38" s="1"/>
  <c r="U113" i="38" s="1"/>
  <c r="S114" i="38"/>
  <c r="T114" i="38" s="1"/>
  <c r="U114" i="38" s="1"/>
  <c r="S127" i="38"/>
  <c r="T127" i="38" s="1"/>
  <c r="U127" i="38" s="1"/>
  <c r="S152" i="38"/>
  <c r="T152" i="38" s="1"/>
  <c r="U152" i="38" s="1"/>
  <c r="S288" i="38"/>
  <c r="T288" i="38" s="1"/>
  <c r="U288" i="38" s="1"/>
  <c r="S294" i="38"/>
  <c r="T294" i="38" s="1"/>
  <c r="U294" i="38" s="1"/>
  <c r="S159" i="38"/>
  <c r="T159" i="38" s="1"/>
  <c r="U159" i="38" s="1"/>
  <c r="S215" i="38"/>
  <c r="T215" i="38" s="1"/>
  <c r="U215" i="38" s="1"/>
  <c r="S38" i="38"/>
  <c r="T38" i="38" s="1"/>
  <c r="U38" i="38" s="1"/>
  <c r="S268" i="38"/>
  <c r="T268" i="38" s="1"/>
  <c r="U268" i="38" s="1"/>
  <c r="S123" i="38"/>
  <c r="T123" i="38" s="1"/>
  <c r="U123" i="38" s="1"/>
  <c r="S34" i="38"/>
  <c r="T34" i="38" s="1"/>
  <c r="U34" i="38" s="1"/>
  <c r="S52" i="38"/>
  <c r="T52" i="38" s="1"/>
  <c r="U52" i="38" s="1"/>
  <c r="S7" i="38"/>
  <c r="T7" i="38" s="1"/>
  <c r="U7" i="38" s="1"/>
  <c r="S69" i="38"/>
  <c r="T69" i="38" s="1"/>
  <c r="U69" i="38" s="1"/>
  <c r="S43" i="38"/>
  <c r="T43" i="38" s="1"/>
  <c r="U43" i="38" s="1"/>
  <c r="S219" i="38"/>
  <c r="T219" i="38" s="1"/>
  <c r="U219" i="38" s="1"/>
  <c r="S116" i="38"/>
  <c r="T116" i="38" s="1"/>
  <c r="U116" i="38" s="1"/>
  <c r="S286" i="38"/>
  <c r="T286" i="38" s="1"/>
  <c r="U286" i="38" s="1"/>
  <c r="S287" i="38"/>
  <c r="T287" i="38" s="1"/>
  <c r="U287" i="38" s="1"/>
  <c r="S279" i="38"/>
  <c r="T279" i="38" s="1"/>
  <c r="U279" i="38" s="1"/>
  <c r="S80" i="38"/>
  <c r="T80" i="38" s="1"/>
  <c r="U80" i="38" s="1"/>
  <c r="S305" i="38"/>
  <c r="T305" i="38" s="1"/>
  <c r="U305" i="38" s="1"/>
  <c r="S118" i="38"/>
  <c r="T118" i="38" s="1"/>
  <c r="U118" i="38" s="1"/>
  <c r="S213" i="38"/>
  <c r="T213" i="38" s="1"/>
  <c r="U213" i="38" s="1"/>
  <c r="S136" i="38"/>
  <c r="T136" i="38" s="1"/>
  <c r="U136" i="38" s="1"/>
  <c r="S317" i="38"/>
  <c r="T317" i="38" s="1"/>
  <c r="U317" i="38" s="1"/>
  <c r="S203" i="38"/>
  <c r="T203" i="38" s="1"/>
  <c r="U203" i="38" s="1"/>
  <c r="S313" i="38"/>
  <c r="T313" i="38" s="1"/>
  <c r="U313" i="38" s="1"/>
  <c r="S226" i="38"/>
  <c r="T226" i="38" s="1"/>
  <c r="U226" i="38" s="1"/>
  <c r="S246" i="38"/>
  <c r="T246" i="38" s="1"/>
  <c r="U246" i="38" s="1"/>
  <c r="S257" i="38"/>
  <c r="T257" i="38" s="1"/>
  <c r="U257" i="38" s="1"/>
  <c r="S155" i="38"/>
  <c r="T155" i="38" s="1"/>
  <c r="U155" i="38" s="1"/>
  <c r="S224" i="38"/>
  <c r="T224" i="38" s="1"/>
  <c r="U224" i="38" s="1"/>
  <c r="S227" i="38"/>
  <c r="T227" i="38" s="1"/>
  <c r="U227" i="38" s="1"/>
  <c r="S250" i="38"/>
  <c r="T250" i="38" s="1"/>
  <c r="U250" i="38" s="1"/>
  <c r="S148" i="38"/>
  <c r="T148" i="38" s="1"/>
  <c r="U148" i="38" s="1"/>
  <c r="S236" i="38"/>
  <c r="T236" i="38" s="1"/>
  <c r="U236" i="38" s="1"/>
  <c r="S183" i="38"/>
  <c r="T183" i="38" s="1"/>
  <c r="U183" i="38" s="1"/>
  <c r="S126" i="38"/>
  <c r="T126" i="38" s="1"/>
  <c r="U126" i="38" s="1"/>
  <c r="S177" i="38"/>
  <c r="T177" i="38" s="1"/>
  <c r="U177" i="38" s="1"/>
  <c r="S312" i="38"/>
  <c r="T312" i="38" s="1"/>
  <c r="U312" i="38" s="1"/>
  <c r="S115" i="38"/>
  <c r="T115" i="38" s="1"/>
  <c r="U115" i="38" s="1"/>
  <c r="S160" i="38"/>
  <c r="T160" i="38" s="1"/>
  <c r="U160" i="38" s="1"/>
  <c r="S209" i="38"/>
  <c r="T209" i="38" s="1"/>
  <c r="U209" i="38" s="1"/>
  <c r="S63" i="38"/>
  <c r="T63" i="38" s="1"/>
  <c r="U63" i="38" s="1"/>
  <c r="S106" i="38"/>
  <c r="T106" i="38" s="1"/>
  <c r="U106" i="38" s="1"/>
  <c r="S207" i="38"/>
  <c r="T207" i="38" s="1"/>
  <c r="U207" i="38" s="1"/>
  <c r="S125" i="38"/>
  <c r="T125" i="38" s="1"/>
  <c r="U125" i="38" s="1"/>
  <c r="S140" i="38"/>
  <c r="T140" i="38" s="1"/>
  <c r="U140" i="38" s="1"/>
  <c r="S57" i="38"/>
  <c r="T57" i="38" s="1"/>
  <c r="U57" i="38" s="1"/>
  <c r="S181" i="38"/>
  <c r="T181" i="38" s="1"/>
  <c r="U181" i="38" s="1"/>
  <c r="S112" i="38"/>
  <c r="T112" i="38" s="1"/>
  <c r="U112" i="38" s="1"/>
  <c r="S291" i="38"/>
  <c r="T291" i="38" s="1"/>
  <c r="U291" i="38" s="1"/>
  <c r="S163" i="38"/>
  <c r="T163" i="38" s="1"/>
  <c r="U163" i="38" s="1"/>
  <c r="S269" i="38"/>
  <c r="T269" i="38" s="1"/>
  <c r="U269" i="38" s="1"/>
  <c r="S37" i="38"/>
  <c r="T37" i="38" s="1"/>
  <c r="U37" i="38" s="1"/>
  <c r="S191" i="38"/>
  <c r="T191" i="38" s="1"/>
  <c r="U191" i="38" s="1"/>
  <c r="S48" i="38"/>
  <c r="T48" i="38" s="1"/>
  <c r="U48" i="38" s="1"/>
  <c r="S108" i="38"/>
  <c r="T108" i="38" s="1"/>
  <c r="U108" i="38" s="1"/>
  <c r="S195" i="38"/>
  <c r="T195" i="38" s="1"/>
  <c r="U195" i="38" s="1"/>
  <c r="S241" i="38"/>
  <c r="T241" i="38" s="1"/>
  <c r="U241" i="38" s="1"/>
  <c r="S132" i="38"/>
  <c r="T132" i="38" s="1"/>
  <c r="U132" i="38" s="1"/>
  <c r="S310" i="38"/>
  <c r="T310" i="38" s="1"/>
  <c r="U310" i="38" s="1"/>
  <c r="S188" i="38"/>
  <c r="T188" i="38" s="1"/>
  <c r="U188" i="38" s="1"/>
  <c r="S82" i="38"/>
  <c r="T82" i="38" s="1"/>
  <c r="U82" i="38" s="1"/>
  <c r="S234" i="38"/>
  <c r="T234" i="38" s="1"/>
  <c r="U234" i="38" s="1"/>
  <c r="S199" i="38"/>
  <c r="T199" i="38" s="1"/>
  <c r="U199" i="38" s="1"/>
  <c r="S311" i="38"/>
  <c r="T311" i="38" s="1"/>
  <c r="U311" i="38" s="1"/>
  <c r="S202" i="38"/>
  <c r="T202" i="38" s="1"/>
  <c r="U202" i="38" s="1"/>
  <c r="S130" i="38"/>
  <c r="T130" i="38" s="1"/>
  <c r="U130" i="38" s="1"/>
  <c r="S19" i="38"/>
  <c r="T19" i="38" s="1"/>
  <c r="U19" i="38" s="1"/>
  <c r="S74" i="38"/>
  <c r="T74" i="38" s="1"/>
  <c r="U74" i="38" s="1"/>
  <c r="S54" i="38"/>
  <c r="T54" i="38" s="1"/>
  <c r="U54" i="38" s="1"/>
  <c r="S15" i="38"/>
  <c r="T15" i="38" s="1"/>
  <c r="U15" i="38" s="1"/>
  <c r="S13" i="38"/>
  <c r="T13" i="38" s="1"/>
  <c r="U13" i="38" s="1"/>
  <c r="S276" i="38"/>
  <c r="T276" i="38" s="1"/>
  <c r="U276" i="38" s="1"/>
  <c r="S55" i="38"/>
  <c r="T55" i="38" s="1"/>
  <c r="U55" i="38" s="1"/>
  <c r="S62" i="38"/>
  <c r="T62" i="38" s="1"/>
  <c r="U62" i="38" s="1"/>
  <c r="S129" i="38"/>
  <c r="T129" i="38" s="1"/>
  <c r="U129" i="38" s="1"/>
  <c r="S182" i="38"/>
  <c r="T182" i="38" s="1"/>
  <c r="U182" i="38" s="1"/>
  <c r="S73" i="38"/>
  <c r="T73" i="38" s="1"/>
  <c r="U73" i="38" s="1"/>
  <c r="S124" i="38"/>
  <c r="T124" i="38" s="1"/>
  <c r="U124" i="38" s="1"/>
  <c r="S36" i="38"/>
  <c r="T36" i="38" s="1"/>
  <c r="U36" i="38" s="1"/>
  <c r="S90" i="38"/>
  <c r="T90" i="38" s="1"/>
  <c r="U90" i="38" s="1"/>
  <c r="S270" i="38"/>
  <c r="T270" i="38" s="1"/>
  <c r="U270" i="38" s="1"/>
  <c r="S79" i="38"/>
  <c r="T79" i="38" s="1"/>
  <c r="U79" i="38" s="1"/>
  <c r="S307" i="38"/>
  <c r="T307" i="38" s="1"/>
  <c r="U307" i="38" s="1"/>
  <c r="S25" i="38"/>
  <c r="T25" i="38" s="1"/>
  <c r="U25" i="38" s="1"/>
  <c r="S16" i="38"/>
  <c r="T16" i="38" s="1"/>
  <c r="U16" i="38" s="1"/>
  <c r="S273" i="38"/>
  <c r="T273" i="38" s="1"/>
  <c r="U273" i="38" s="1"/>
  <c r="S145" i="38"/>
  <c r="T145" i="38" s="1"/>
  <c r="U145" i="38" s="1"/>
  <c r="S278" i="38"/>
  <c r="T278" i="38" s="1"/>
  <c r="U278" i="38" s="1"/>
  <c r="S32" i="38"/>
  <c r="T32" i="38" s="1"/>
  <c r="U32" i="38" s="1"/>
  <c r="S248" i="38"/>
  <c r="T248" i="38" s="1"/>
  <c r="U248" i="38" s="1"/>
  <c r="S187" i="38"/>
  <c r="T187" i="38" s="1"/>
  <c r="U187" i="38" s="1"/>
  <c r="S242" i="38"/>
  <c r="T242" i="38" s="1"/>
  <c r="U242" i="38" s="1"/>
  <c r="S49" i="38"/>
  <c r="T49" i="38" s="1"/>
  <c r="U49" i="38" s="1"/>
  <c r="S131" i="38"/>
  <c r="T131" i="38" s="1"/>
  <c r="U131" i="38" s="1"/>
  <c r="S283" i="38"/>
  <c r="T283" i="38" s="1"/>
  <c r="U283" i="38" s="1"/>
  <c r="S171" i="38"/>
  <c r="T171" i="38" s="1"/>
  <c r="U171" i="38" s="1"/>
  <c r="S35" i="38"/>
  <c r="T35" i="38" s="1"/>
  <c r="U35" i="38" s="1"/>
  <c r="S31" i="38"/>
  <c r="T31" i="38" s="1"/>
  <c r="U31" i="38" s="1"/>
  <c r="S110" i="38"/>
  <c r="T110" i="38" s="1"/>
  <c r="U110" i="38" s="1"/>
  <c r="S173" i="38"/>
  <c r="T173" i="38" s="1"/>
  <c r="U173" i="38" s="1"/>
  <c r="S146" i="38"/>
  <c r="T146" i="38" s="1"/>
  <c r="U146" i="38" s="1"/>
  <c r="S26" i="38"/>
  <c r="T26" i="38" s="1"/>
  <c r="U26" i="38" s="1"/>
  <c r="S266" i="38"/>
  <c r="T266" i="38" s="1"/>
  <c r="U266" i="38" s="1"/>
  <c r="S44" i="38"/>
  <c r="T44" i="38" s="1"/>
  <c r="U44" i="38" s="1"/>
  <c r="S121" i="38"/>
  <c r="T121" i="38" s="1"/>
  <c r="U121" i="38" s="1"/>
  <c r="S176" i="38"/>
  <c r="T176" i="38" s="1"/>
  <c r="U176" i="38" s="1"/>
  <c r="S21" i="38"/>
  <c r="T21" i="38" s="1"/>
  <c r="U21" i="38" s="1"/>
  <c r="S166" i="38"/>
  <c r="T166" i="38" s="1"/>
  <c r="U166" i="38" s="1"/>
  <c r="S316" i="38"/>
  <c r="T316" i="38" s="1"/>
  <c r="U316" i="38" s="1"/>
  <c r="S28" i="38"/>
  <c r="T28" i="38" s="1"/>
  <c r="U28" i="38" s="1"/>
  <c r="S150" i="38"/>
  <c r="T150" i="38" s="1"/>
  <c r="U150" i="38" s="1"/>
  <c r="S156" i="38"/>
  <c r="T156" i="38" s="1"/>
  <c r="U156" i="38" s="1"/>
  <c r="S233" i="38"/>
  <c r="T233" i="38" s="1"/>
  <c r="U233" i="38" s="1"/>
  <c r="S143" i="38"/>
  <c r="T143" i="38" s="1"/>
  <c r="U143" i="38" s="1"/>
  <c r="S280" i="38"/>
  <c r="T280" i="38" s="1"/>
  <c r="U280" i="38" s="1"/>
  <c r="S117" i="38"/>
  <c r="T117" i="38" s="1"/>
  <c r="U117" i="38" s="1"/>
  <c r="S83" i="38"/>
  <c r="T83" i="38" s="1"/>
  <c r="U83" i="38" s="1"/>
  <c r="S298" i="38"/>
  <c r="T298" i="38" s="1"/>
  <c r="U298" i="38" s="1"/>
  <c r="S178" i="38"/>
  <c r="T178" i="38" s="1"/>
  <c r="U178" i="38" s="1"/>
  <c r="S120" i="38"/>
  <c r="T120" i="38" s="1"/>
  <c r="U120" i="38" s="1"/>
  <c r="S243" i="38"/>
  <c r="T243" i="38" s="1"/>
  <c r="U243" i="38" s="1"/>
  <c r="S239" i="38"/>
  <c r="T239" i="38" s="1"/>
  <c r="U239" i="38" s="1"/>
  <c r="S122" i="38"/>
  <c r="T122" i="38" s="1"/>
  <c r="U122" i="38" s="1"/>
  <c r="S201" i="38"/>
  <c r="T201" i="38" s="1"/>
  <c r="U201" i="38" s="1"/>
  <c r="S86" i="38"/>
  <c r="T86" i="38" s="1"/>
  <c r="U86" i="38" s="1"/>
  <c r="S247" i="38"/>
  <c r="T247" i="38" s="1"/>
  <c r="U247" i="38" s="1"/>
  <c r="S264" i="38"/>
  <c r="T264" i="38" s="1"/>
  <c r="U264" i="38" s="1"/>
  <c r="S275" i="38"/>
  <c r="T275" i="38" s="1"/>
  <c r="U275" i="38" s="1"/>
  <c r="S91" i="38"/>
  <c r="T91" i="38" s="1"/>
  <c r="U91" i="38" s="1"/>
  <c r="S253" i="38"/>
  <c r="T253" i="38" s="1"/>
  <c r="U253" i="38" s="1"/>
  <c r="S284" i="38"/>
  <c r="T284" i="38" s="1"/>
  <c r="U284" i="38" s="1"/>
  <c r="S14" i="38"/>
  <c r="T14" i="38" s="1"/>
  <c r="U14" i="38" s="1"/>
  <c r="S104" i="38"/>
  <c r="T104" i="38" s="1"/>
  <c r="U104" i="38" s="1"/>
  <c r="S93" i="38"/>
  <c r="T93" i="38" s="1"/>
  <c r="U93" i="38" s="1"/>
  <c r="S151" i="38"/>
  <c r="T151" i="38" s="1"/>
  <c r="U151" i="38" s="1"/>
  <c r="S197" i="38"/>
  <c r="T197" i="38" s="1"/>
  <c r="U197" i="38" s="1"/>
  <c r="S94" i="38"/>
  <c r="T94" i="38" s="1"/>
  <c r="U94" i="38" s="1"/>
  <c r="S235" i="38"/>
  <c r="T235" i="38" s="1"/>
  <c r="U235" i="38" s="1"/>
  <c r="S297" i="38"/>
  <c r="T297" i="38" s="1"/>
  <c r="U297" i="38" s="1"/>
  <c r="S231" i="38"/>
  <c r="T231" i="38" s="1"/>
  <c r="U231" i="38" s="1"/>
  <c r="S72" i="38"/>
  <c r="T72" i="38" s="1"/>
  <c r="U72" i="38" s="1"/>
  <c r="S65" i="38"/>
  <c r="T65" i="38" s="1"/>
  <c r="U65" i="38" s="1"/>
  <c r="S265" i="38"/>
  <c r="T265" i="38" s="1"/>
  <c r="U265" i="38" s="1"/>
  <c r="S158" i="38"/>
  <c r="T158" i="38" s="1"/>
  <c r="U158" i="38" s="1"/>
  <c r="S100" i="38"/>
  <c r="T100" i="38" s="1"/>
  <c r="U100" i="38" s="1"/>
  <c r="S67" i="38"/>
  <c r="T67" i="38" s="1"/>
  <c r="U67" i="38" s="1"/>
  <c r="S56" i="38"/>
  <c r="T56" i="38" s="1"/>
  <c r="U56" i="38" s="1"/>
  <c r="S41" i="38"/>
  <c r="T41" i="38" s="1"/>
  <c r="U41" i="38" s="1"/>
  <c r="S285" i="38"/>
  <c r="T285" i="38" s="1"/>
  <c r="U285" i="38" s="1"/>
  <c r="S138" i="38"/>
  <c r="T138" i="38" s="1"/>
  <c r="U138" i="38" s="1"/>
  <c r="S198" i="38"/>
  <c r="T198" i="38" s="1"/>
  <c r="U198" i="38" s="1"/>
  <c r="S192" i="38"/>
  <c r="T192" i="38" s="1"/>
  <c r="U192" i="38" s="1"/>
  <c r="S81" i="38"/>
  <c r="T81" i="38" s="1"/>
  <c r="U81" i="38" s="1"/>
  <c r="S89" i="38"/>
  <c r="T89" i="38" s="1"/>
  <c r="U89" i="38" s="1"/>
  <c r="S245" i="38"/>
  <c r="T245" i="38" s="1"/>
  <c r="U245" i="38" s="1"/>
  <c r="S293" i="38"/>
  <c r="T293" i="38" s="1"/>
  <c r="U293" i="38" s="1"/>
  <c r="S101" i="38"/>
  <c r="T101" i="38" s="1"/>
  <c r="U101" i="38" s="1"/>
  <c r="S296" i="38"/>
  <c r="T296" i="38" s="1"/>
  <c r="U296" i="38" s="1"/>
  <c r="S105" i="38"/>
  <c r="T105" i="38" s="1"/>
  <c r="U105" i="38" s="1"/>
  <c r="S252" i="38"/>
  <c r="T252" i="38" s="1"/>
  <c r="U252" i="38" s="1"/>
  <c r="S225" i="38"/>
  <c r="T225" i="38" s="1"/>
  <c r="U225" i="38" s="1"/>
  <c r="S262" i="38"/>
  <c r="T262" i="38" s="1"/>
  <c r="U262" i="38" s="1"/>
  <c r="S6" i="38"/>
  <c r="T6" i="38" s="1"/>
  <c r="U6" i="38" s="1"/>
  <c r="S153" i="38"/>
  <c r="T153" i="38" s="1"/>
  <c r="U153" i="38" s="1"/>
  <c r="S189" i="38"/>
  <c r="T189" i="38" s="1"/>
  <c r="U189" i="38" s="1"/>
  <c r="S157" i="38"/>
  <c r="T157" i="38" s="1"/>
  <c r="U157" i="38" s="1"/>
  <c r="S139" i="38"/>
  <c r="T139" i="38" s="1"/>
  <c r="U139" i="38" s="1"/>
  <c r="S223" i="38"/>
  <c r="T223" i="38" s="1"/>
  <c r="U223" i="38" s="1"/>
  <c r="S60" i="38"/>
  <c r="T60" i="38" s="1"/>
  <c r="U60" i="38" s="1"/>
  <c r="S179" i="38"/>
  <c r="T179" i="38" s="1"/>
  <c r="U179" i="38" s="1"/>
  <c r="S263" i="38"/>
  <c r="T263" i="38" s="1"/>
  <c r="U263" i="38" s="1"/>
  <c r="S185" i="38"/>
  <c r="T185" i="38" s="1"/>
  <c r="U185" i="38" s="1"/>
  <c r="S318" i="38"/>
  <c r="T318" i="38" s="1"/>
  <c r="U318" i="38" s="1"/>
  <c r="S109" i="38"/>
  <c r="T109" i="38" s="1"/>
  <c r="U109" i="38" s="1"/>
  <c r="S228" i="38"/>
  <c r="T228" i="38" s="1"/>
  <c r="U228" i="38" s="1"/>
  <c r="S300" i="38"/>
  <c r="T300" i="38" s="1"/>
  <c r="U300" i="38" s="1"/>
  <c r="S92" i="38"/>
  <c r="T92" i="38" s="1"/>
  <c r="U92" i="38" s="1"/>
  <c r="S259" i="38"/>
  <c r="T259" i="38" s="1"/>
  <c r="U259" i="38" s="1"/>
  <c r="S50" i="38"/>
  <c r="T50" i="38" s="1"/>
  <c r="U50" i="38" s="1"/>
  <c r="S137" i="38"/>
  <c r="T137" i="38" s="1"/>
  <c r="U137" i="38" s="1"/>
  <c r="S96" i="38"/>
  <c r="T96" i="38" s="1"/>
  <c r="U96" i="38" s="1"/>
  <c r="S214" i="38"/>
  <c r="T214" i="38" s="1"/>
  <c r="U214" i="38" s="1"/>
  <c r="S71" i="38"/>
  <c r="T71" i="38" s="1"/>
  <c r="U71" i="38" s="1"/>
  <c r="S289" i="38"/>
  <c r="T289" i="38" s="1"/>
  <c r="U289" i="38" s="1"/>
  <c r="S66" i="38"/>
  <c r="T66" i="38" s="1"/>
  <c r="U66" i="38" s="1"/>
  <c r="S144" i="38"/>
  <c r="T144" i="38" s="1"/>
  <c r="U144" i="38" s="1"/>
  <c r="S99" i="38"/>
  <c r="T99" i="38" s="1"/>
  <c r="U99" i="38" s="1"/>
  <c r="S68" i="38"/>
  <c r="T68" i="38" s="1"/>
  <c r="U68" i="38" s="1"/>
  <c r="S102" i="38"/>
  <c r="T102" i="38" s="1"/>
  <c r="U102" i="38" s="1"/>
  <c r="S274" i="38"/>
  <c r="T274" i="38" s="1"/>
  <c r="U274" i="38" s="1"/>
  <c r="S22" i="38"/>
  <c r="T22" i="38" s="1"/>
  <c r="U22" i="38" s="1"/>
  <c r="S314" i="38"/>
  <c r="T314" i="38" s="1"/>
  <c r="U314" i="38" s="1"/>
  <c r="S170" i="38"/>
  <c r="T170" i="38" s="1"/>
  <c r="U170" i="38" s="1"/>
  <c r="S211" i="38"/>
  <c r="T211" i="38" s="1"/>
  <c r="U211" i="38" s="1"/>
  <c r="S46" i="38"/>
  <c r="T46" i="38" s="1"/>
  <c r="U46" i="38" s="1"/>
  <c r="S255" i="38"/>
  <c r="T255" i="38" s="1"/>
  <c r="U255" i="38" s="1"/>
  <c r="S5" i="38"/>
  <c r="T5" i="38" s="1"/>
  <c r="U5" i="38" s="1"/>
  <c r="S59" i="38"/>
  <c r="T59" i="38" s="1"/>
  <c r="U59" i="38" s="1"/>
  <c r="S11" i="38"/>
  <c r="T11" i="38" s="1"/>
  <c r="U11" i="38" s="1"/>
  <c r="S165" i="38"/>
  <c r="T165" i="38" s="1"/>
  <c r="U165" i="38" s="1"/>
  <c r="S251" i="38"/>
  <c r="T251" i="38" s="1"/>
  <c r="U251" i="38" s="1"/>
  <c r="S18" i="38"/>
  <c r="T18" i="38" s="1"/>
  <c r="U18" i="38" s="1"/>
  <c r="S232" i="38"/>
  <c r="T232" i="38" s="1"/>
  <c r="U232" i="38" s="1"/>
  <c r="S175" i="38"/>
  <c r="T175" i="38" s="1"/>
  <c r="U175" i="38" s="1"/>
  <c r="S208" i="38"/>
  <c r="T208" i="38" s="1"/>
  <c r="U208" i="38" s="1"/>
  <c r="S77" i="38"/>
  <c r="T77" i="38" s="1"/>
  <c r="U77" i="38" s="1"/>
  <c r="S87" i="38"/>
  <c r="T87" i="38" s="1"/>
  <c r="U87" i="38" s="1"/>
  <c r="S20" i="38"/>
  <c r="T20" i="38" s="1"/>
  <c r="U20" i="38" s="1"/>
  <c r="S53" i="38"/>
  <c r="T53" i="38" s="1"/>
  <c r="U53" i="38" s="1"/>
  <c r="S51" i="38"/>
  <c r="T51" i="38" s="1"/>
  <c r="U51" i="38" s="1"/>
  <c r="S221" i="38"/>
  <c r="T221" i="38" s="1"/>
  <c r="U221" i="38" s="1"/>
  <c r="S277" i="38"/>
  <c r="T277" i="38" s="1"/>
  <c r="U277" i="38" s="1"/>
  <c r="S210" i="38"/>
  <c r="T210" i="38" s="1"/>
  <c r="U210" i="38" s="1"/>
  <c r="S212" i="38"/>
  <c r="T212" i="38" s="1"/>
  <c r="U212" i="38" s="1"/>
  <c r="S154" i="38"/>
  <c r="T154" i="38" s="1"/>
  <c r="U154" i="38" s="1"/>
  <c r="S230" i="38"/>
  <c r="T230" i="38" s="1"/>
  <c r="U230" i="38" s="1"/>
  <c r="S24" i="38"/>
  <c r="T24" i="38" s="1"/>
  <c r="U24" i="38" s="1"/>
  <c r="S135" i="38"/>
  <c r="T135" i="38" s="1"/>
  <c r="U135" i="38" s="1"/>
  <c r="S186" i="38"/>
  <c r="T186" i="38" s="1"/>
  <c r="U186" i="38" s="1"/>
  <c r="S78" i="38"/>
  <c r="T78" i="38" s="1"/>
  <c r="U78" i="38" s="1"/>
  <c r="S304" i="38"/>
  <c r="T304" i="38" s="1"/>
  <c r="U304" i="38" s="1"/>
  <c r="S238" i="38"/>
  <c r="T238" i="38" s="1"/>
  <c r="U238" i="38" s="1"/>
  <c r="S141" i="38"/>
  <c r="T141" i="38" s="1"/>
  <c r="U141" i="38" s="1"/>
  <c r="S119" i="38"/>
  <c r="T119" i="38" s="1"/>
  <c r="U119" i="38" s="1"/>
  <c r="S180" i="38"/>
  <c r="T180" i="38" s="1"/>
  <c r="U180" i="38" s="1"/>
  <c r="S107" i="38"/>
  <c r="T107" i="38" s="1"/>
  <c r="U107" i="38" s="1"/>
  <c r="S220" i="38"/>
  <c r="T220" i="38" s="1"/>
  <c r="U220" i="38" s="1"/>
  <c r="S261" i="38"/>
  <c r="T261" i="38" s="1"/>
  <c r="U261" i="38" s="1"/>
  <c r="S76" i="38"/>
  <c r="T76" i="38" s="1"/>
  <c r="U76" i="38" s="1"/>
  <c r="S190" i="38"/>
  <c r="T190" i="38" s="1"/>
  <c r="U190" i="38" s="1"/>
  <c r="S254" i="38"/>
  <c r="T254" i="38" s="1"/>
  <c r="U254" i="38" s="1"/>
  <c r="S237" i="38"/>
  <c r="T237" i="38" s="1"/>
  <c r="U237" i="38" s="1"/>
  <c r="S167" i="38"/>
  <c r="T167" i="38" s="1"/>
  <c r="U167" i="38" s="1"/>
  <c r="S281" i="38"/>
  <c r="T281" i="38" s="1"/>
  <c r="U281" i="38" s="1"/>
  <c r="S292" i="38"/>
  <c r="T292" i="38" s="1"/>
  <c r="U292" i="38" s="1"/>
  <c r="S97" i="38"/>
  <c r="T97" i="38" s="1"/>
  <c r="U97" i="38" s="1"/>
  <c r="S45" i="38"/>
  <c r="T45" i="38" s="1"/>
  <c r="U45" i="38" s="1"/>
  <c r="S295" i="38"/>
  <c r="T295" i="38" s="1"/>
  <c r="U295" i="38" s="1"/>
  <c r="S47" i="38"/>
  <c r="T47" i="38" s="1"/>
  <c r="U47" i="38" s="1"/>
  <c r="S134" i="38"/>
  <c r="T134" i="38" s="1"/>
  <c r="U134" i="38" s="1"/>
  <c r="S70" i="38"/>
  <c r="T70" i="38" s="1"/>
  <c r="U70" i="38" s="1"/>
  <c r="S9" i="38"/>
  <c r="T9" i="38" s="1"/>
  <c r="U9" i="38" s="1"/>
  <c r="S149" i="38"/>
  <c r="T149" i="38" s="1"/>
  <c r="U149" i="38" s="1"/>
  <c r="S61" i="38"/>
  <c r="T61" i="38" s="1"/>
  <c r="U61" i="38" s="1"/>
  <c r="S260" i="38"/>
  <c r="T260" i="38" s="1"/>
  <c r="U260" i="38" s="1"/>
  <c r="S184" i="38"/>
  <c r="T184" i="38" s="1"/>
  <c r="U184" i="38" s="1"/>
  <c r="S17" i="38"/>
  <c r="T17" i="38" s="1"/>
  <c r="U17" i="38" s="1"/>
  <c r="S29" i="38"/>
  <c r="T29" i="38" s="1"/>
  <c r="U29" i="38" s="1"/>
  <c r="S256" i="38"/>
  <c r="T256" i="38" s="1"/>
  <c r="U256" i="38" s="1"/>
  <c r="S272" i="38"/>
  <c r="T272" i="38" s="1"/>
  <c r="U272" i="38" s="1"/>
  <c r="S309" i="38"/>
  <c r="T309" i="38" s="1"/>
  <c r="U309" i="38" s="1"/>
  <c r="S303" i="38"/>
  <c r="T303" i="38" s="1"/>
  <c r="U303" i="38" s="1"/>
  <c r="S249" i="38"/>
  <c r="T249" i="38" s="1"/>
  <c r="U249" i="38" s="1"/>
  <c r="S302" i="38"/>
  <c r="T302" i="38" s="1"/>
  <c r="U302" i="38" s="1"/>
  <c r="S74" i="37"/>
  <c r="T74" i="37" s="1"/>
  <c r="U74" i="37" s="1"/>
  <c r="S309" i="37"/>
  <c r="T309" i="37" s="1"/>
  <c r="U309" i="37" s="1"/>
  <c r="S225" i="37"/>
  <c r="T225" i="37" s="1"/>
  <c r="U225" i="37" s="1"/>
  <c r="S85" i="37"/>
  <c r="T85" i="37" s="1"/>
  <c r="U85" i="37" s="1"/>
  <c r="S277" i="37"/>
  <c r="T277" i="37" s="1"/>
  <c r="U277" i="37" s="1"/>
  <c r="S169" i="37"/>
  <c r="T169" i="37" s="1"/>
  <c r="U169" i="37" s="1"/>
  <c r="S29" i="37"/>
  <c r="T29" i="37" s="1"/>
  <c r="U29" i="37" s="1"/>
  <c r="S190" i="37"/>
  <c r="T190" i="37" s="1"/>
  <c r="U190" i="37" s="1"/>
  <c r="S59" i="37"/>
  <c r="T59" i="37" s="1"/>
  <c r="U59" i="37" s="1"/>
  <c r="S315" i="37"/>
  <c r="T315" i="37" s="1"/>
  <c r="U315" i="37" s="1"/>
  <c r="S127" i="37"/>
  <c r="T127" i="37" s="1"/>
  <c r="U127" i="37" s="1"/>
  <c r="S20" i="37"/>
  <c r="T20" i="37" s="1"/>
  <c r="U20" i="37" s="1"/>
  <c r="S132" i="37"/>
  <c r="T132" i="37" s="1"/>
  <c r="U132" i="37" s="1"/>
  <c r="S130" i="37"/>
  <c r="T130" i="37" s="1"/>
  <c r="U130" i="37" s="1"/>
  <c r="S242" i="37"/>
  <c r="T242" i="37" s="1"/>
  <c r="U242" i="37" s="1"/>
  <c r="S49" i="37"/>
  <c r="T49" i="37" s="1"/>
  <c r="U49" i="37" s="1"/>
  <c r="S278" i="37"/>
  <c r="T278" i="37" s="1"/>
  <c r="U278" i="37" s="1"/>
  <c r="S136" i="37"/>
  <c r="T136" i="37" s="1"/>
  <c r="U136" i="37" s="1"/>
  <c r="S181" i="37"/>
  <c r="T181" i="37" s="1"/>
  <c r="U181" i="37" s="1"/>
  <c r="S129" i="37"/>
  <c r="T129" i="37" s="1"/>
  <c r="U129" i="37" s="1"/>
  <c r="S178" i="37"/>
  <c r="T178" i="37" s="1"/>
  <c r="U178" i="37" s="1"/>
  <c r="S141" i="37"/>
  <c r="T141" i="37" s="1"/>
  <c r="U141" i="37" s="1"/>
  <c r="S12" i="37"/>
  <c r="T12" i="37" s="1"/>
  <c r="U12" i="37" s="1"/>
  <c r="S177" i="37"/>
  <c r="T177" i="37" s="1"/>
  <c r="U177" i="37" s="1"/>
  <c r="S308" i="37"/>
  <c r="T308" i="37" s="1"/>
  <c r="U308" i="37" s="1"/>
  <c r="S296" i="37"/>
  <c r="T296" i="37" s="1"/>
  <c r="U296" i="37" s="1"/>
  <c r="S164" i="37"/>
  <c r="T164" i="37" s="1"/>
  <c r="U164" i="37" s="1"/>
  <c r="S35" i="37"/>
  <c r="T35" i="37" s="1"/>
  <c r="U35" i="37" s="1"/>
  <c r="S152" i="37"/>
  <c r="T152" i="37" s="1"/>
  <c r="U152" i="37" s="1"/>
  <c r="S219" i="37"/>
  <c r="T219" i="37" s="1"/>
  <c r="U219" i="37" s="1"/>
  <c r="S144" i="37"/>
  <c r="T144" i="37" s="1"/>
  <c r="U144" i="37" s="1"/>
  <c r="S118" i="37"/>
  <c r="T118" i="37" s="1"/>
  <c r="U118" i="37" s="1"/>
  <c r="S161" i="37"/>
  <c r="T161" i="37" s="1"/>
  <c r="U161" i="37" s="1"/>
  <c r="S106" i="37"/>
  <c r="T106" i="37" s="1"/>
  <c r="U106" i="37" s="1"/>
  <c r="S283" i="37"/>
  <c r="T283" i="37" s="1"/>
  <c r="U283" i="37" s="1"/>
  <c r="S134" i="37"/>
  <c r="T134" i="37" s="1"/>
  <c r="U134" i="37" s="1"/>
  <c r="S75" i="37"/>
  <c r="T75" i="37" s="1"/>
  <c r="U75" i="37" s="1"/>
  <c r="S306" i="37"/>
  <c r="T306" i="37" s="1"/>
  <c r="U306" i="37" s="1"/>
  <c r="S260" i="37"/>
  <c r="T260" i="37" s="1"/>
  <c r="U260" i="37" s="1"/>
  <c r="S42" i="37"/>
  <c r="T42" i="37" s="1"/>
  <c r="U42" i="37" s="1"/>
  <c r="S71" i="37"/>
  <c r="T71" i="37" s="1"/>
  <c r="U71" i="37" s="1"/>
  <c r="S229" i="37"/>
  <c r="T229" i="37" s="1"/>
  <c r="U229" i="37" s="1"/>
  <c r="S33" i="37"/>
  <c r="T33" i="37" s="1"/>
  <c r="U33" i="37" s="1"/>
  <c r="S73" i="37"/>
  <c r="T73" i="37" s="1"/>
  <c r="U73" i="37" s="1"/>
  <c r="S216" i="37"/>
  <c r="T216" i="37" s="1"/>
  <c r="U216" i="37" s="1"/>
  <c r="S299" i="37"/>
  <c r="T299" i="37" s="1"/>
  <c r="U299" i="37" s="1"/>
  <c r="S153" i="37"/>
  <c r="T153" i="37" s="1"/>
  <c r="U153" i="37" s="1"/>
  <c r="S266" i="37"/>
  <c r="T266" i="37" s="1"/>
  <c r="U266" i="37" s="1"/>
  <c r="S165" i="37"/>
  <c r="T165" i="37" s="1"/>
  <c r="U165" i="37" s="1"/>
  <c r="S188" i="37"/>
  <c r="T188" i="37" s="1"/>
  <c r="U188" i="37" s="1"/>
  <c r="S174" i="37"/>
  <c r="T174" i="37" s="1"/>
  <c r="U174" i="37" s="1"/>
  <c r="S125" i="37"/>
  <c r="T125" i="37" s="1"/>
  <c r="U125" i="37" s="1"/>
  <c r="S222" i="37"/>
  <c r="T222" i="37" s="1"/>
  <c r="U222" i="37" s="1"/>
  <c r="S70" i="37"/>
  <c r="T70" i="37" s="1"/>
  <c r="U70" i="37" s="1"/>
  <c r="S105" i="37"/>
  <c r="T105" i="37" s="1"/>
  <c r="U105" i="37" s="1"/>
  <c r="S91" i="37"/>
  <c r="T91" i="37" s="1"/>
  <c r="U91" i="37" s="1"/>
  <c r="S248" i="37"/>
  <c r="T248" i="37" s="1"/>
  <c r="U248" i="37" s="1"/>
  <c r="S291" i="37"/>
  <c r="T291" i="37" s="1"/>
  <c r="U291" i="37" s="1"/>
  <c r="S220" i="37"/>
  <c r="T220" i="37" s="1"/>
  <c r="U220" i="37" s="1"/>
  <c r="S6" i="37"/>
  <c r="T6" i="37" s="1"/>
  <c r="U6" i="37" s="1"/>
  <c r="S271" i="37"/>
  <c r="T271" i="37" s="1"/>
  <c r="U271" i="37" s="1"/>
  <c r="S24" i="37"/>
  <c r="T24" i="37" s="1"/>
  <c r="U24" i="37" s="1"/>
  <c r="S96" i="37"/>
  <c r="T96" i="37" s="1"/>
  <c r="U96" i="37" s="1"/>
  <c r="S51" i="37"/>
  <c r="T51" i="37" s="1"/>
  <c r="U51" i="37" s="1"/>
  <c r="S162" i="37"/>
  <c r="T162" i="37" s="1"/>
  <c r="U162" i="37" s="1"/>
  <c r="S257" i="37"/>
  <c r="T257" i="37" s="1"/>
  <c r="U257" i="37" s="1"/>
  <c r="S287" i="37"/>
  <c r="T287" i="37" s="1"/>
  <c r="U287" i="37" s="1"/>
  <c r="S184" i="37"/>
  <c r="T184" i="37" s="1"/>
  <c r="U184" i="37" s="1"/>
  <c r="S148" i="37"/>
  <c r="T148" i="37" s="1"/>
  <c r="U148" i="37" s="1"/>
  <c r="S115" i="37"/>
  <c r="T115" i="37" s="1"/>
  <c r="U115" i="37" s="1"/>
  <c r="S160" i="37"/>
  <c r="T160" i="37" s="1"/>
  <c r="U160" i="37" s="1"/>
  <c r="S61" i="37"/>
  <c r="T61" i="37" s="1"/>
  <c r="U61" i="37" s="1"/>
  <c r="S94" i="37"/>
  <c r="T94" i="37" s="1"/>
  <c r="U94" i="37" s="1"/>
  <c r="S255" i="37"/>
  <c r="T255" i="37" s="1"/>
  <c r="U255" i="37" s="1"/>
  <c r="S13" i="37"/>
  <c r="T13" i="37" s="1"/>
  <c r="U13" i="37" s="1"/>
  <c r="S194" i="37"/>
  <c r="T194" i="37" s="1"/>
  <c r="U194" i="37" s="1"/>
  <c r="S155" i="37"/>
  <c r="T155" i="37" s="1"/>
  <c r="U155" i="37" s="1"/>
  <c r="S311" i="37"/>
  <c r="T311" i="37" s="1"/>
  <c r="U311" i="37" s="1"/>
  <c r="S238" i="37"/>
  <c r="T238" i="37" s="1"/>
  <c r="U238" i="37" s="1"/>
  <c r="S313" i="37"/>
  <c r="T313" i="37" s="1"/>
  <c r="U313" i="37" s="1"/>
  <c r="S227" i="37"/>
  <c r="T227" i="37" s="1"/>
  <c r="U227" i="37" s="1"/>
  <c r="S139" i="37"/>
  <c r="T139" i="37" s="1"/>
  <c r="U139" i="37" s="1"/>
  <c r="S243" i="37"/>
  <c r="T243" i="37" s="1"/>
  <c r="U243" i="37" s="1"/>
  <c r="S186" i="37"/>
  <c r="T186" i="37" s="1"/>
  <c r="U186" i="37" s="1"/>
  <c r="S175" i="37"/>
  <c r="T175" i="37" s="1"/>
  <c r="U175" i="37" s="1"/>
  <c r="S47" i="37"/>
  <c r="T47" i="37" s="1"/>
  <c r="U47" i="37" s="1"/>
  <c r="S157" i="37"/>
  <c r="T157" i="37" s="1"/>
  <c r="U157" i="37" s="1"/>
  <c r="S302" i="37"/>
  <c r="T302" i="37" s="1"/>
  <c r="U302" i="37" s="1"/>
  <c r="S114" i="37"/>
  <c r="T114" i="37" s="1"/>
  <c r="U114" i="37" s="1"/>
  <c r="S154" i="37"/>
  <c r="T154" i="37" s="1"/>
  <c r="U154" i="37" s="1"/>
  <c r="S32" i="37"/>
  <c r="T32" i="37" s="1"/>
  <c r="U32" i="37" s="1"/>
  <c r="S193" i="37"/>
  <c r="T193" i="37" s="1"/>
  <c r="U193" i="37" s="1"/>
  <c r="S253" i="37"/>
  <c r="T253" i="37" s="1"/>
  <c r="U253" i="37" s="1"/>
  <c r="S98" i="37"/>
  <c r="T98" i="37" s="1"/>
  <c r="U98" i="37" s="1"/>
  <c r="S62" i="37"/>
  <c r="T62" i="37" s="1"/>
  <c r="U62" i="37" s="1"/>
  <c r="S196" i="37"/>
  <c r="T196" i="37" s="1"/>
  <c r="U196" i="37" s="1"/>
  <c r="S112" i="37"/>
  <c r="T112" i="37" s="1"/>
  <c r="U112" i="37" s="1"/>
  <c r="S310" i="37"/>
  <c r="T310" i="37" s="1"/>
  <c r="U310" i="37" s="1"/>
  <c r="S307" i="37"/>
  <c r="T307" i="37" s="1"/>
  <c r="U307" i="37" s="1"/>
  <c r="S117" i="37"/>
  <c r="T117" i="37" s="1"/>
  <c r="U117" i="37" s="1"/>
  <c r="S189" i="37"/>
  <c r="T189" i="37" s="1"/>
  <c r="U189" i="37" s="1"/>
  <c r="S111" i="37"/>
  <c r="T111" i="37" s="1"/>
  <c r="U111" i="37" s="1"/>
  <c r="S217" i="37"/>
  <c r="T217" i="37" s="1"/>
  <c r="U217" i="37" s="1"/>
  <c r="S236" i="37"/>
  <c r="T236" i="37" s="1"/>
  <c r="U236" i="37" s="1"/>
  <c r="S244" i="37"/>
  <c r="T244" i="37" s="1"/>
  <c r="U244" i="37" s="1"/>
  <c r="S30" i="37"/>
  <c r="T30" i="37" s="1"/>
  <c r="U30" i="37" s="1"/>
  <c r="S102" i="37"/>
  <c r="T102" i="37" s="1"/>
  <c r="U102" i="37" s="1"/>
  <c r="S273" i="37"/>
  <c r="T273" i="37" s="1"/>
  <c r="U273" i="37" s="1"/>
  <c r="S119" i="37"/>
  <c r="T119" i="37" s="1"/>
  <c r="U119" i="37" s="1"/>
  <c r="S250" i="37"/>
  <c r="T250" i="37" s="1"/>
  <c r="U250" i="37" s="1"/>
  <c r="S239" i="37"/>
  <c r="T239" i="37" s="1"/>
  <c r="U239" i="37" s="1"/>
  <c r="S173" i="37"/>
  <c r="T173" i="37" s="1"/>
  <c r="U173" i="37" s="1"/>
  <c r="S246" i="37"/>
  <c r="T246" i="37" s="1"/>
  <c r="U246" i="37" s="1"/>
  <c r="S8" i="37"/>
  <c r="T8" i="37" s="1"/>
  <c r="U8" i="37" s="1"/>
  <c r="S46" i="37"/>
  <c r="T46" i="37" s="1"/>
  <c r="U46" i="37" s="1"/>
  <c r="S163" i="37"/>
  <c r="T163" i="37" s="1"/>
  <c r="U163" i="37" s="1"/>
  <c r="S298" i="37"/>
  <c r="T298" i="37" s="1"/>
  <c r="U298" i="37" s="1"/>
  <c r="S223" i="37"/>
  <c r="T223" i="37" s="1"/>
  <c r="U223" i="37" s="1"/>
  <c r="S317" i="37"/>
  <c r="T317" i="37" s="1"/>
  <c r="U317" i="37" s="1"/>
  <c r="S122" i="37"/>
  <c r="T122" i="37" s="1"/>
  <c r="U122" i="37" s="1"/>
  <c r="S284" i="37"/>
  <c r="T284" i="37" s="1"/>
  <c r="U284" i="37" s="1"/>
  <c r="S110" i="37"/>
  <c r="T110" i="37" s="1"/>
  <c r="U110" i="37" s="1"/>
  <c r="S55" i="37"/>
  <c r="T55" i="37" s="1"/>
  <c r="U55" i="37" s="1"/>
  <c r="S258" i="37"/>
  <c r="T258" i="37" s="1"/>
  <c r="U258" i="37" s="1"/>
  <c r="S11" i="37"/>
  <c r="T11" i="37" s="1"/>
  <c r="U11" i="37" s="1"/>
  <c r="S121" i="37"/>
  <c r="T121" i="37" s="1"/>
  <c r="U121" i="37" s="1"/>
  <c r="S211" i="37"/>
  <c r="T211" i="37" s="1"/>
  <c r="U211" i="37" s="1"/>
  <c r="S90" i="37"/>
  <c r="T90" i="37" s="1"/>
  <c r="U90" i="37" s="1"/>
  <c r="S204" i="37"/>
  <c r="T204" i="37" s="1"/>
  <c r="U204" i="37" s="1"/>
  <c r="S146" i="37"/>
  <c r="T146" i="37" s="1"/>
  <c r="U146" i="37" s="1"/>
  <c r="S22" i="37"/>
  <c r="T22" i="37" s="1"/>
  <c r="U22" i="37" s="1"/>
  <c r="S267" i="37"/>
  <c r="T267" i="37" s="1"/>
  <c r="U267" i="37" s="1"/>
  <c r="S84" i="37"/>
  <c r="T84" i="37" s="1"/>
  <c r="U84" i="37" s="1"/>
  <c r="S126" i="37"/>
  <c r="T126" i="37" s="1"/>
  <c r="U126" i="37" s="1"/>
  <c r="S263" i="37"/>
  <c r="T263" i="37" s="1"/>
  <c r="U263" i="37" s="1"/>
  <c r="S9" i="37"/>
  <c r="T9" i="37" s="1"/>
  <c r="U9" i="37" s="1"/>
  <c r="S149" i="37"/>
  <c r="T149" i="37" s="1"/>
  <c r="U149" i="37" s="1"/>
  <c r="S241" i="37"/>
  <c r="T241" i="37" s="1"/>
  <c r="U241" i="37" s="1"/>
  <c r="S93" i="37"/>
  <c r="T93" i="37" s="1"/>
  <c r="U93" i="37" s="1"/>
  <c r="S252" i="37"/>
  <c r="T252" i="37" s="1"/>
  <c r="U252" i="37" s="1"/>
  <c r="S151" i="37"/>
  <c r="T151" i="37" s="1"/>
  <c r="U151" i="37" s="1"/>
  <c r="S176" i="37"/>
  <c r="T176" i="37" s="1"/>
  <c r="U176" i="37" s="1"/>
  <c r="S228" i="37"/>
  <c r="T228" i="37" s="1"/>
  <c r="U228" i="37" s="1"/>
  <c r="S109" i="37"/>
  <c r="T109" i="37" s="1"/>
  <c r="U109" i="37" s="1"/>
  <c r="S44" i="37"/>
  <c r="T44" i="37" s="1"/>
  <c r="U44" i="37" s="1"/>
  <c r="S137" i="37"/>
  <c r="T137" i="37" s="1"/>
  <c r="U137" i="37" s="1"/>
  <c r="S65" i="37"/>
  <c r="T65" i="37" s="1"/>
  <c r="U65" i="37" s="1"/>
  <c r="S45" i="37"/>
  <c r="T45" i="37" s="1"/>
  <c r="U45" i="37" s="1"/>
  <c r="S7" i="37"/>
  <c r="T7" i="37" s="1"/>
  <c r="U7" i="37" s="1"/>
  <c r="S233" i="37"/>
  <c r="T233" i="37" s="1"/>
  <c r="U233" i="37" s="1"/>
  <c r="S78" i="37"/>
  <c r="T78" i="37" s="1"/>
  <c r="U78" i="37" s="1"/>
  <c r="S240" i="37"/>
  <c r="T240" i="37" s="1"/>
  <c r="U240" i="37" s="1"/>
  <c r="S138" i="37"/>
  <c r="T138" i="37" s="1"/>
  <c r="U138" i="37" s="1"/>
  <c r="S215" i="37"/>
  <c r="T215" i="37" s="1"/>
  <c r="U215" i="37" s="1"/>
  <c r="S272" i="37"/>
  <c r="T272" i="37" s="1"/>
  <c r="U272" i="37" s="1"/>
  <c r="S304" i="37"/>
  <c r="T304" i="37" s="1"/>
  <c r="U304" i="37" s="1"/>
  <c r="S213" i="37"/>
  <c r="T213" i="37" s="1"/>
  <c r="U213" i="37" s="1"/>
  <c r="S212" i="37"/>
  <c r="T212" i="37" s="1"/>
  <c r="U212" i="37" s="1"/>
  <c r="S280" i="37"/>
  <c r="T280" i="37" s="1"/>
  <c r="U280" i="37" s="1"/>
  <c r="S206" i="37"/>
  <c r="T206" i="37" s="1"/>
  <c r="U206" i="37" s="1"/>
  <c r="S56" i="37"/>
  <c r="T56" i="37" s="1"/>
  <c r="U56" i="37" s="1"/>
  <c r="S19" i="37"/>
  <c r="T19" i="37" s="1"/>
  <c r="U19" i="37" s="1"/>
  <c r="S156" i="37"/>
  <c r="T156" i="37" s="1"/>
  <c r="U156" i="37" s="1"/>
  <c r="S104" i="37"/>
  <c r="T104" i="37" s="1"/>
  <c r="U104" i="37" s="1"/>
  <c r="S218" i="37"/>
  <c r="T218" i="37" s="1"/>
  <c r="U218" i="37" s="1"/>
  <c r="S50" i="37"/>
  <c r="T50" i="37" s="1"/>
  <c r="U50" i="37" s="1"/>
  <c r="S265" i="37"/>
  <c r="T265" i="37" s="1"/>
  <c r="U265" i="37" s="1"/>
  <c r="S285" i="37"/>
  <c r="T285" i="37" s="1"/>
  <c r="U285" i="37" s="1"/>
  <c r="S170" i="37"/>
  <c r="T170" i="37" s="1"/>
  <c r="U170" i="37" s="1"/>
  <c r="S303" i="37"/>
  <c r="T303" i="37" s="1"/>
  <c r="U303" i="37" s="1"/>
  <c r="S99" i="37"/>
  <c r="T99" i="37" s="1"/>
  <c r="U99" i="37" s="1"/>
  <c r="S34" i="37"/>
  <c r="T34" i="37" s="1"/>
  <c r="U34" i="37" s="1"/>
  <c r="S281" i="37"/>
  <c r="T281" i="37" s="1"/>
  <c r="U281" i="37" s="1"/>
  <c r="S145" i="37"/>
  <c r="T145" i="37" s="1"/>
  <c r="U145" i="37" s="1"/>
  <c r="S234" i="37"/>
  <c r="T234" i="37" s="1"/>
  <c r="U234" i="37" s="1"/>
  <c r="S268" i="37"/>
  <c r="T268" i="37" s="1"/>
  <c r="U268" i="37" s="1"/>
  <c r="S48" i="37"/>
  <c r="T48" i="37" s="1"/>
  <c r="U48" i="37" s="1"/>
  <c r="S182" i="37"/>
  <c r="T182" i="37" s="1"/>
  <c r="U182" i="37" s="1"/>
  <c r="S180" i="37"/>
  <c r="T180" i="37" s="1"/>
  <c r="U180" i="37" s="1"/>
  <c r="S72" i="37"/>
  <c r="T72" i="37" s="1"/>
  <c r="U72" i="37" s="1"/>
  <c r="S5" i="37"/>
  <c r="T5" i="37" s="1"/>
  <c r="U5" i="37" s="1"/>
  <c r="S95" i="37"/>
  <c r="T95" i="37" s="1"/>
  <c r="U95" i="37" s="1"/>
  <c r="S168" i="37"/>
  <c r="T168" i="37" s="1"/>
  <c r="U168" i="37" s="1"/>
  <c r="S113" i="37"/>
  <c r="T113" i="37" s="1"/>
  <c r="U113" i="37" s="1"/>
  <c r="S261" i="37"/>
  <c r="T261" i="37" s="1"/>
  <c r="U261" i="37" s="1"/>
  <c r="S295" i="37"/>
  <c r="T295" i="37" s="1"/>
  <c r="U295" i="37" s="1"/>
  <c r="S143" i="37"/>
  <c r="T143" i="37" s="1"/>
  <c r="U143" i="37" s="1"/>
  <c r="S54" i="37"/>
  <c r="T54" i="37" s="1"/>
  <c r="U54" i="37" s="1"/>
  <c r="S167" i="37"/>
  <c r="T167" i="37" s="1"/>
  <c r="U167" i="37" s="1"/>
  <c r="S275" i="37"/>
  <c r="T275" i="37" s="1"/>
  <c r="U275" i="37" s="1"/>
  <c r="S88" i="37"/>
  <c r="T88" i="37" s="1"/>
  <c r="U88" i="37" s="1"/>
  <c r="S76" i="37"/>
  <c r="T76" i="37" s="1"/>
  <c r="U76" i="37" s="1"/>
  <c r="S131" i="37"/>
  <c r="T131" i="37" s="1"/>
  <c r="U131" i="37" s="1"/>
  <c r="S123" i="37"/>
  <c r="T123" i="37" s="1"/>
  <c r="U123" i="37" s="1"/>
  <c r="S116" i="37"/>
  <c r="T116" i="37" s="1"/>
  <c r="U116" i="37" s="1"/>
  <c r="S52" i="37"/>
  <c r="T52" i="37" s="1"/>
  <c r="U52" i="37" s="1"/>
  <c r="S318" i="37"/>
  <c r="T318" i="37" s="1"/>
  <c r="U318" i="37" s="1"/>
  <c r="S37" i="37"/>
  <c r="T37" i="37" s="1"/>
  <c r="U37" i="37" s="1"/>
  <c r="S171" i="37"/>
  <c r="T171" i="37" s="1"/>
  <c r="U171" i="37" s="1"/>
  <c r="S286" i="37"/>
  <c r="T286" i="37" s="1"/>
  <c r="U286" i="37" s="1"/>
  <c r="S18" i="37"/>
  <c r="T18" i="37" s="1"/>
  <c r="U18" i="37" s="1"/>
  <c r="S292" i="37"/>
  <c r="T292" i="37" s="1"/>
  <c r="U292" i="37" s="1"/>
  <c r="S294" i="37"/>
  <c r="T294" i="37" s="1"/>
  <c r="U294" i="37" s="1"/>
  <c r="S83" i="37"/>
  <c r="T83" i="37" s="1"/>
  <c r="U83" i="37" s="1"/>
  <c r="S100" i="37"/>
  <c r="T100" i="37" s="1"/>
  <c r="U100" i="37" s="1"/>
  <c r="S205" i="37"/>
  <c r="T205" i="37" s="1"/>
  <c r="U205" i="37" s="1"/>
  <c r="S282" i="37"/>
  <c r="T282" i="37" s="1"/>
  <c r="U282" i="37" s="1"/>
  <c r="S301" i="37"/>
  <c r="T301" i="37" s="1"/>
  <c r="U301" i="37" s="1"/>
  <c r="S40" i="37"/>
  <c r="T40" i="37" s="1"/>
  <c r="U40" i="37" s="1"/>
  <c r="S158" i="37"/>
  <c r="T158" i="37" s="1"/>
  <c r="U158" i="37" s="1"/>
  <c r="S147" i="37"/>
  <c r="T147" i="37" s="1"/>
  <c r="U147" i="37" s="1"/>
  <c r="S195" i="37"/>
  <c r="T195" i="37" s="1"/>
  <c r="U195" i="37" s="1"/>
  <c r="S25" i="37"/>
  <c r="T25" i="37" s="1"/>
  <c r="U25" i="37" s="1"/>
  <c r="S23" i="37"/>
  <c r="T23" i="37" s="1"/>
  <c r="U23" i="37" s="1"/>
  <c r="S150" i="37"/>
  <c r="T150" i="37" s="1"/>
  <c r="U150" i="37" s="1"/>
  <c r="S60" i="37"/>
  <c r="T60" i="37" s="1"/>
  <c r="U60" i="37" s="1"/>
  <c r="S279" i="37"/>
  <c r="T279" i="37" s="1"/>
  <c r="U279" i="37" s="1"/>
  <c r="S38" i="37"/>
  <c r="T38" i="37" s="1"/>
  <c r="U38" i="37" s="1"/>
  <c r="S26" i="37"/>
  <c r="T26" i="37" s="1"/>
  <c r="U26" i="37" s="1"/>
  <c r="S224" i="37"/>
  <c r="T224" i="37" s="1"/>
  <c r="U224" i="37" s="1"/>
  <c r="S140" i="37"/>
  <c r="T140" i="37" s="1"/>
  <c r="U140" i="37" s="1"/>
  <c r="S305" i="37"/>
  <c r="T305" i="37" s="1"/>
  <c r="U305" i="37" s="1"/>
  <c r="S79" i="37"/>
  <c r="T79" i="37" s="1"/>
  <c r="U79" i="37" s="1"/>
  <c r="S67" i="37"/>
  <c r="T67" i="37" s="1"/>
  <c r="U67" i="37" s="1"/>
  <c r="S66" i="37"/>
  <c r="T66" i="37" s="1"/>
  <c r="U66" i="37" s="1"/>
  <c r="S41" i="37"/>
  <c r="T41" i="37" s="1"/>
  <c r="U41" i="37" s="1"/>
  <c r="S202" i="37"/>
  <c r="T202" i="37" s="1"/>
  <c r="U202" i="37" s="1"/>
  <c r="S312" i="37"/>
  <c r="T312" i="37" s="1"/>
  <c r="U312" i="37" s="1"/>
  <c r="S92" i="37"/>
  <c r="T92" i="37" s="1"/>
  <c r="U92" i="37" s="1"/>
  <c r="S270" i="37"/>
  <c r="T270" i="37" s="1"/>
  <c r="U270" i="37" s="1"/>
  <c r="S256" i="37"/>
  <c r="T256" i="37" s="1"/>
  <c r="U256" i="37" s="1"/>
  <c r="S262" i="37"/>
  <c r="T262" i="37" s="1"/>
  <c r="U262" i="37" s="1"/>
  <c r="S101" i="37"/>
  <c r="T101" i="37" s="1"/>
  <c r="U101" i="37" s="1"/>
  <c r="S198" i="37"/>
  <c r="T198" i="37" s="1"/>
  <c r="U198" i="37" s="1"/>
  <c r="S80" i="37"/>
  <c r="T80" i="37" s="1"/>
  <c r="U80" i="37" s="1"/>
  <c r="S259" i="37"/>
  <c r="T259" i="37" s="1"/>
  <c r="U259" i="37" s="1"/>
  <c r="S53" i="37"/>
  <c r="T53" i="37" s="1"/>
  <c r="U53" i="37" s="1"/>
  <c r="S77" i="37"/>
  <c r="T77" i="37" s="1"/>
  <c r="U77" i="37" s="1"/>
  <c r="S36" i="37"/>
  <c r="T36" i="37" s="1"/>
  <c r="U36" i="37" s="1"/>
  <c r="S191" i="37"/>
  <c r="T191" i="37" s="1"/>
  <c r="U191" i="37" s="1"/>
  <c r="S135" i="37"/>
  <c r="T135" i="37" s="1"/>
  <c r="U135" i="37" s="1"/>
  <c r="S200" i="37"/>
  <c r="T200" i="37" s="1"/>
  <c r="U200" i="37" s="1"/>
  <c r="S64" i="37"/>
  <c r="T64" i="37" s="1"/>
  <c r="U64" i="37" s="1"/>
  <c r="S82" i="37"/>
  <c r="T82" i="37" s="1"/>
  <c r="U82" i="37" s="1"/>
  <c r="S247" i="37"/>
  <c r="T247" i="37" s="1"/>
  <c r="U247" i="37" s="1"/>
  <c r="S230" i="37"/>
  <c r="T230" i="37" s="1"/>
  <c r="U230" i="37" s="1"/>
  <c r="S179" i="37"/>
  <c r="T179" i="37" s="1"/>
  <c r="U179" i="37" s="1"/>
  <c r="S15" i="37"/>
  <c r="T15" i="37" s="1"/>
  <c r="U15" i="37" s="1"/>
  <c r="S245" i="37"/>
  <c r="T245" i="37" s="1"/>
  <c r="U245" i="37" s="1"/>
  <c r="S251" i="37"/>
  <c r="T251" i="37" s="1"/>
  <c r="U251" i="37" s="1"/>
  <c r="S63" i="37"/>
  <c r="T63" i="37" s="1"/>
  <c r="U63" i="37" s="1"/>
  <c r="S31" i="37"/>
  <c r="T31" i="37" s="1"/>
  <c r="U31" i="37" s="1"/>
  <c r="S201" i="37"/>
  <c r="T201" i="37" s="1"/>
  <c r="U201" i="37" s="1"/>
  <c r="S214" i="37"/>
  <c r="T214" i="37" s="1"/>
  <c r="U214" i="37" s="1"/>
  <c r="S254" i="37"/>
  <c r="T254" i="37" s="1"/>
  <c r="U254" i="37" s="1"/>
  <c r="S27" i="37"/>
  <c r="T27" i="37" s="1"/>
  <c r="U27" i="37" s="1"/>
  <c r="S316" i="37"/>
  <c r="T316" i="37" s="1"/>
  <c r="U316" i="37" s="1"/>
  <c r="S249" i="37"/>
  <c r="T249" i="37" s="1"/>
  <c r="U249" i="37" s="1"/>
  <c r="S197" i="37"/>
  <c r="T197" i="37" s="1"/>
  <c r="U197" i="37" s="1"/>
  <c r="S87" i="37"/>
  <c r="T87" i="37" s="1"/>
  <c r="U87" i="37" s="1"/>
  <c r="S21" i="37"/>
  <c r="T21" i="37" s="1"/>
  <c r="U21" i="37" s="1"/>
  <c r="S185" i="37"/>
  <c r="T185" i="37" s="1"/>
  <c r="U185" i="37" s="1"/>
  <c r="S297" i="37"/>
  <c r="T297" i="37" s="1"/>
  <c r="U297" i="37" s="1"/>
  <c r="S276" i="37"/>
  <c r="T276" i="37" s="1"/>
  <c r="U276" i="37" s="1"/>
  <c r="S81" i="37"/>
  <c r="T81" i="37" s="1"/>
  <c r="U81" i="37" s="1"/>
  <c r="S128" i="37"/>
  <c r="T128" i="37" s="1"/>
  <c r="U128" i="37" s="1"/>
  <c r="S221" i="37"/>
  <c r="T221" i="37" s="1"/>
  <c r="U221" i="37" s="1"/>
  <c r="S10" i="37"/>
  <c r="T10" i="37" s="1"/>
  <c r="U10" i="37" s="1"/>
  <c r="S142" i="37"/>
  <c r="T142" i="37" s="1"/>
  <c r="U142" i="37" s="1"/>
  <c r="S288" i="37"/>
  <c r="T288" i="37" s="1"/>
  <c r="U288" i="37" s="1"/>
  <c r="S209" i="37"/>
  <c r="T209" i="37" s="1"/>
  <c r="U209" i="37" s="1"/>
  <c r="S103" i="37"/>
  <c r="T103" i="37" s="1"/>
  <c r="U103" i="37" s="1"/>
  <c r="S58" i="37"/>
  <c r="T58" i="37" s="1"/>
  <c r="U58" i="37" s="1"/>
  <c r="S187" i="37"/>
  <c r="T187" i="37" s="1"/>
  <c r="U187" i="37" s="1"/>
  <c r="S28" i="37"/>
  <c r="T28" i="37" s="1"/>
  <c r="U28" i="37" s="1"/>
  <c r="S264" i="37"/>
  <c r="T264" i="37" s="1"/>
  <c r="U264" i="37" s="1"/>
  <c r="S314" i="37"/>
  <c r="T314" i="37" s="1"/>
  <c r="U314" i="37" s="1"/>
  <c r="S89" i="37"/>
  <c r="T89" i="37" s="1"/>
  <c r="U89" i="37" s="1"/>
  <c r="S274" i="37"/>
  <c r="T274" i="37" s="1"/>
  <c r="U274" i="37" s="1"/>
  <c r="S39" i="37"/>
  <c r="T39" i="37" s="1"/>
  <c r="U39" i="37" s="1"/>
  <c r="S289" i="37"/>
  <c r="T289" i="37" s="1"/>
  <c r="U289" i="37" s="1"/>
  <c r="S300" i="37"/>
  <c r="T300" i="37" s="1"/>
  <c r="U300" i="37" s="1"/>
  <c r="S86" i="37"/>
  <c r="T86" i="37" s="1"/>
  <c r="U86" i="37" s="1"/>
  <c r="S203" i="37"/>
  <c r="T203" i="37" s="1"/>
  <c r="U203" i="37" s="1"/>
  <c r="S97" i="37"/>
  <c r="T97" i="37" s="1"/>
  <c r="U97" i="37" s="1"/>
  <c r="S293" i="37"/>
  <c r="T293" i="37" s="1"/>
  <c r="U293" i="37" s="1"/>
  <c r="S231" i="37"/>
  <c r="T231" i="37" s="1"/>
  <c r="U231" i="37" s="1"/>
  <c r="S226" i="37"/>
  <c r="T226" i="37" s="1"/>
  <c r="U226" i="37" s="1"/>
  <c r="S133" i="37"/>
  <c r="T133" i="37" s="1"/>
  <c r="U133" i="37" s="1"/>
  <c r="S120" i="37"/>
  <c r="T120" i="37" s="1"/>
  <c r="U120" i="37" s="1"/>
  <c r="S237" i="37"/>
  <c r="T237" i="37" s="1"/>
  <c r="U237" i="37" s="1"/>
  <c r="S208" i="37"/>
  <c r="T208" i="37" s="1"/>
  <c r="U208" i="37" s="1"/>
  <c r="S172" i="37"/>
  <c r="T172" i="37" s="1"/>
  <c r="U172" i="37" s="1"/>
  <c r="S108" i="37"/>
  <c r="T108" i="37" s="1"/>
  <c r="U108" i="37" s="1"/>
  <c r="S183" i="37"/>
  <c r="T183" i="37" s="1"/>
  <c r="U183" i="37" s="1"/>
  <c r="S69" i="37"/>
  <c r="T69" i="37" s="1"/>
  <c r="U69" i="37" s="1"/>
  <c r="S269" i="37"/>
  <c r="T269" i="37" s="1"/>
  <c r="U269" i="37" s="1"/>
  <c r="S210" i="37"/>
  <c r="T210" i="37" s="1"/>
  <c r="U210" i="37" s="1"/>
  <c r="S43" i="37"/>
  <c r="T43" i="37" s="1"/>
  <c r="U43" i="37" s="1"/>
  <c r="S199" i="37"/>
  <c r="T199" i="37" s="1"/>
  <c r="U199" i="37" s="1"/>
  <c r="S14" i="37"/>
  <c r="T14" i="37" s="1"/>
  <c r="U14" i="37" s="1"/>
  <c r="S124" i="37"/>
  <c r="T124" i="37" s="1"/>
  <c r="U124" i="37" s="1"/>
  <c r="S68" i="37"/>
  <c r="T68" i="37" s="1"/>
  <c r="U68" i="37" s="1"/>
  <c r="S57" i="37"/>
  <c r="T57" i="37" s="1"/>
  <c r="U57" i="37" s="1"/>
  <c r="S16" i="37"/>
  <c r="T16" i="37" s="1"/>
  <c r="U16" i="37" s="1"/>
  <c r="S207" i="37"/>
  <c r="T207" i="37" s="1"/>
  <c r="U207" i="37" s="1"/>
  <c r="S290" i="37"/>
  <c r="T290" i="37" s="1"/>
  <c r="U290" i="37" s="1"/>
  <c r="S159" i="37"/>
  <c r="T159" i="37" s="1"/>
  <c r="U159" i="37" s="1"/>
  <c r="S232" i="37"/>
  <c r="T232" i="37" s="1"/>
  <c r="U232" i="37" s="1"/>
  <c r="S107" i="37"/>
  <c r="T107" i="37" s="1"/>
  <c r="U107" i="37" s="1"/>
  <c r="S166" i="37"/>
  <c r="T166" i="37" s="1"/>
  <c r="U166" i="37" s="1"/>
  <c r="S235" i="37"/>
  <c r="T235" i="37" s="1"/>
  <c r="U235" i="37" s="1"/>
  <c r="S192" i="37"/>
  <c r="T192" i="37" s="1"/>
  <c r="U192" i="37" s="1"/>
  <c r="S17" i="37"/>
  <c r="T17" i="37" s="1"/>
  <c r="U17" i="37" s="1"/>
  <c r="V211" i="36"/>
  <c r="V37" i="36"/>
  <c r="V289" i="36"/>
  <c r="V44" i="36"/>
  <c r="V115" i="36"/>
  <c r="V61" i="36"/>
  <c r="V118" i="36"/>
  <c r="V300" i="36"/>
  <c r="V234" i="36"/>
  <c r="V194" i="36"/>
  <c r="V223" i="36"/>
  <c r="V138" i="36"/>
  <c r="V245" i="36"/>
  <c r="V111" i="36"/>
  <c r="V132" i="36"/>
  <c r="V75" i="36"/>
  <c r="V287" i="36"/>
  <c r="V34" i="36"/>
  <c r="V65" i="36"/>
  <c r="V71" i="36"/>
  <c r="V187" i="36"/>
  <c r="V263" i="36"/>
  <c r="V175" i="36"/>
  <c r="V280" i="36"/>
  <c r="V205" i="36"/>
  <c r="V184" i="36"/>
  <c r="V112" i="36"/>
  <c r="V148" i="36"/>
  <c r="V316" i="36"/>
  <c r="V40" i="36"/>
  <c r="V248" i="36"/>
  <c r="V210" i="36"/>
  <c r="V246" i="36"/>
  <c r="V29" i="36"/>
  <c r="V273" i="36"/>
  <c r="V247" i="36"/>
  <c r="V236" i="36"/>
  <c r="V10" i="36"/>
  <c r="V251" i="36"/>
  <c r="V224" i="36"/>
  <c r="V136" i="36"/>
  <c r="V185" i="36"/>
  <c r="V265" i="36"/>
  <c r="V117" i="36"/>
  <c r="V147" i="36"/>
  <c r="V58" i="36"/>
  <c r="V262" i="36"/>
  <c r="V240" i="36"/>
  <c r="V114" i="36"/>
  <c r="V253" i="36"/>
  <c r="V127" i="36"/>
  <c r="V279" i="36"/>
  <c r="V219" i="36"/>
  <c r="V164" i="36"/>
  <c r="V163" i="36"/>
  <c r="V150" i="36"/>
  <c r="V88" i="36"/>
  <c r="V231" i="36"/>
  <c r="V99" i="36"/>
  <c r="V229" i="36"/>
  <c r="V215" i="36"/>
  <c r="V67" i="36"/>
  <c r="V297" i="36"/>
  <c r="V294" i="36"/>
  <c r="V7" i="36"/>
  <c r="V6" i="36"/>
  <c r="V182" i="36"/>
  <c r="V62" i="36"/>
  <c r="V55" i="36"/>
  <c r="V303" i="36"/>
  <c r="V72" i="36"/>
  <c r="V70" i="36"/>
  <c r="V15" i="36"/>
  <c r="V145" i="36"/>
  <c r="V52" i="36"/>
  <c r="V267" i="36"/>
  <c r="V171" i="36"/>
  <c r="V306" i="36"/>
  <c r="V123" i="36"/>
  <c r="V119" i="36"/>
  <c r="V135" i="36"/>
  <c r="V19" i="36"/>
  <c r="V308" i="36"/>
  <c r="V214" i="36"/>
  <c r="V124" i="36"/>
  <c r="V154" i="36"/>
  <c r="V26" i="36"/>
  <c r="V139" i="36"/>
  <c r="V170" i="36"/>
  <c r="V20" i="36"/>
  <c r="V93" i="36"/>
  <c r="V66" i="36"/>
  <c r="V105" i="36"/>
  <c r="V42" i="36"/>
  <c r="V233" i="36"/>
  <c r="V56" i="36"/>
  <c r="V288" i="36"/>
  <c r="V81" i="36"/>
  <c r="V293" i="36"/>
  <c r="V239" i="36"/>
  <c r="V183" i="36"/>
  <c r="V237" i="36"/>
  <c r="V85" i="36"/>
  <c r="V249" i="36"/>
  <c r="V259" i="36"/>
  <c r="V278" i="36"/>
  <c r="V129" i="36"/>
  <c r="V291" i="36"/>
  <c r="V14" i="36"/>
  <c r="V301" i="36"/>
  <c r="V116" i="36"/>
  <c r="V179" i="36"/>
  <c r="V176" i="36"/>
  <c r="V181" i="36"/>
  <c r="V25" i="36"/>
  <c r="V218" i="36"/>
  <c r="V162" i="36"/>
  <c r="V314" i="36"/>
  <c r="V299" i="36"/>
  <c r="V110" i="36"/>
  <c r="V186" i="36"/>
  <c r="V282" i="36"/>
  <c r="V290" i="36"/>
  <c r="V159" i="36"/>
  <c r="V318" i="36"/>
  <c r="V82" i="36"/>
  <c r="V243" i="36"/>
  <c r="V95" i="36"/>
  <c r="V266" i="36"/>
  <c r="V151" i="36"/>
  <c r="V84" i="36"/>
  <c r="V252" i="36"/>
  <c r="V69" i="36"/>
  <c r="V220" i="36"/>
  <c r="V295" i="36"/>
  <c r="V144" i="36"/>
  <c r="V235" i="36"/>
  <c r="V254" i="36"/>
  <c r="V258" i="36"/>
  <c r="V28" i="36"/>
  <c r="V49" i="36"/>
  <c r="V60" i="36"/>
  <c r="V32" i="36"/>
  <c r="V270" i="36"/>
  <c r="V192" i="36"/>
  <c r="V172" i="36"/>
  <c r="V122" i="36"/>
  <c r="V13" i="36"/>
  <c r="V12" i="36"/>
  <c r="V225" i="36"/>
  <c r="V30" i="36"/>
  <c r="V310" i="36"/>
  <c r="V100" i="36"/>
  <c r="V24" i="36"/>
  <c r="V27" i="36"/>
  <c r="V74" i="36"/>
  <c r="V227" i="36"/>
  <c r="V221" i="36"/>
  <c r="V22" i="36"/>
  <c r="V23" i="36"/>
  <c r="V47" i="36"/>
  <c r="V57" i="36"/>
  <c r="V149" i="36"/>
  <c r="V264" i="36"/>
  <c r="V212" i="36"/>
  <c r="V152" i="36"/>
  <c r="V189" i="36"/>
  <c r="V36" i="36"/>
  <c r="V281" i="36"/>
  <c r="V5" i="36"/>
  <c r="V168" i="36"/>
  <c r="V98" i="36"/>
  <c r="V244" i="36"/>
  <c r="V63" i="36"/>
  <c r="V91" i="36"/>
  <c r="V208" i="36"/>
  <c r="V193" i="36"/>
  <c r="V35" i="36"/>
  <c r="V317" i="36"/>
  <c r="V121" i="36"/>
  <c r="V232" i="36"/>
  <c r="V103" i="36"/>
  <c r="V241" i="36"/>
  <c r="V161" i="36"/>
  <c r="V271" i="36"/>
  <c r="V50" i="36"/>
  <c r="V94" i="36"/>
  <c r="V46" i="36"/>
  <c r="V169" i="36"/>
  <c r="V134" i="36"/>
  <c r="V269" i="36"/>
  <c r="V17" i="36"/>
  <c r="V165" i="36"/>
  <c r="V83" i="36"/>
  <c r="V217" i="36"/>
  <c r="V228" i="36"/>
  <c r="V298" i="36"/>
  <c r="V140" i="36"/>
  <c r="V257" i="36"/>
  <c r="V296" i="36"/>
  <c r="V113" i="36"/>
  <c r="V216" i="36"/>
  <c r="V260" i="36"/>
  <c r="V157" i="36"/>
  <c r="V64" i="36"/>
  <c r="V304" i="36"/>
  <c r="V21" i="36"/>
  <c r="V86" i="36"/>
  <c r="V96" i="36"/>
  <c r="V77" i="36"/>
  <c r="V104" i="36"/>
  <c r="V54" i="36"/>
  <c r="V156" i="36"/>
  <c r="V272" i="36"/>
  <c r="V209" i="36"/>
  <c r="V238" i="36"/>
  <c r="V195" i="36"/>
  <c r="V261" i="36"/>
  <c r="V198" i="36"/>
  <c r="V230" i="36"/>
  <c r="V283" i="36"/>
  <c r="V31" i="36"/>
  <c r="V80" i="36"/>
  <c r="V177" i="36"/>
  <c r="V11" i="36"/>
  <c r="V87" i="36"/>
  <c r="V268" i="36"/>
  <c r="V126" i="36"/>
  <c r="V38" i="36"/>
  <c r="V78" i="36"/>
  <c r="V133" i="36"/>
  <c r="V131" i="36"/>
  <c r="V313" i="36"/>
  <c r="V197" i="36"/>
  <c r="V213" i="36"/>
  <c r="V33" i="36"/>
  <c r="V286" i="36"/>
  <c r="V158" i="36"/>
  <c r="V203" i="36"/>
  <c r="V107" i="36"/>
  <c r="V222" i="36"/>
  <c r="V226" i="36"/>
  <c r="V16" i="36"/>
  <c r="V202" i="36"/>
  <c r="V292" i="36"/>
  <c r="V199" i="36"/>
  <c r="V309" i="36"/>
  <c r="V250" i="36"/>
  <c r="V108" i="36"/>
  <c r="V174" i="36"/>
  <c r="V276" i="36"/>
  <c r="V51" i="36"/>
  <c r="V79" i="36"/>
  <c r="V285" i="36"/>
  <c r="V45" i="36"/>
  <c r="V312" i="36"/>
  <c r="V311" i="36"/>
  <c r="V141" i="36"/>
  <c r="V196" i="36"/>
  <c r="V89" i="36"/>
  <c r="V48" i="36"/>
  <c r="V90" i="36"/>
  <c r="V53" i="36"/>
  <c r="V92" i="36"/>
  <c r="V137" i="36"/>
  <c r="V125" i="36"/>
  <c r="V200" i="36"/>
  <c r="V204" i="36"/>
  <c r="V201" i="36"/>
  <c r="V206" i="36"/>
  <c r="V255" i="36"/>
  <c r="V43" i="36"/>
  <c r="V166" i="36"/>
  <c r="V160" i="36"/>
  <c r="V307" i="36"/>
  <c r="V305" i="36"/>
  <c r="V41" i="36"/>
  <c r="V277" i="36"/>
  <c r="V106" i="36"/>
  <c r="V275" i="36"/>
  <c r="V120" i="36"/>
  <c r="V102" i="36"/>
  <c r="V190" i="36"/>
  <c r="V130" i="36"/>
  <c r="V8" i="36"/>
  <c r="V73" i="36"/>
  <c r="V142" i="36"/>
  <c r="V284" i="36"/>
  <c r="V59" i="36"/>
  <c r="V109" i="36"/>
  <c r="T3" i="36" a="1"/>
  <c r="T3" i="36" s="1"/>
  <c r="U4" i="36"/>
  <c r="V256" i="36"/>
  <c r="V315" i="36"/>
  <c r="V188" i="36"/>
  <c r="V207" i="36"/>
  <c r="V9" i="36"/>
  <c r="V101" i="36"/>
  <c r="V39" i="36"/>
  <c r="V178" i="36"/>
  <c r="V155" i="36"/>
  <c r="V191" i="36"/>
  <c r="V68" i="36"/>
  <c r="V18" i="36"/>
  <c r="V143" i="36"/>
  <c r="V302" i="36"/>
  <c r="V76" i="36"/>
  <c r="V128" i="36"/>
  <c r="V173" i="36"/>
  <c r="V180" i="36"/>
  <c r="V146" i="36"/>
  <c r="V242" i="36"/>
  <c r="V274" i="36"/>
  <c r="V167" i="36"/>
  <c r="V97" i="36"/>
  <c r="V153" i="36"/>
  <c r="S3" i="36" a="1"/>
  <c r="S3" i="36" s="1"/>
  <c r="V320" i="39" l="1"/>
  <c r="V319" i="39"/>
  <c r="V320" i="38"/>
  <c r="V31" i="39"/>
  <c r="V127" i="39"/>
  <c r="V88" i="39"/>
  <c r="V51" i="39"/>
  <c r="V100" i="39"/>
  <c r="V155" i="39"/>
  <c r="V302" i="39"/>
  <c r="V30" i="39"/>
  <c r="V227" i="39"/>
  <c r="V276" i="39"/>
  <c r="V62" i="39"/>
  <c r="V106" i="39"/>
  <c r="V175" i="39"/>
  <c r="V133" i="39"/>
  <c r="V187" i="39"/>
  <c r="V243" i="39"/>
  <c r="V68" i="39"/>
  <c r="V168" i="39"/>
  <c r="V23" i="39"/>
  <c r="V80" i="39"/>
  <c r="V171" i="39"/>
  <c r="V95" i="39"/>
  <c r="V63" i="39"/>
  <c r="V228" i="39"/>
  <c r="V20" i="39"/>
  <c r="V258" i="39"/>
  <c r="V90" i="39"/>
  <c r="V309" i="39"/>
  <c r="V98" i="39"/>
  <c r="V85" i="39"/>
  <c r="V194" i="39"/>
  <c r="V178" i="39"/>
  <c r="V161" i="39"/>
  <c r="V298" i="39"/>
  <c r="V16" i="39"/>
  <c r="V96" i="39"/>
  <c r="V105" i="39"/>
  <c r="V81" i="39"/>
  <c r="V92" i="39"/>
  <c r="V56" i="39"/>
  <c r="V300" i="39"/>
  <c r="V270" i="39"/>
  <c r="V213" i="39"/>
  <c r="V220" i="39"/>
  <c r="V137" i="39"/>
  <c r="V272" i="39"/>
  <c r="V126" i="39"/>
  <c r="V286" i="39"/>
  <c r="V291" i="39"/>
  <c r="V75" i="39"/>
  <c r="V229" i="39"/>
  <c r="V10" i="39"/>
  <c r="V149" i="39"/>
  <c r="V274" i="39"/>
  <c r="V38" i="39"/>
  <c r="V39" i="39"/>
  <c r="V36" i="39"/>
  <c r="V158" i="39"/>
  <c r="V232" i="39"/>
  <c r="V76" i="39"/>
  <c r="V167" i="39"/>
  <c r="V50" i="39"/>
  <c r="V263" i="39"/>
  <c r="V19" i="39"/>
  <c r="V237" i="39"/>
  <c r="V257" i="39"/>
  <c r="V45" i="39"/>
  <c r="V312" i="39"/>
  <c r="V216" i="39"/>
  <c r="V238" i="39"/>
  <c r="V97" i="39"/>
  <c r="V196" i="39"/>
  <c r="V289" i="39"/>
  <c r="V13" i="39"/>
  <c r="V124" i="39"/>
  <c r="V70" i="39"/>
  <c r="V165" i="39"/>
  <c r="V197" i="39"/>
  <c r="S3" i="39" a="1"/>
  <c r="S3" i="39" s="1"/>
  <c r="T4" i="39"/>
  <c r="V219" i="39"/>
  <c r="V132" i="39"/>
  <c r="V254" i="39"/>
  <c r="V244" i="39"/>
  <c r="V109" i="39"/>
  <c r="V47" i="39"/>
  <c r="V239" i="39"/>
  <c r="V281" i="39"/>
  <c r="V299" i="39"/>
  <c r="V156" i="39"/>
  <c r="V123" i="39"/>
  <c r="V130" i="39"/>
  <c r="V14" i="39"/>
  <c r="V271" i="39"/>
  <c r="V115" i="39"/>
  <c r="V313" i="39"/>
  <c r="V77" i="39"/>
  <c r="V138" i="39"/>
  <c r="V17" i="39"/>
  <c r="V128" i="39"/>
  <c r="V65" i="39"/>
  <c r="V256" i="39"/>
  <c r="V107" i="39"/>
  <c r="V217" i="39"/>
  <c r="V172" i="39"/>
  <c r="V210" i="39"/>
  <c r="V136" i="39"/>
  <c r="V318" i="39"/>
  <c r="V121" i="39"/>
  <c r="V6" i="39"/>
  <c r="V160" i="39"/>
  <c r="V22" i="39"/>
  <c r="V152" i="39"/>
  <c r="V46" i="39"/>
  <c r="V120" i="39"/>
  <c r="V33" i="39"/>
  <c r="V264" i="39"/>
  <c r="V78" i="39"/>
  <c r="V209" i="39"/>
  <c r="V249" i="39"/>
  <c r="V84" i="39"/>
  <c r="V185" i="39"/>
  <c r="V240" i="39"/>
  <c r="V245" i="39"/>
  <c r="V67" i="39"/>
  <c r="V177" i="39"/>
  <c r="V314" i="39"/>
  <c r="V15" i="39"/>
  <c r="V193" i="39"/>
  <c r="V151" i="39"/>
  <c r="V201" i="39"/>
  <c r="V297" i="39"/>
  <c r="V295" i="39"/>
  <c r="V5" i="39"/>
  <c r="V307" i="39"/>
  <c r="V135" i="39"/>
  <c r="V60" i="39"/>
  <c r="V53" i="39"/>
  <c r="V191" i="39"/>
  <c r="V248" i="39"/>
  <c r="V9" i="39"/>
  <c r="V305" i="39"/>
  <c r="V206" i="39"/>
  <c r="V162" i="39"/>
  <c r="V139" i="39"/>
  <c r="V280" i="39"/>
  <c r="V125" i="39"/>
  <c r="V54" i="39"/>
  <c r="V204" i="39"/>
  <c r="V179" i="39"/>
  <c r="V99" i="39"/>
  <c r="V296" i="39"/>
  <c r="V303" i="39"/>
  <c r="V282" i="39"/>
  <c r="V288" i="39"/>
  <c r="V18" i="39"/>
  <c r="V284" i="39"/>
  <c r="V102" i="39"/>
  <c r="V157" i="39"/>
  <c r="V79" i="39"/>
  <c r="V94" i="39"/>
  <c r="V144" i="39"/>
  <c r="V200" i="39"/>
  <c r="V122" i="39"/>
  <c r="V225" i="39"/>
  <c r="V260" i="39"/>
  <c r="V57" i="39"/>
  <c r="V42" i="39"/>
  <c r="V12" i="39"/>
  <c r="V235" i="39"/>
  <c r="V242" i="39"/>
  <c r="V8" i="39"/>
  <c r="V154" i="39"/>
  <c r="V29" i="39"/>
  <c r="V112" i="39"/>
  <c r="V310" i="39"/>
  <c r="V150" i="39"/>
  <c r="V114" i="39"/>
  <c r="V21" i="39"/>
  <c r="V189" i="39"/>
  <c r="V315" i="39"/>
  <c r="V246" i="39"/>
  <c r="V273" i="39"/>
  <c r="V145" i="39"/>
  <c r="V28" i="39"/>
  <c r="V267" i="39"/>
  <c r="V278" i="39"/>
  <c r="V91" i="39"/>
  <c r="V224" i="39"/>
  <c r="V181" i="39"/>
  <c r="V146" i="39"/>
  <c r="V170" i="39"/>
  <c r="V111" i="39"/>
  <c r="V11" i="39"/>
  <c r="V43" i="39"/>
  <c r="V101" i="39"/>
  <c r="V41" i="39"/>
  <c r="V119" i="39"/>
  <c r="V247" i="39"/>
  <c r="V44" i="39"/>
  <c r="V52" i="39"/>
  <c r="V207" i="39"/>
  <c r="V166" i="39"/>
  <c r="V69" i="39"/>
  <c r="V259" i="39"/>
  <c r="V89" i="39"/>
  <c r="V74" i="39"/>
  <c r="V198" i="39"/>
  <c r="V222" i="39"/>
  <c r="V304" i="39"/>
  <c r="V59" i="39"/>
  <c r="V140" i="39"/>
  <c r="V203" i="39"/>
  <c r="V87" i="39"/>
  <c r="V268" i="39"/>
  <c r="V141" i="39"/>
  <c r="V34" i="39"/>
  <c r="V241" i="39"/>
  <c r="V153" i="39"/>
  <c r="V49" i="39"/>
  <c r="V26" i="39"/>
  <c r="V58" i="39"/>
  <c r="V214" i="39"/>
  <c r="V294" i="39"/>
  <c r="V110" i="39"/>
  <c r="V86" i="39"/>
  <c r="V279" i="39"/>
  <c r="V311" i="39"/>
  <c r="V208" i="39"/>
  <c r="V250" i="39"/>
  <c r="V113" i="39"/>
  <c r="V221" i="39"/>
  <c r="V55" i="39"/>
  <c r="V290" i="39"/>
  <c r="V27" i="39"/>
  <c r="V269" i="39"/>
  <c r="V108" i="39"/>
  <c r="V24" i="39"/>
  <c r="V73" i="39"/>
  <c r="V116" i="39"/>
  <c r="V32" i="39"/>
  <c r="V277" i="39"/>
  <c r="V163" i="39"/>
  <c r="V252" i="39"/>
  <c r="V72" i="39"/>
  <c r="V226" i="39"/>
  <c r="V308" i="39"/>
  <c r="V253" i="39"/>
  <c r="V236" i="39"/>
  <c r="V190" i="39"/>
  <c r="V104" i="39"/>
  <c r="V285" i="39"/>
  <c r="V66" i="39"/>
  <c r="V251" i="39"/>
  <c r="V169" i="39"/>
  <c r="V205" i="39"/>
  <c r="V118" i="39"/>
  <c r="V117" i="39"/>
  <c r="V48" i="39"/>
  <c r="V317" i="39"/>
  <c r="V202" i="39"/>
  <c r="V164" i="39"/>
  <c r="V173" i="39"/>
  <c r="V186" i="39"/>
  <c r="V61" i="39"/>
  <c r="V233" i="39"/>
  <c r="V230" i="39"/>
  <c r="V266" i="39"/>
  <c r="V37" i="39"/>
  <c r="V218" i="39"/>
  <c r="V180" i="39"/>
  <c r="V255" i="39"/>
  <c r="V148" i="39"/>
  <c r="V176" i="39"/>
  <c r="V231" i="39"/>
  <c r="V183" i="39"/>
  <c r="V212" i="39"/>
  <c r="V131" i="39"/>
  <c r="V35" i="39"/>
  <c r="V262" i="39"/>
  <c r="V83" i="39"/>
  <c r="V261" i="39"/>
  <c r="V82" i="39"/>
  <c r="V71" i="39"/>
  <c r="V316" i="39"/>
  <c r="V195" i="39"/>
  <c r="V293" i="39"/>
  <c r="V134" i="39"/>
  <c r="V147" i="39"/>
  <c r="V184" i="39"/>
  <c r="V188" i="39"/>
  <c r="V143" i="39"/>
  <c r="V223" i="39"/>
  <c r="V199" i="39"/>
  <c r="V287" i="39"/>
  <c r="V129" i="39"/>
  <c r="V142" i="39"/>
  <c r="V93" i="39"/>
  <c r="V301" i="39"/>
  <c r="V174" i="39"/>
  <c r="V25" i="39"/>
  <c r="V7" i="39"/>
  <c r="V283" i="39"/>
  <c r="V64" i="39"/>
  <c r="V306" i="39"/>
  <c r="V211" i="39"/>
  <c r="V265" i="39"/>
  <c r="V182" i="39"/>
  <c r="V234" i="39"/>
  <c r="V275" i="39"/>
  <c r="V40" i="39"/>
  <c r="V215" i="39"/>
  <c r="V192" i="39"/>
  <c r="V103" i="39"/>
  <c r="V159" i="39"/>
  <c r="V292" i="39"/>
  <c r="V237" i="38"/>
  <c r="V314" i="38"/>
  <c r="V225" i="38"/>
  <c r="V253" i="38"/>
  <c r="V31" i="38"/>
  <c r="V62" i="38"/>
  <c r="V246" i="38"/>
  <c r="V23" i="38"/>
  <c r="V254" i="38"/>
  <c r="V87" i="38"/>
  <c r="V289" i="38"/>
  <c r="V252" i="38"/>
  <c r="V94" i="38"/>
  <c r="V243" i="38"/>
  <c r="V35" i="38"/>
  <c r="V55" i="38"/>
  <c r="V236" i="38"/>
  <c r="V7" i="38"/>
  <c r="V258" i="38"/>
  <c r="V161" i="38"/>
  <c r="V33" i="38"/>
  <c r="V302" i="38"/>
  <c r="V184" i="38"/>
  <c r="V295" i="38"/>
  <c r="V190" i="38"/>
  <c r="V238" i="38"/>
  <c r="V212" i="38"/>
  <c r="V77" i="38"/>
  <c r="V59" i="38"/>
  <c r="V274" i="38"/>
  <c r="V71" i="38"/>
  <c r="V228" i="38"/>
  <c r="V139" i="38"/>
  <c r="V105" i="38"/>
  <c r="V198" i="38"/>
  <c r="V158" i="38"/>
  <c r="V197" i="38"/>
  <c r="V275" i="38"/>
  <c r="V120" i="38"/>
  <c r="V156" i="38"/>
  <c r="V44" i="38"/>
  <c r="V171" i="38"/>
  <c r="V278" i="38"/>
  <c r="V90" i="38"/>
  <c r="V276" i="38"/>
  <c r="V311" i="38"/>
  <c r="V195" i="38"/>
  <c r="V112" i="38"/>
  <c r="V209" i="38"/>
  <c r="V148" i="38"/>
  <c r="V313" i="38"/>
  <c r="V279" i="38"/>
  <c r="V52" i="38"/>
  <c r="V288" i="38"/>
  <c r="V200" i="38"/>
  <c r="V193" i="38"/>
  <c r="V8" i="38"/>
  <c r="V244" i="38"/>
  <c r="V306" i="38"/>
  <c r="V204" i="38"/>
  <c r="V301" i="38"/>
  <c r="V29" i="38"/>
  <c r="V119" i="38"/>
  <c r="V92" i="38"/>
  <c r="V67" i="38"/>
  <c r="V143" i="38"/>
  <c r="V79" i="38"/>
  <c r="V132" i="38"/>
  <c r="V183" i="38"/>
  <c r="V159" i="38"/>
  <c r="V147" i="38"/>
  <c r="V206" i="38"/>
  <c r="V17" i="38"/>
  <c r="V154" i="38"/>
  <c r="V22" i="38"/>
  <c r="V223" i="38"/>
  <c r="V100" i="38"/>
  <c r="V233" i="38"/>
  <c r="V32" i="38"/>
  <c r="V291" i="38"/>
  <c r="V63" i="38"/>
  <c r="V80" i="38"/>
  <c r="V294" i="38"/>
  <c r="V174" i="38"/>
  <c r="V64" i="38"/>
  <c r="V308" i="38"/>
  <c r="V249" i="38"/>
  <c r="V260" i="38"/>
  <c r="V45" i="38"/>
  <c r="V76" i="38"/>
  <c r="V304" i="38"/>
  <c r="V210" i="38"/>
  <c r="V208" i="38"/>
  <c r="V5" i="38"/>
  <c r="V102" i="38"/>
  <c r="V214" i="38"/>
  <c r="V109" i="38"/>
  <c r="V157" i="38"/>
  <c r="V296" i="38"/>
  <c r="V138" i="38"/>
  <c r="V265" i="38"/>
  <c r="V151" i="38"/>
  <c r="V264" i="38"/>
  <c r="V178" i="38"/>
  <c r="V150" i="38"/>
  <c r="V266" i="38"/>
  <c r="V283" i="38"/>
  <c r="V145" i="38"/>
  <c r="V36" i="38"/>
  <c r="V13" i="38"/>
  <c r="V199" i="38"/>
  <c r="V108" i="38"/>
  <c r="V181" i="38"/>
  <c r="V160" i="38"/>
  <c r="V250" i="38"/>
  <c r="V203" i="38"/>
  <c r="V287" i="38"/>
  <c r="V34" i="38"/>
  <c r="V152" i="38"/>
  <c r="V42" i="38"/>
  <c r="V58" i="38"/>
  <c r="V12" i="38"/>
  <c r="V315" i="38"/>
  <c r="V88" i="38"/>
  <c r="V95" i="38"/>
  <c r="V162" i="38"/>
  <c r="V20" i="38"/>
  <c r="V299" i="38"/>
  <c r="V303" i="38"/>
  <c r="V61" i="38"/>
  <c r="V97" i="38"/>
  <c r="V261" i="38"/>
  <c r="V78" i="38"/>
  <c r="V277" i="38"/>
  <c r="V175" i="38"/>
  <c r="V255" i="38"/>
  <c r="V68" i="38"/>
  <c r="V96" i="38"/>
  <c r="V318" i="38"/>
  <c r="V189" i="38"/>
  <c r="V101" i="38"/>
  <c r="V285" i="38"/>
  <c r="V65" i="38"/>
  <c r="V93" i="38"/>
  <c r="V247" i="38"/>
  <c r="V298" i="38"/>
  <c r="V28" i="38"/>
  <c r="V26" i="38"/>
  <c r="V131" i="38"/>
  <c r="V273" i="38"/>
  <c r="V124" i="38"/>
  <c r="V15" i="38"/>
  <c r="V234" i="38"/>
  <c r="V48" i="38"/>
  <c r="V57" i="38"/>
  <c r="V115" i="38"/>
  <c r="V227" i="38"/>
  <c r="V317" i="38"/>
  <c r="V286" i="38"/>
  <c r="V123" i="38"/>
  <c r="V127" i="38"/>
  <c r="V98" i="38"/>
  <c r="V85" i="38"/>
  <c r="V168" i="38"/>
  <c r="V164" i="38"/>
  <c r="V111" i="38"/>
  <c r="V218" i="38"/>
  <c r="V39" i="38"/>
  <c r="V134" i="38"/>
  <c r="V165" i="38"/>
  <c r="V60" i="38"/>
  <c r="V235" i="38"/>
  <c r="V176" i="38"/>
  <c r="V163" i="38"/>
  <c r="V305" i="38"/>
  <c r="V75" i="38"/>
  <c r="V47" i="38"/>
  <c r="V141" i="38"/>
  <c r="V11" i="38"/>
  <c r="V300" i="38"/>
  <c r="V192" i="38"/>
  <c r="V91" i="38"/>
  <c r="V121" i="38"/>
  <c r="V270" i="38"/>
  <c r="V241" i="38"/>
  <c r="V226" i="38"/>
  <c r="V133" i="38"/>
  <c r="V309" i="38"/>
  <c r="V149" i="38"/>
  <c r="V292" i="38"/>
  <c r="V220" i="38"/>
  <c r="V186" i="38"/>
  <c r="V221" i="38"/>
  <c r="V232" i="38"/>
  <c r="V46" i="38"/>
  <c r="V99" i="38"/>
  <c r="V137" i="38"/>
  <c r="V185" i="38"/>
  <c r="V153" i="38"/>
  <c r="V293" i="38"/>
  <c r="V72" i="38"/>
  <c r="V104" i="38"/>
  <c r="V86" i="38"/>
  <c r="V83" i="38"/>
  <c r="V316" i="38"/>
  <c r="V146" i="38"/>
  <c r="V49" i="38"/>
  <c r="V16" i="38"/>
  <c r="V73" i="38"/>
  <c r="V54" i="38"/>
  <c r="V82" i="38"/>
  <c r="V191" i="38"/>
  <c r="V140" i="38"/>
  <c r="V312" i="38"/>
  <c r="V224" i="38"/>
  <c r="V136" i="38"/>
  <c r="V116" i="38"/>
  <c r="V268" i="38"/>
  <c r="V114" i="38"/>
  <c r="V240" i="38"/>
  <c r="V216" i="38"/>
  <c r="V40" i="38"/>
  <c r="V196" i="38"/>
  <c r="V84" i="38"/>
  <c r="V267" i="38"/>
  <c r="V103" i="38"/>
  <c r="V272" i="38"/>
  <c r="V9" i="38"/>
  <c r="V281" i="38"/>
  <c r="V107" i="38"/>
  <c r="V135" i="38"/>
  <c r="V51" i="38"/>
  <c r="V18" i="38"/>
  <c r="V211" i="38"/>
  <c r="V144" i="38"/>
  <c r="V50" i="38"/>
  <c r="V263" i="38"/>
  <c r="V6" i="38"/>
  <c r="V245" i="38"/>
  <c r="V41" i="38"/>
  <c r="V231" i="38"/>
  <c r="V14" i="38"/>
  <c r="V201" i="38"/>
  <c r="V117" i="38"/>
  <c r="V166" i="38"/>
  <c r="V173" i="38"/>
  <c r="V242" i="38"/>
  <c r="V25" i="38"/>
  <c r="V182" i="38"/>
  <c r="V74" i="38"/>
  <c r="V188" i="38"/>
  <c r="V37" i="38"/>
  <c r="V125" i="38"/>
  <c r="V177" i="38"/>
  <c r="V155" i="38"/>
  <c r="V213" i="38"/>
  <c r="V219" i="38"/>
  <c r="V38" i="38"/>
  <c r="V113" i="38"/>
  <c r="V222" i="38"/>
  <c r="V290" i="38"/>
  <c r="V128" i="38"/>
  <c r="V10" i="38"/>
  <c r="V229" i="38"/>
  <c r="V205" i="38"/>
  <c r="U4" i="38"/>
  <c r="T3" i="38" a="1"/>
  <c r="T3" i="38" s="1"/>
  <c r="V230" i="38"/>
  <c r="V66" i="38"/>
  <c r="V81" i="38"/>
  <c r="V239" i="38"/>
  <c r="V248" i="38"/>
  <c r="V130" i="38"/>
  <c r="V106" i="38"/>
  <c r="V69" i="38"/>
  <c r="V27" i="38"/>
  <c r="V217" i="38"/>
  <c r="V202" i="38"/>
  <c r="V256" i="38"/>
  <c r="V70" i="38"/>
  <c r="V167" i="38"/>
  <c r="V180" i="38"/>
  <c r="V24" i="38"/>
  <c r="V53" i="38"/>
  <c r="V251" i="38"/>
  <c r="V170" i="38"/>
  <c r="V259" i="38"/>
  <c r="V179" i="38"/>
  <c r="V262" i="38"/>
  <c r="V89" i="38"/>
  <c r="V56" i="38"/>
  <c r="V297" i="38"/>
  <c r="V284" i="38"/>
  <c r="V122" i="38"/>
  <c r="V280" i="38"/>
  <c r="V21" i="38"/>
  <c r="V110" i="38"/>
  <c r="V187" i="38"/>
  <c r="V307" i="38"/>
  <c r="V129" i="38"/>
  <c r="V19" i="38"/>
  <c r="V310" i="38"/>
  <c r="V269" i="38"/>
  <c r="V207" i="38"/>
  <c r="V126" i="38"/>
  <c r="V257" i="38"/>
  <c r="V118" i="38"/>
  <c r="V43" i="38"/>
  <c r="V215" i="38"/>
  <c r="V271" i="38"/>
  <c r="V282" i="38"/>
  <c r="V142" i="38"/>
  <c r="V194" i="38"/>
  <c r="V169" i="38"/>
  <c r="V172" i="38"/>
  <c r="V30" i="38"/>
  <c r="S3" i="38" a="1"/>
  <c r="S3" i="38" s="1"/>
  <c r="V208" i="37"/>
  <c r="V82" i="37"/>
  <c r="V195" i="37"/>
  <c r="V34" i="37"/>
  <c r="V7" i="37"/>
  <c r="V11" i="37"/>
  <c r="V189" i="37"/>
  <c r="V311" i="37"/>
  <c r="V70" i="37"/>
  <c r="V130" i="37"/>
  <c r="V43" i="37"/>
  <c r="V197" i="37"/>
  <c r="V26" i="37"/>
  <c r="V143" i="37"/>
  <c r="V304" i="37"/>
  <c r="V267" i="37"/>
  <c r="V273" i="37"/>
  <c r="V253" i="37"/>
  <c r="V155" i="37"/>
  <c r="V222" i="37"/>
  <c r="V75" i="37"/>
  <c r="V277" i="37"/>
  <c r="V17" i="37"/>
  <c r="V207" i="37"/>
  <c r="V210" i="37"/>
  <c r="V120" i="37"/>
  <c r="V300" i="37"/>
  <c r="V187" i="37"/>
  <c r="V128" i="37"/>
  <c r="V249" i="37"/>
  <c r="V251" i="37"/>
  <c r="V200" i="37"/>
  <c r="V198" i="37"/>
  <c r="V41" i="37"/>
  <c r="V38" i="37"/>
  <c r="V158" i="37"/>
  <c r="V292" i="37"/>
  <c r="V123" i="37"/>
  <c r="V295" i="37"/>
  <c r="V182" i="37"/>
  <c r="V303" i="37"/>
  <c r="V156" i="37"/>
  <c r="V272" i="37"/>
  <c r="V65" i="37"/>
  <c r="V93" i="37"/>
  <c r="V22" i="37"/>
  <c r="V55" i="37"/>
  <c r="V46" i="37"/>
  <c r="V102" i="37"/>
  <c r="V307" i="37"/>
  <c r="V193" i="37"/>
  <c r="V186" i="37"/>
  <c r="V194" i="37"/>
  <c r="V184" i="37"/>
  <c r="V6" i="37"/>
  <c r="V125" i="37"/>
  <c r="V73" i="37"/>
  <c r="V134" i="37"/>
  <c r="V35" i="37"/>
  <c r="V129" i="37"/>
  <c r="V20" i="37"/>
  <c r="V85" i="37"/>
  <c r="V264" i="37"/>
  <c r="V306" i="37"/>
  <c r="V28" i="37"/>
  <c r="V64" i="37"/>
  <c r="V147" i="37"/>
  <c r="V180" i="37"/>
  <c r="V45" i="37"/>
  <c r="V152" i="37"/>
  <c r="V192" i="37"/>
  <c r="V16" i="37"/>
  <c r="V269" i="37"/>
  <c r="V133" i="37"/>
  <c r="V289" i="37"/>
  <c r="V58" i="37"/>
  <c r="V81" i="37"/>
  <c r="V316" i="37"/>
  <c r="V245" i="37"/>
  <c r="V135" i="37"/>
  <c r="V101" i="37"/>
  <c r="V66" i="37"/>
  <c r="V279" i="37"/>
  <c r="V40" i="37"/>
  <c r="V18" i="37"/>
  <c r="V131" i="37"/>
  <c r="V261" i="37"/>
  <c r="V48" i="37"/>
  <c r="V170" i="37"/>
  <c r="V19" i="37"/>
  <c r="V215" i="37"/>
  <c r="V137" i="37"/>
  <c r="V241" i="37"/>
  <c r="V146" i="37"/>
  <c r="V110" i="37"/>
  <c r="V8" i="37"/>
  <c r="V30" i="37"/>
  <c r="V310" i="37"/>
  <c r="V32" i="37"/>
  <c r="V243" i="37"/>
  <c r="V13" i="37"/>
  <c r="V287" i="37"/>
  <c r="V220" i="37"/>
  <c r="V174" i="37"/>
  <c r="V33" i="37"/>
  <c r="V283" i="37"/>
  <c r="V164" i="37"/>
  <c r="V181" i="37"/>
  <c r="V127" i="37"/>
  <c r="V225" i="37"/>
  <c r="V203" i="37"/>
  <c r="V259" i="37"/>
  <c r="V52" i="37"/>
  <c r="V151" i="37"/>
  <c r="V219" i="37"/>
  <c r="V290" i="37"/>
  <c r="V221" i="37"/>
  <c r="V80" i="37"/>
  <c r="V294" i="37"/>
  <c r="V99" i="37"/>
  <c r="V258" i="37"/>
  <c r="V178" i="37"/>
  <c r="V235" i="37"/>
  <c r="V57" i="37"/>
  <c r="V69" i="37"/>
  <c r="V226" i="37"/>
  <c r="V39" i="37"/>
  <c r="V103" i="37"/>
  <c r="V276" i="37"/>
  <c r="V27" i="37"/>
  <c r="V15" i="37"/>
  <c r="V191" i="37"/>
  <c r="V262" i="37"/>
  <c r="V67" i="37"/>
  <c r="V60" i="37"/>
  <c r="V301" i="37"/>
  <c r="V286" i="37"/>
  <c r="V76" i="37"/>
  <c r="V113" i="37"/>
  <c r="V268" i="37"/>
  <c r="V285" i="37"/>
  <c r="V56" i="37"/>
  <c r="V138" i="37"/>
  <c r="V44" i="37"/>
  <c r="V149" i="37"/>
  <c r="V204" i="37"/>
  <c r="V284" i="37"/>
  <c r="V246" i="37"/>
  <c r="V244" i="37"/>
  <c r="V112" i="37"/>
  <c r="V154" i="37"/>
  <c r="V139" i="37"/>
  <c r="V255" i="37"/>
  <c r="V257" i="37"/>
  <c r="V291" i="37"/>
  <c r="V188" i="37"/>
  <c r="V229" i="37"/>
  <c r="V106" i="37"/>
  <c r="V296" i="37"/>
  <c r="V136" i="37"/>
  <c r="V315" i="37"/>
  <c r="V309" i="37"/>
  <c r="V159" i="37"/>
  <c r="V87" i="37"/>
  <c r="V224" i="37"/>
  <c r="V72" i="37"/>
  <c r="V213" i="37"/>
  <c r="V84" i="37"/>
  <c r="V119" i="37"/>
  <c r="V47" i="37"/>
  <c r="V24" i="37"/>
  <c r="V169" i="37"/>
  <c r="V237" i="37"/>
  <c r="V63" i="37"/>
  <c r="V202" i="37"/>
  <c r="V116" i="37"/>
  <c r="V104" i="37"/>
  <c r="V252" i="37"/>
  <c r="V163" i="37"/>
  <c r="V117" i="37"/>
  <c r="V175" i="37"/>
  <c r="V148" i="37"/>
  <c r="V216" i="37"/>
  <c r="V132" i="37"/>
  <c r="V166" i="37"/>
  <c r="V68" i="37"/>
  <c r="V183" i="37"/>
  <c r="V231" i="37"/>
  <c r="V274" i="37"/>
  <c r="V209" i="37"/>
  <c r="V297" i="37"/>
  <c r="V254" i="37"/>
  <c r="V179" i="37"/>
  <c r="V36" i="37"/>
  <c r="V256" i="37"/>
  <c r="V79" i="37"/>
  <c r="V150" i="37"/>
  <c r="V282" i="37"/>
  <c r="V171" i="37"/>
  <c r="V88" i="37"/>
  <c r="V168" i="37"/>
  <c r="V234" i="37"/>
  <c r="V265" i="37"/>
  <c r="V206" i="37"/>
  <c r="V240" i="37"/>
  <c r="V109" i="37"/>
  <c r="V9" i="37"/>
  <c r="V90" i="37"/>
  <c r="V122" i="37"/>
  <c r="V173" i="37"/>
  <c r="V236" i="37"/>
  <c r="V114" i="37"/>
  <c r="V227" i="37"/>
  <c r="V94" i="37"/>
  <c r="V162" i="37"/>
  <c r="V248" i="37"/>
  <c r="V165" i="37"/>
  <c r="V71" i="37"/>
  <c r="V161" i="37"/>
  <c r="V308" i="37"/>
  <c r="V278" i="37"/>
  <c r="V59" i="37"/>
  <c r="V74" i="37"/>
  <c r="V10" i="37"/>
  <c r="V312" i="37"/>
  <c r="V54" i="37"/>
  <c r="V298" i="37"/>
  <c r="V98" i="37"/>
  <c r="V115" i="37"/>
  <c r="V141" i="37"/>
  <c r="V86" i="37"/>
  <c r="V271" i="37"/>
  <c r="V107" i="37"/>
  <c r="V124" i="37"/>
  <c r="V108" i="37"/>
  <c r="V293" i="37"/>
  <c r="V89" i="37"/>
  <c r="V288" i="37"/>
  <c r="V185" i="37"/>
  <c r="V214" i="37"/>
  <c r="V230" i="37"/>
  <c r="V77" i="37"/>
  <c r="V270" i="37"/>
  <c r="V305" i="37"/>
  <c r="V23" i="37"/>
  <c r="V205" i="37"/>
  <c r="V37" i="37"/>
  <c r="V275" i="37"/>
  <c r="V95" i="37"/>
  <c r="V145" i="37"/>
  <c r="V50" i="37"/>
  <c r="V280" i="37"/>
  <c r="V78" i="37"/>
  <c r="V228" i="37"/>
  <c r="V263" i="37"/>
  <c r="V211" i="37"/>
  <c r="V317" i="37"/>
  <c r="V239" i="37"/>
  <c r="V217" i="37"/>
  <c r="V196" i="37"/>
  <c r="V302" i="37"/>
  <c r="V313" i="37"/>
  <c r="V61" i="37"/>
  <c r="V51" i="37"/>
  <c r="V91" i="37"/>
  <c r="V266" i="37"/>
  <c r="V42" i="37"/>
  <c r="V118" i="37"/>
  <c r="V177" i="37"/>
  <c r="V49" i="37"/>
  <c r="V190" i="37"/>
  <c r="U4" i="37"/>
  <c r="T3" i="37" a="1"/>
  <c r="T3" i="37" s="1"/>
  <c r="V199" i="37"/>
  <c r="V31" i="37"/>
  <c r="V83" i="37"/>
  <c r="V299" i="37"/>
  <c r="V232" i="37"/>
  <c r="V14" i="37"/>
  <c r="V172" i="37"/>
  <c r="V97" i="37"/>
  <c r="V314" i="37"/>
  <c r="V142" i="37"/>
  <c r="V21" i="37"/>
  <c r="V201" i="37"/>
  <c r="V247" i="37"/>
  <c r="V53" i="37"/>
  <c r="V92" i="37"/>
  <c r="V140" i="37"/>
  <c r="V25" i="37"/>
  <c r="V100" i="37"/>
  <c r="V318" i="37"/>
  <c r="V167" i="37"/>
  <c r="V5" i="37"/>
  <c r="V281" i="37"/>
  <c r="V218" i="37"/>
  <c r="V212" i="37"/>
  <c r="V233" i="37"/>
  <c r="V176" i="37"/>
  <c r="V126" i="37"/>
  <c r="V121" i="37"/>
  <c r="V223" i="37"/>
  <c r="V250" i="37"/>
  <c r="V111" i="37"/>
  <c r="V62" i="37"/>
  <c r="V157" i="37"/>
  <c r="V238" i="37"/>
  <c r="V160" i="37"/>
  <c r="V96" i="37"/>
  <c r="V105" i="37"/>
  <c r="V153" i="37"/>
  <c r="V260" i="37"/>
  <c r="V144" i="37"/>
  <c r="V12" i="37"/>
  <c r="V242" i="37"/>
  <c r="V29" i="37"/>
  <c r="S3" i="37" a="1"/>
  <c r="S3" i="37" s="1"/>
  <c r="U3" i="36" a="1"/>
  <c r="U3" i="36" s="1"/>
  <c r="V4" i="36"/>
  <c r="T3" i="39" l="1" a="1"/>
  <c r="T3" i="39" s="1"/>
  <c r="U4" i="39"/>
  <c r="U3" i="38" a="1"/>
  <c r="U3" i="38" s="1"/>
  <c r="V4" i="38"/>
  <c r="U3" i="37" a="1"/>
  <c r="U3" i="37" s="1"/>
  <c r="V4" i="37"/>
  <c r="V3" i="36" a="1"/>
  <c r="V3" i="36" s="1"/>
  <c r="W319" i="36" l="1"/>
  <c r="X319" i="36" s="1"/>
  <c r="W320" i="36"/>
  <c r="X320" i="36" s="1"/>
  <c r="U3" i="39" a="1"/>
  <c r="U3" i="39" s="1"/>
  <c r="V4" i="39"/>
  <c r="V3" i="38" a="1"/>
  <c r="V3" i="38" s="1"/>
  <c r="V3" i="37" a="1"/>
  <c r="V3" i="37" s="1"/>
  <c r="W18" i="36"/>
  <c r="X18" i="36" s="1"/>
  <c r="W309" i="36"/>
  <c r="X309" i="36" s="1"/>
  <c r="W161" i="36"/>
  <c r="X161" i="36" s="1"/>
  <c r="W110" i="36"/>
  <c r="X110" i="36" s="1"/>
  <c r="W214" i="36"/>
  <c r="X214" i="36" s="1"/>
  <c r="W210" i="36"/>
  <c r="X210" i="36" s="1"/>
  <c r="W45" i="36"/>
  <c r="X45" i="36" s="1"/>
  <c r="W46" i="36"/>
  <c r="X46" i="36" s="1"/>
  <c r="W159" i="36"/>
  <c r="X159" i="36" s="1"/>
  <c r="W75" i="36"/>
  <c r="X75" i="36" s="1"/>
  <c r="W206" i="36"/>
  <c r="X206" i="36" s="1"/>
  <c r="W216" i="36"/>
  <c r="X216" i="36" s="1"/>
  <c r="W22" i="36"/>
  <c r="X22" i="36" s="1"/>
  <c r="W290" i="36"/>
  <c r="X290" i="36" s="1"/>
  <c r="W52" i="36"/>
  <c r="X52" i="36" s="1"/>
  <c r="W188" i="36"/>
  <c r="X188" i="36" s="1"/>
  <c r="W31" i="36"/>
  <c r="X31" i="36" s="1"/>
  <c r="W233" i="36"/>
  <c r="X233" i="36" s="1"/>
  <c r="W248" i="36"/>
  <c r="X248" i="36" s="1"/>
  <c r="W109" i="36"/>
  <c r="X109" i="36" s="1"/>
  <c r="W41" i="36"/>
  <c r="X41" i="36" s="1"/>
  <c r="W19" i="36"/>
  <c r="X19" i="36" s="1"/>
  <c r="W40" i="36"/>
  <c r="X40" i="36" s="1"/>
  <c r="W59" i="36"/>
  <c r="X59" i="36" s="1"/>
  <c r="W313" i="36"/>
  <c r="X313" i="36" s="1"/>
  <c r="W50" i="36"/>
  <c r="X50" i="36" s="1"/>
  <c r="W254" i="36"/>
  <c r="X254" i="36" s="1"/>
  <c r="W81" i="36"/>
  <c r="X81" i="36" s="1"/>
  <c r="W111" i="36"/>
  <c r="X111" i="36" s="1"/>
  <c r="W43" i="36"/>
  <c r="X43" i="36" s="1"/>
  <c r="W86" i="36"/>
  <c r="X86" i="36" s="1"/>
  <c r="W227" i="36"/>
  <c r="X227" i="36" s="1"/>
  <c r="W259" i="36"/>
  <c r="X259" i="36" s="1"/>
  <c r="W147" i="36"/>
  <c r="X147" i="36" s="1"/>
  <c r="W211" i="36"/>
  <c r="X211" i="36" s="1"/>
  <c r="W177" i="36"/>
  <c r="X177" i="36" s="1"/>
  <c r="W49" i="36"/>
  <c r="X49" i="36" s="1"/>
  <c r="W55" i="36"/>
  <c r="X55" i="36" s="1"/>
  <c r="W123" i="36"/>
  <c r="X123" i="36" s="1"/>
  <c r="W207" i="36"/>
  <c r="X207" i="36" s="1"/>
  <c r="W213" i="36"/>
  <c r="X213" i="36" s="1"/>
  <c r="W121" i="36"/>
  <c r="X121" i="36" s="1"/>
  <c r="W218" i="36"/>
  <c r="X218" i="36" s="1"/>
  <c r="W267" i="36"/>
  <c r="X267" i="36" s="1"/>
  <c r="W148" i="36"/>
  <c r="X148" i="36" s="1"/>
  <c r="W16" i="36"/>
  <c r="X16" i="36" s="1"/>
  <c r="W98" i="36"/>
  <c r="X98" i="36" s="1"/>
  <c r="W291" i="36"/>
  <c r="X291" i="36" s="1"/>
  <c r="W300" i="36"/>
  <c r="X300" i="36" s="1"/>
  <c r="W90" i="36"/>
  <c r="X90" i="36" s="1"/>
  <c r="W217" i="36"/>
  <c r="X217" i="36" s="1"/>
  <c r="W27" i="36"/>
  <c r="X27" i="36" s="1"/>
  <c r="W25" i="36"/>
  <c r="X25" i="36" s="1"/>
  <c r="W297" i="36"/>
  <c r="X297" i="36" s="1"/>
  <c r="W315" i="36"/>
  <c r="X315" i="36" s="1"/>
  <c r="W261" i="36"/>
  <c r="X261" i="36" s="1"/>
  <c r="W308" i="36"/>
  <c r="X308" i="36" s="1"/>
  <c r="W112" i="36"/>
  <c r="X112" i="36" s="1"/>
  <c r="W102" i="36"/>
  <c r="X102" i="36" s="1"/>
  <c r="W201" i="36"/>
  <c r="X201" i="36" s="1"/>
  <c r="W152" i="36"/>
  <c r="X152" i="36" s="1"/>
  <c r="W67" i="36"/>
  <c r="X67" i="36" s="1"/>
  <c r="W184" i="36"/>
  <c r="X184" i="36" s="1"/>
  <c r="W120" i="36"/>
  <c r="X120" i="36" s="1"/>
  <c r="W38" i="36"/>
  <c r="X38" i="36" s="1"/>
  <c r="W103" i="36"/>
  <c r="X103" i="36" s="1"/>
  <c r="W151" i="36"/>
  <c r="X151" i="36" s="1"/>
  <c r="W20" i="36"/>
  <c r="X20" i="36" s="1"/>
  <c r="W61" i="36"/>
  <c r="X61" i="36" s="1"/>
  <c r="W92" i="36"/>
  <c r="X92" i="36" s="1"/>
  <c r="W157" i="36"/>
  <c r="X157" i="36" s="1"/>
  <c r="W100" i="36"/>
  <c r="X100" i="36" s="1"/>
  <c r="W183" i="36"/>
  <c r="X183" i="36" s="1"/>
  <c r="W136" i="36"/>
  <c r="X136" i="36" s="1"/>
  <c r="W153" i="36"/>
  <c r="X153" i="36" s="1"/>
  <c r="W238" i="36"/>
  <c r="X238" i="36" s="1"/>
  <c r="W235" i="36"/>
  <c r="X235" i="36" s="1"/>
  <c r="W215" i="36"/>
  <c r="X215" i="36" s="1"/>
  <c r="W83" i="36"/>
  <c r="X83" i="36" s="1"/>
  <c r="W234" i="36"/>
  <c r="X234" i="36" s="1"/>
  <c r="W247" i="36"/>
  <c r="X247" i="36" s="1"/>
  <c r="W196" i="36"/>
  <c r="X196" i="36" s="1"/>
  <c r="W280" i="36"/>
  <c r="X280" i="36" s="1"/>
  <c r="W289" i="36"/>
  <c r="X289" i="36" s="1"/>
  <c r="W167" i="36"/>
  <c r="X167" i="36" s="1"/>
  <c r="W108" i="36"/>
  <c r="X108" i="36" s="1"/>
  <c r="W10" i="36"/>
  <c r="X10" i="36" s="1"/>
  <c r="W219" i="36"/>
  <c r="X219" i="36" s="1"/>
  <c r="W305" i="36"/>
  <c r="X305" i="36" s="1"/>
  <c r="W142" i="36"/>
  <c r="X142" i="36" s="1"/>
  <c r="W133" i="36"/>
  <c r="X133" i="36" s="1"/>
  <c r="W208" i="36"/>
  <c r="X208" i="36" s="1"/>
  <c r="W179" i="36"/>
  <c r="X179" i="36" s="1"/>
  <c r="W70" i="36"/>
  <c r="X70" i="36" s="1"/>
  <c r="W71" i="36"/>
  <c r="X71" i="36" s="1"/>
  <c r="W203" i="36"/>
  <c r="X203" i="36" s="1"/>
  <c r="W264" i="36"/>
  <c r="X264" i="36" s="1"/>
  <c r="W119" i="36"/>
  <c r="X119" i="36" s="1"/>
  <c r="W180" i="36"/>
  <c r="X180" i="36" s="1"/>
  <c r="W174" i="36"/>
  <c r="X174" i="36" s="1"/>
  <c r="W269" i="36"/>
  <c r="X269" i="36" s="1"/>
  <c r="W30" i="36"/>
  <c r="X30" i="36" s="1"/>
  <c r="W129" i="36"/>
  <c r="X129" i="36" s="1"/>
  <c r="W99" i="36"/>
  <c r="X99" i="36" s="1"/>
  <c r="W277" i="36"/>
  <c r="X277" i="36" s="1"/>
  <c r="W140" i="36"/>
  <c r="X140" i="36" s="1"/>
  <c r="W72" i="36"/>
  <c r="X72" i="36" s="1"/>
  <c r="W132" i="36"/>
  <c r="X132" i="36" s="1"/>
  <c r="W141" i="36"/>
  <c r="X141" i="36" s="1"/>
  <c r="W292" i="36"/>
  <c r="X292" i="36" s="1"/>
  <c r="W221" i="36"/>
  <c r="X221" i="36" s="1"/>
  <c r="W231" i="36"/>
  <c r="X231" i="36" s="1"/>
  <c r="W263" i="36"/>
  <c r="X263" i="36" s="1"/>
  <c r="W166" i="36"/>
  <c r="X166" i="36" s="1"/>
  <c r="W283" i="36"/>
  <c r="X283" i="36" s="1"/>
  <c r="W35" i="36"/>
  <c r="X35" i="36" s="1"/>
  <c r="W82" i="36"/>
  <c r="X82" i="36" s="1"/>
  <c r="W154" i="36"/>
  <c r="X154" i="36" s="1"/>
  <c r="W37" i="36"/>
  <c r="X37" i="36" s="1"/>
  <c r="W89" i="36"/>
  <c r="X89" i="36" s="1"/>
  <c r="W298" i="36"/>
  <c r="X298" i="36" s="1"/>
  <c r="W12" i="36"/>
  <c r="X12" i="36" s="1"/>
  <c r="W288" i="36"/>
  <c r="X288" i="36" s="1"/>
  <c r="W236" i="36"/>
  <c r="X236" i="36" s="1"/>
  <c r="W128" i="36"/>
  <c r="X128" i="36" s="1"/>
  <c r="W54" i="36"/>
  <c r="X54" i="36" s="1"/>
  <c r="W318" i="36"/>
  <c r="X318" i="36" s="1"/>
  <c r="W88" i="36"/>
  <c r="X88" i="36" s="1"/>
  <c r="W287" i="36"/>
  <c r="X287" i="36" s="1"/>
  <c r="W65" i="36"/>
  <c r="X65" i="36" s="1"/>
  <c r="W6" i="36"/>
  <c r="X6" i="36" s="1"/>
  <c r="W162" i="36"/>
  <c r="X162" i="36" s="1"/>
  <c r="W107" i="36"/>
  <c r="X107" i="36" s="1"/>
  <c r="W276" i="36"/>
  <c r="X276" i="36" s="1"/>
  <c r="W243" i="36"/>
  <c r="X243" i="36" s="1"/>
  <c r="W64" i="36"/>
  <c r="X64" i="36" s="1"/>
  <c r="W60" i="36"/>
  <c r="X60" i="36" s="1"/>
  <c r="W47" i="36"/>
  <c r="X47" i="36" s="1"/>
  <c r="W131" i="36"/>
  <c r="X131" i="36" s="1"/>
  <c r="W250" i="36"/>
  <c r="X250" i="36" s="1"/>
  <c r="W190" i="36"/>
  <c r="X190" i="36" s="1"/>
  <c r="W268" i="36"/>
  <c r="X268" i="36" s="1"/>
  <c r="W36" i="36"/>
  <c r="X36" i="36" s="1"/>
  <c r="W249" i="36"/>
  <c r="X249" i="36" s="1"/>
  <c r="W62" i="36"/>
  <c r="X62" i="36" s="1"/>
  <c r="W138" i="36"/>
  <c r="X138" i="36" s="1"/>
  <c r="W80" i="36"/>
  <c r="X80" i="36" s="1"/>
  <c r="W23" i="36"/>
  <c r="X23" i="36" s="1"/>
  <c r="W229" i="36"/>
  <c r="X229" i="36" s="1"/>
  <c r="W302" i="36"/>
  <c r="X302" i="36" s="1"/>
  <c r="W226" i="36"/>
  <c r="X226" i="36" s="1"/>
  <c r="W241" i="36"/>
  <c r="X241" i="36" s="1"/>
  <c r="W32" i="36"/>
  <c r="X32" i="36" s="1"/>
  <c r="W85" i="36"/>
  <c r="X85" i="36" s="1"/>
  <c r="W163" i="36"/>
  <c r="X163" i="36" s="1"/>
  <c r="W125" i="36"/>
  <c r="X125" i="36" s="1"/>
  <c r="W94" i="36"/>
  <c r="X94" i="36" s="1"/>
  <c r="W182" i="36"/>
  <c r="X182" i="36" s="1"/>
  <c r="W223" i="36"/>
  <c r="X223" i="36" s="1"/>
  <c r="W199" i="36"/>
  <c r="X199" i="36" s="1"/>
  <c r="W222" i="36"/>
  <c r="X222" i="36" s="1"/>
  <c r="W24" i="36"/>
  <c r="X24" i="36" s="1"/>
  <c r="W164" i="36"/>
  <c r="X164" i="36" s="1"/>
  <c r="W34" i="36"/>
  <c r="X34" i="36" s="1"/>
  <c r="W137" i="36"/>
  <c r="X137" i="36" s="1"/>
  <c r="W195" i="36"/>
  <c r="X195" i="36" s="1"/>
  <c r="W63" i="36"/>
  <c r="X63" i="36" s="1"/>
  <c r="W282" i="36"/>
  <c r="X282" i="36" s="1"/>
  <c r="W306" i="36"/>
  <c r="X306" i="36" s="1"/>
  <c r="W242" i="36"/>
  <c r="X242" i="36" s="1"/>
  <c r="W312" i="36"/>
  <c r="X312" i="36" s="1"/>
  <c r="W165" i="36"/>
  <c r="X165" i="36" s="1"/>
  <c r="W192" i="36"/>
  <c r="X192" i="36" s="1"/>
  <c r="W170" i="36"/>
  <c r="X170" i="36" s="1"/>
  <c r="W316" i="36"/>
  <c r="X316" i="36" s="1"/>
  <c r="W178" i="36"/>
  <c r="X178" i="36" s="1"/>
  <c r="W296" i="36"/>
  <c r="X296" i="36" s="1"/>
  <c r="W186" i="36"/>
  <c r="X186" i="36" s="1"/>
  <c r="W114" i="36"/>
  <c r="X114" i="36" s="1"/>
  <c r="W202" i="36"/>
  <c r="X202" i="36" s="1"/>
  <c r="W26" i="36"/>
  <c r="X26" i="36" s="1"/>
  <c r="W130" i="36"/>
  <c r="X130" i="36" s="1"/>
  <c r="W7" i="36"/>
  <c r="X7" i="36" s="1"/>
  <c r="W171" i="36"/>
  <c r="X171" i="36" s="1"/>
  <c r="W17" i="36"/>
  <c r="X17" i="36" s="1"/>
  <c r="W160" i="36"/>
  <c r="X160" i="36" s="1"/>
  <c r="W273" i="36"/>
  <c r="X273" i="36" s="1"/>
  <c r="W29" i="36"/>
  <c r="X29" i="36" s="1"/>
  <c r="W237" i="36"/>
  <c r="X237" i="36" s="1"/>
  <c r="W176" i="36"/>
  <c r="X176" i="36" s="1"/>
  <c r="W15" i="36"/>
  <c r="X15" i="36" s="1"/>
  <c r="W146" i="36"/>
  <c r="X146" i="36" s="1"/>
  <c r="W307" i="36"/>
  <c r="X307" i="36" s="1"/>
  <c r="W104" i="36"/>
  <c r="X104" i="36" s="1"/>
  <c r="W74" i="36"/>
  <c r="X74" i="36" s="1"/>
  <c r="W239" i="36"/>
  <c r="X239" i="36" s="1"/>
  <c r="W294" i="36"/>
  <c r="X294" i="36" s="1"/>
  <c r="W44" i="36"/>
  <c r="X44" i="36" s="1"/>
  <c r="W198" i="36"/>
  <c r="X198" i="36" s="1"/>
  <c r="W310" i="36"/>
  <c r="X310" i="36" s="1"/>
  <c r="W150" i="36"/>
  <c r="X150" i="36" s="1"/>
  <c r="W191" i="36"/>
  <c r="X191" i="36" s="1"/>
  <c r="W197" i="36"/>
  <c r="X197" i="36" s="1"/>
  <c r="W91" i="36"/>
  <c r="X91" i="36" s="1"/>
  <c r="W258" i="36"/>
  <c r="X258" i="36" s="1"/>
  <c r="W293" i="36"/>
  <c r="X293" i="36" s="1"/>
  <c r="W262" i="36"/>
  <c r="X262" i="36" s="1"/>
  <c r="W285" i="36"/>
  <c r="X285" i="36" s="1"/>
  <c r="W317" i="36"/>
  <c r="X317" i="36" s="1"/>
  <c r="W127" i="36"/>
  <c r="X127" i="36" s="1"/>
  <c r="W118" i="36"/>
  <c r="X118" i="36" s="1"/>
  <c r="W143" i="36"/>
  <c r="X143" i="36" s="1"/>
  <c r="W286" i="36"/>
  <c r="X286" i="36" s="1"/>
  <c r="W172" i="36"/>
  <c r="X172" i="36" s="1"/>
  <c r="W253" i="36"/>
  <c r="X253" i="36" s="1"/>
  <c r="W194" i="36"/>
  <c r="X194" i="36" s="1"/>
  <c r="W48" i="36"/>
  <c r="X48" i="36" s="1"/>
  <c r="W156" i="36"/>
  <c r="X156" i="36" s="1"/>
  <c r="W5" i="36"/>
  <c r="X5" i="36" s="1"/>
  <c r="W181" i="36"/>
  <c r="X181" i="36" s="1"/>
  <c r="W145" i="36"/>
  <c r="X145" i="36" s="1"/>
  <c r="W51" i="36"/>
  <c r="X51" i="36" s="1"/>
  <c r="W271" i="36"/>
  <c r="X271" i="36" s="1"/>
  <c r="W69" i="36"/>
  <c r="X69" i="36" s="1"/>
  <c r="W124" i="36"/>
  <c r="X124" i="36" s="1"/>
  <c r="W187" i="36"/>
  <c r="X187" i="36" s="1"/>
  <c r="W204" i="36"/>
  <c r="X204" i="36" s="1"/>
  <c r="W169" i="36"/>
  <c r="X169" i="36" s="1"/>
  <c r="W14" i="36"/>
  <c r="X14" i="36" s="1"/>
  <c r="W246" i="36"/>
  <c r="X246" i="36" s="1"/>
  <c r="W299" i="36"/>
  <c r="X299" i="36" s="1"/>
  <c r="W278" i="36"/>
  <c r="X278" i="36" s="1"/>
  <c r="W193" i="36"/>
  <c r="X193" i="36" s="1"/>
  <c r="W281" i="36"/>
  <c r="X281" i="36" s="1"/>
  <c r="W28" i="36"/>
  <c r="X28" i="36" s="1"/>
  <c r="W95" i="36"/>
  <c r="X95" i="36" s="1"/>
  <c r="W116" i="36"/>
  <c r="X116" i="36" s="1"/>
  <c r="W256" i="36"/>
  <c r="X256" i="36" s="1"/>
  <c r="W230" i="36"/>
  <c r="X230" i="36" s="1"/>
  <c r="W212" i="36"/>
  <c r="X212" i="36" s="1"/>
  <c r="W68" i="36"/>
  <c r="X68" i="36" s="1"/>
  <c r="W255" i="36"/>
  <c r="X255" i="36" s="1"/>
  <c r="W21" i="36"/>
  <c r="X21" i="36" s="1"/>
  <c r="W13" i="36"/>
  <c r="X13" i="36" s="1"/>
  <c r="W56" i="36"/>
  <c r="X56" i="36" s="1"/>
  <c r="W240" i="36"/>
  <c r="X240" i="36" s="1"/>
  <c r="W106" i="36"/>
  <c r="X106" i="36" s="1"/>
  <c r="W209" i="36"/>
  <c r="X209" i="36" s="1"/>
  <c r="W144" i="36"/>
  <c r="X144" i="36" s="1"/>
  <c r="W279" i="36"/>
  <c r="X279" i="36" s="1"/>
  <c r="W101" i="36"/>
  <c r="X101" i="36" s="1"/>
  <c r="W272" i="36"/>
  <c r="X272" i="36" s="1"/>
  <c r="W168" i="36"/>
  <c r="X168" i="36" s="1"/>
  <c r="W295" i="36"/>
  <c r="X295" i="36" s="1"/>
  <c r="W93" i="36"/>
  <c r="X93" i="36" s="1"/>
  <c r="W175" i="36"/>
  <c r="X175" i="36" s="1"/>
  <c r="W158" i="36"/>
  <c r="X158" i="36" s="1"/>
  <c r="W122" i="36"/>
  <c r="X122" i="36" s="1"/>
  <c r="W265" i="36"/>
  <c r="X265" i="36" s="1"/>
  <c r="W97" i="36"/>
  <c r="X97" i="36" s="1"/>
  <c r="W155" i="36"/>
  <c r="X155" i="36" s="1"/>
  <c r="W11" i="36"/>
  <c r="X11" i="36" s="1"/>
  <c r="W220" i="36"/>
  <c r="X220" i="36" s="1"/>
  <c r="W58" i="36"/>
  <c r="X58" i="36" s="1"/>
  <c r="W274" i="36"/>
  <c r="X274" i="36" s="1"/>
  <c r="W311" i="36"/>
  <c r="X311" i="36" s="1"/>
  <c r="W113" i="36"/>
  <c r="X113" i="36" s="1"/>
  <c r="W57" i="36"/>
  <c r="X57" i="36" s="1"/>
  <c r="W301" i="36"/>
  <c r="X301" i="36" s="1"/>
  <c r="W303" i="36"/>
  <c r="X303" i="36" s="1"/>
  <c r="W284" i="36"/>
  <c r="X284" i="36" s="1"/>
  <c r="W33" i="36"/>
  <c r="X33" i="36" s="1"/>
  <c r="W232" i="36"/>
  <c r="X232" i="36" s="1"/>
  <c r="W266" i="36"/>
  <c r="X266" i="36" s="1"/>
  <c r="W135" i="36"/>
  <c r="X135" i="36" s="1"/>
  <c r="W244" i="36"/>
  <c r="X244" i="36" s="1"/>
  <c r="W105" i="36"/>
  <c r="X105" i="36" s="1"/>
  <c r="W205" i="36"/>
  <c r="X205" i="36" s="1"/>
  <c r="W173" i="36"/>
  <c r="X173" i="36" s="1"/>
  <c r="W139" i="36"/>
  <c r="X139" i="36" s="1"/>
  <c r="W228" i="36"/>
  <c r="X228" i="36" s="1"/>
  <c r="W304" i="36"/>
  <c r="X304" i="36" s="1"/>
  <c r="W87" i="36"/>
  <c r="X87" i="36" s="1"/>
  <c r="W8" i="36"/>
  <c r="X8" i="36" s="1"/>
  <c r="W42" i="36"/>
  <c r="X42" i="36" s="1"/>
  <c r="W134" i="36"/>
  <c r="X134" i="36" s="1"/>
  <c r="W275" i="36"/>
  <c r="X275" i="36" s="1"/>
  <c r="W115" i="36"/>
  <c r="X115" i="36" s="1"/>
  <c r="W39" i="36"/>
  <c r="X39" i="36" s="1"/>
  <c r="W200" i="36"/>
  <c r="X200" i="36" s="1"/>
  <c r="W260" i="36"/>
  <c r="X260" i="36" s="1"/>
  <c r="W270" i="36"/>
  <c r="X270" i="36" s="1"/>
  <c r="W66" i="36"/>
  <c r="X66" i="36" s="1"/>
  <c r="W224" i="36"/>
  <c r="X224" i="36" s="1"/>
  <c r="W53" i="36"/>
  <c r="X53" i="36" s="1"/>
  <c r="W257" i="36"/>
  <c r="X257" i="36" s="1"/>
  <c r="W252" i="36"/>
  <c r="X252" i="36" s="1"/>
  <c r="W117" i="36"/>
  <c r="X117" i="36" s="1"/>
  <c r="W73" i="36"/>
  <c r="X73" i="36" s="1"/>
  <c r="W77" i="36"/>
  <c r="X77" i="36" s="1"/>
  <c r="W189" i="36"/>
  <c r="X189" i="36" s="1"/>
  <c r="W84" i="36"/>
  <c r="X84" i="36" s="1"/>
  <c r="W78" i="36"/>
  <c r="X78" i="36" s="1"/>
  <c r="W251" i="36"/>
  <c r="X251" i="36" s="1"/>
  <c r="W76" i="36"/>
  <c r="X76" i="36" s="1"/>
  <c r="W9" i="36"/>
  <c r="X9" i="36" s="1"/>
  <c r="W96" i="36"/>
  <c r="X96" i="36" s="1"/>
  <c r="W314" i="36"/>
  <c r="X314" i="36" s="1"/>
  <c r="W185" i="36"/>
  <c r="X185" i="36" s="1"/>
  <c r="W79" i="36"/>
  <c r="X79" i="36" s="1"/>
  <c r="W225" i="36"/>
  <c r="X225" i="36" s="1"/>
  <c r="W126" i="36"/>
  <c r="X126" i="36" s="1"/>
  <c r="W245" i="36"/>
  <c r="X245" i="36" s="1"/>
  <c r="W149" i="36"/>
  <c r="X149" i="36" s="1"/>
  <c r="W4" i="36"/>
  <c r="W4" i="37" l="1"/>
  <c r="X4" i="37" s="1"/>
  <c r="F4" i="19" s="1"/>
  <c r="W319" i="37"/>
  <c r="X319" i="37" s="1"/>
  <c r="W320" i="37"/>
  <c r="X320" i="37" s="1"/>
  <c r="W319" i="38"/>
  <c r="X319" i="38" s="1"/>
  <c r="W320" i="38"/>
  <c r="X320" i="38" s="1"/>
  <c r="E231" i="19"/>
  <c r="Y320" i="36"/>
  <c r="Y319" i="36"/>
  <c r="E106" i="19"/>
  <c r="Y79" i="36"/>
  <c r="E79" i="19"/>
  <c r="Y295" i="36"/>
  <c r="E298" i="19"/>
  <c r="Y105" i="36"/>
  <c r="E105" i="19"/>
  <c r="Y116" i="36"/>
  <c r="E117" i="19"/>
  <c r="Y44" i="36"/>
  <c r="E44" i="19"/>
  <c r="Y182" i="36"/>
  <c r="E183" i="19"/>
  <c r="Y54" i="36"/>
  <c r="E54" i="19"/>
  <c r="Y70" i="36"/>
  <c r="E70" i="19"/>
  <c r="Y297" i="36"/>
  <c r="E300" i="19"/>
  <c r="Y16" i="36"/>
  <c r="E16" i="19"/>
  <c r="Y43" i="36"/>
  <c r="E43" i="19"/>
  <c r="Y87" i="36"/>
  <c r="E87" i="19"/>
  <c r="Y135" i="36"/>
  <c r="E136" i="19"/>
  <c r="Y113" i="36"/>
  <c r="E114" i="19"/>
  <c r="Y265" i="36"/>
  <c r="E268" i="19"/>
  <c r="Y101" i="36"/>
  <c r="E101" i="19"/>
  <c r="Y21" i="36"/>
  <c r="E21" i="19"/>
  <c r="Y28" i="36"/>
  <c r="E28" i="19"/>
  <c r="Y204" i="36"/>
  <c r="E206" i="19"/>
  <c r="Y181" i="36"/>
  <c r="E182" i="19"/>
  <c r="Y143" i="36"/>
  <c r="E144" i="19"/>
  <c r="Y91" i="36"/>
  <c r="E91" i="19"/>
  <c r="Y239" i="36"/>
  <c r="E242" i="19"/>
  <c r="Y29" i="36"/>
  <c r="E29" i="19"/>
  <c r="Y202" i="36"/>
  <c r="E204" i="19"/>
  <c r="Y165" i="36"/>
  <c r="E166" i="19"/>
  <c r="Y34" i="36"/>
  <c r="E34" i="19"/>
  <c r="Y125" i="36"/>
  <c r="E126" i="19"/>
  <c r="Y23" i="36"/>
  <c r="E23" i="19"/>
  <c r="Y250" i="36"/>
  <c r="E253" i="19"/>
  <c r="Y162" i="36"/>
  <c r="E163" i="19"/>
  <c r="Y236" i="36"/>
  <c r="E239" i="19"/>
  <c r="Y35" i="36"/>
  <c r="E35" i="19"/>
  <c r="Y132" i="36"/>
  <c r="E133" i="19"/>
  <c r="Y174" i="36"/>
  <c r="E175" i="19"/>
  <c r="Y208" i="36"/>
  <c r="E210" i="19"/>
  <c r="Y289" i="36"/>
  <c r="E292" i="19"/>
  <c r="Y238" i="36"/>
  <c r="E241" i="19"/>
  <c r="Y20" i="36"/>
  <c r="E20" i="19"/>
  <c r="Y201" i="36"/>
  <c r="E203" i="19"/>
  <c r="Y27" i="36"/>
  <c r="E27" i="19"/>
  <c r="Y267" i="36"/>
  <c r="E270" i="19"/>
  <c r="Y177" i="36"/>
  <c r="E178" i="19"/>
  <c r="Y81" i="36"/>
  <c r="E81" i="19"/>
  <c r="Y41" i="36"/>
  <c r="E41" i="19"/>
  <c r="Y22" i="36"/>
  <c r="E22" i="19"/>
  <c r="Y214" i="36"/>
  <c r="E216" i="19"/>
  <c r="Y149" i="36"/>
  <c r="E150" i="19"/>
  <c r="Y9" i="36"/>
  <c r="E9" i="19"/>
  <c r="Y117" i="36"/>
  <c r="E118" i="19"/>
  <c r="Y200" i="36"/>
  <c r="E202" i="19"/>
  <c r="Y304" i="36"/>
  <c r="E307" i="19"/>
  <c r="Y266" i="36"/>
  <c r="E269" i="19"/>
  <c r="Y311" i="36"/>
  <c r="E314" i="19"/>
  <c r="Y122" i="36"/>
  <c r="E123" i="19"/>
  <c r="Y279" i="36"/>
  <c r="E282" i="19"/>
  <c r="Y255" i="36"/>
  <c r="E258" i="19"/>
  <c r="Y281" i="36"/>
  <c r="E284" i="19"/>
  <c r="Y187" i="36"/>
  <c r="E188" i="19"/>
  <c r="Y5" i="36"/>
  <c r="E5" i="19"/>
  <c r="Y118" i="36"/>
  <c r="E119" i="19"/>
  <c r="Y197" i="36"/>
  <c r="E199" i="19"/>
  <c r="Y74" i="36"/>
  <c r="E74" i="19"/>
  <c r="Y273" i="36"/>
  <c r="E276" i="19"/>
  <c r="Y114" i="36"/>
  <c r="E115" i="19"/>
  <c r="Y312" i="36"/>
  <c r="E315" i="19"/>
  <c r="Y164" i="36"/>
  <c r="E165" i="19"/>
  <c r="Y163" i="36"/>
  <c r="E164" i="19"/>
  <c r="Y80" i="36"/>
  <c r="E80" i="19"/>
  <c r="Y131" i="36"/>
  <c r="E132" i="19"/>
  <c r="Y6" i="36"/>
  <c r="E6" i="19"/>
  <c r="Y288" i="36"/>
  <c r="E291" i="19"/>
  <c r="Y283" i="36"/>
  <c r="E286" i="19"/>
  <c r="Y72" i="36"/>
  <c r="E72" i="19"/>
  <c r="Y180" i="36"/>
  <c r="E181" i="19"/>
  <c r="Y133" i="36"/>
  <c r="E134" i="19"/>
  <c r="Y280" i="36"/>
  <c r="E283" i="19"/>
  <c r="Y153" i="36"/>
  <c r="E154" i="19"/>
  <c r="Y151" i="36"/>
  <c r="E152" i="19"/>
  <c r="Y102" i="36"/>
  <c r="E102" i="19"/>
  <c r="Y217" i="36"/>
  <c r="E219" i="19"/>
  <c r="Y218" i="36"/>
  <c r="E220" i="19"/>
  <c r="Y211" i="36"/>
  <c r="E213" i="19"/>
  <c r="Y254" i="36"/>
  <c r="E257" i="19"/>
  <c r="Y109" i="36"/>
  <c r="E110" i="19"/>
  <c r="Y216" i="36"/>
  <c r="E218" i="19"/>
  <c r="Y110" i="36"/>
  <c r="E111" i="19"/>
  <c r="Y224" i="36"/>
  <c r="E226" i="19"/>
  <c r="Y185" i="36"/>
  <c r="E186" i="19"/>
  <c r="Y301" i="36"/>
  <c r="E304" i="19"/>
  <c r="Y14" i="36"/>
  <c r="E14" i="19"/>
  <c r="Y176" i="36"/>
  <c r="E177" i="19"/>
  <c r="Y302" i="36"/>
  <c r="E305" i="19"/>
  <c r="Y292" i="36"/>
  <c r="E295" i="19"/>
  <c r="Y92" i="36"/>
  <c r="E92" i="19"/>
  <c r="Y19" i="36"/>
  <c r="E19" i="19"/>
  <c r="Y96" i="36"/>
  <c r="E96" i="19"/>
  <c r="Y252" i="36"/>
  <c r="E255" i="19"/>
  <c r="Y274" i="36"/>
  <c r="E277" i="19"/>
  <c r="Y144" i="36"/>
  <c r="E145" i="19"/>
  <c r="Y68" i="36"/>
  <c r="E68" i="19"/>
  <c r="Y193" i="36"/>
  <c r="E194" i="19"/>
  <c r="Y124" i="36"/>
  <c r="E125" i="19"/>
  <c r="Y156" i="36"/>
  <c r="E157" i="19"/>
  <c r="Y127" i="36"/>
  <c r="E128" i="19"/>
  <c r="Y191" i="36"/>
  <c r="E192" i="19"/>
  <c r="Y104" i="36"/>
  <c r="E104" i="19"/>
  <c r="Y160" i="36"/>
  <c r="E161" i="19"/>
  <c r="Y186" i="36"/>
  <c r="E187" i="19"/>
  <c r="Y242" i="36"/>
  <c r="E245" i="19"/>
  <c r="Y24" i="36"/>
  <c r="E24" i="19"/>
  <c r="Y85" i="36"/>
  <c r="E85" i="19"/>
  <c r="Y138" i="36"/>
  <c r="E139" i="19"/>
  <c r="Y47" i="36"/>
  <c r="E47" i="19"/>
  <c r="Y65" i="36"/>
  <c r="E65" i="19"/>
  <c r="Y12" i="36"/>
  <c r="E12" i="19"/>
  <c r="Y166" i="36"/>
  <c r="E167" i="19"/>
  <c r="Y140" i="36"/>
  <c r="E141" i="19"/>
  <c r="Y119" i="36"/>
  <c r="E120" i="19"/>
  <c r="Y142" i="36"/>
  <c r="E143" i="19"/>
  <c r="Y196" i="36"/>
  <c r="E198" i="19"/>
  <c r="Y136" i="36"/>
  <c r="E137" i="19"/>
  <c r="Y103" i="36"/>
  <c r="E103" i="19"/>
  <c r="Y112" i="36"/>
  <c r="E113" i="19"/>
  <c r="Y90" i="36"/>
  <c r="E90" i="19"/>
  <c r="Y121" i="36"/>
  <c r="E122" i="19"/>
  <c r="Y147" i="36"/>
  <c r="E148" i="19"/>
  <c r="Y50" i="36"/>
  <c r="E50" i="19"/>
  <c r="Y248" i="36"/>
  <c r="E251" i="19"/>
  <c r="Y206" i="36"/>
  <c r="E208" i="19"/>
  <c r="Y161" i="36"/>
  <c r="E162" i="19"/>
  <c r="Y205" i="36"/>
  <c r="E207" i="19"/>
  <c r="Y42" i="36"/>
  <c r="E42" i="19"/>
  <c r="Y56" i="36"/>
  <c r="E56" i="19"/>
  <c r="Y293" i="36"/>
  <c r="E296" i="19"/>
  <c r="Y195" i="36"/>
  <c r="E197" i="19"/>
  <c r="Y154" i="36"/>
  <c r="E155" i="19"/>
  <c r="Y215" i="36"/>
  <c r="E217" i="19"/>
  <c r="Y52" i="36"/>
  <c r="E52" i="19"/>
  <c r="Y73" i="36"/>
  <c r="E73" i="19"/>
  <c r="Y245" i="36"/>
  <c r="E248" i="19"/>
  <c r="Y39" i="36"/>
  <c r="E39" i="19"/>
  <c r="Y232" i="36"/>
  <c r="E235" i="19"/>
  <c r="Y126" i="36"/>
  <c r="E127" i="19"/>
  <c r="Y257" i="36"/>
  <c r="E260" i="19"/>
  <c r="Y139" i="36"/>
  <c r="E140" i="19"/>
  <c r="Y58" i="36"/>
  <c r="E58" i="19"/>
  <c r="Y212" i="36"/>
  <c r="E214" i="19"/>
  <c r="Y69" i="36"/>
  <c r="E69" i="19"/>
  <c r="Y317" i="36"/>
  <c r="E320" i="19"/>
  <c r="Y150" i="36"/>
  <c r="E151" i="19"/>
  <c r="Y17" i="36"/>
  <c r="E17" i="19"/>
  <c r="Y296" i="36"/>
  <c r="E299" i="19"/>
  <c r="Y306" i="36"/>
  <c r="E309" i="19"/>
  <c r="Y222" i="36"/>
  <c r="E224" i="19"/>
  <c r="Y32" i="36"/>
  <c r="E32" i="19"/>
  <c r="Y62" i="36"/>
  <c r="E62" i="19"/>
  <c r="Y60" i="36"/>
  <c r="E60" i="19"/>
  <c r="Y287" i="36"/>
  <c r="E290" i="19"/>
  <c r="Y298" i="36"/>
  <c r="E301" i="19"/>
  <c r="Y263" i="36"/>
  <c r="E266" i="19"/>
  <c r="Y277" i="36"/>
  <c r="E280" i="19"/>
  <c r="Y264" i="36"/>
  <c r="E267" i="19"/>
  <c r="Y305" i="36"/>
  <c r="E308" i="19"/>
  <c r="Y247" i="36"/>
  <c r="E250" i="19"/>
  <c r="Y183" i="36"/>
  <c r="E184" i="19"/>
  <c r="Y38" i="36"/>
  <c r="E38" i="19"/>
  <c r="Y308" i="36"/>
  <c r="E311" i="19"/>
  <c r="Y300" i="36"/>
  <c r="E303" i="19"/>
  <c r="Y213" i="36"/>
  <c r="E215" i="19"/>
  <c r="Y259" i="36"/>
  <c r="E262" i="19"/>
  <c r="Y313" i="36"/>
  <c r="E316" i="19"/>
  <c r="Y233" i="36"/>
  <c r="E236" i="19"/>
  <c r="Y75" i="36"/>
  <c r="E75" i="19"/>
  <c r="Y309" i="36"/>
  <c r="E312" i="19"/>
  <c r="Y134" i="36"/>
  <c r="E135" i="19"/>
  <c r="Y189" i="36"/>
  <c r="E190" i="19"/>
  <c r="Y155" i="36"/>
  <c r="E156" i="19"/>
  <c r="Y130" i="36"/>
  <c r="E131" i="19"/>
  <c r="Y268" i="36"/>
  <c r="E271" i="19"/>
  <c r="Y30" i="36"/>
  <c r="E30" i="19"/>
  <c r="Y67" i="36"/>
  <c r="E67" i="19"/>
  <c r="Y55" i="36"/>
  <c r="E55" i="19"/>
  <c r="Y314" i="36"/>
  <c r="E317" i="19"/>
  <c r="Y260" i="36"/>
  <c r="E263" i="19"/>
  <c r="Y76" i="36"/>
  <c r="E76" i="19"/>
  <c r="Y228" i="36"/>
  <c r="E230" i="19"/>
  <c r="Y158" i="36"/>
  <c r="E159" i="19"/>
  <c r="Y251" i="36"/>
  <c r="E254" i="19"/>
  <c r="Y115" i="36"/>
  <c r="E116" i="19"/>
  <c r="Y33" i="36"/>
  <c r="E33" i="19"/>
  <c r="Y175" i="36"/>
  <c r="E176" i="19"/>
  <c r="Y209" i="36"/>
  <c r="E211" i="19"/>
  <c r="Y278" i="36"/>
  <c r="E281" i="19"/>
  <c r="Y48" i="36"/>
  <c r="E48" i="19"/>
  <c r="Y307" i="36"/>
  <c r="E310" i="19"/>
  <c r="Y225" i="36"/>
  <c r="E227" i="19"/>
  <c r="Y78" i="36"/>
  <c r="E78" i="19"/>
  <c r="Y53" i="36"/>
  <c r="E53" i="19"/>
  <c r="Y275" i="36"/>
  <c r="E278" i="19"/>
  <c r="Y173" i="36"/>
  <c r="E174" i="19"/>
  <c r="Y284" i="36"/>
  <c r="E287" i="19"/>
  <c r="Y220" i="36"/>
  <c r="E222" i="19"/>
  <c r="Y93" i="36"/>
  <c r="E93" i="19"/>
  <c r="Y106" i="36"/>
  <c r="E107" i="19"/>
  <c r="Y230" i="36"/>
  <c r="E233" i="19"/>
  <c r="Y299" i="36"/>
  <c r="E302" i="19"/>
  <c r="Y271" i="36"/>
  <c r="E274" i="19"/>
  <c r="Y194" i="36"/>
  <c r="E196" i="19"/>
  <c r="Y285" i="36"/>
  <c r="E288" i="19"/>
  <c r="Y310" i="36"/>
  <c r="E313" i="19"/>
  <c r="Y146" i="36"/>
  <c r="E147" i="19"/>
  <c r="Y171" i="36"/>
  <c r="E172" i="19"/>
  <c r="Y178" i="36"/>
  <c r="E179" i="19"/>
  <c r="Y282" i="36"/>
  <c r="E285" i="19"/>
  <c r="Y199" i="36"/>
  <c r="E201" i="19"/>
  <c r="Y241" i="36"/>
  <c r="E244" i="19"/>
  <c r="Y249" i="36"/>
  <c r="E252" i="19"/>
  <c r="Y64" i="36"/>
  <c r="E64" i="19"/>
  <c r="Y88" i="36"/>
  <c r="E88" i="19"/>
  <c r="Y89" i="36"/>
  <c r="E89" i="19"/>
  <c r="Y231" i="36"/>
  <c r="E234" i="19"/>
  <c r="Y99" i="36"/>
  <c r="E99" i="19"/>
  <c r="Y203" i="36"/>
  <c r="E205" i="19"/>
  <c r="Y219" i="36"/>
  <c r="E221" i="19"/>
  <c r="Y234" i="36"/>
  <c r="E237" i="19"/>
  <c r="Y100" i="36"/>
  <c r="E100" i="19"/>
  <c r="Y120" i="36"/>
  <c r="E121" i="19"/>
  <c r="Y261" i="36"/>
  <c r="E264" i="19"/>
  <c r="Y291" i="36"/>
  <c r="E294" i="19"/>
  <c r="Y207" i="36"/>
  <c r="E209" i="19"/>
  <c r="Y227" i="36"/>
  <c r="E229" i="19"/>
  <c r="Y59" i="36"/>
  <c r="E59" i="19"/>
  <c r="Y31" i="36"/>
  <c r="E31" i="19"/>
  <c r="Y159" i="36"/>
  <c r="E160" i="19"/>
  <c r="Y18" i="36"/>
  <c r="E18" i="19"/>
  <c r="Y84" i="36"/>
  <c r="E84" i="19"/>
  <c r="Y11" i="36"/>
  <c r="E11" i="19"/>
  <c r="Y240" i="36"/>
  <c r="E243" i="19"/>
  <c r="Y256" i="36"/>
  <c r="E259" i="19"/>
  <c r="Y246" i="36"/>
  <c r="E249" i="19"/>
  <c r="Y51" i="36"/>
  <c r="E51" i="19"/>
  <c r="Y253" i="36"/>
  <c r="E256" i="19"/>
  <c r="Y262" i="36"/>
  <c r="E265" i="19"/>
  <c r="Y198" i="36"/>
  <c r="E200" i="19"/>
  <c r="Y15" i="36"/>
  <c r="E15" i="19"/>
  <c r="Y7" i="36"/>
  <c r="E7" i="19"/>
  <c r="Y316" i="36"/>
  <c r="E319" i="19"/>
  <c r="Y63" i="36"/>
  <c r="E63" i="19"/>
  <c r="Y223" i="36"/>
  <c r="E225" i="19"/>
  <c r="Y226" i="36"/>
  <c r="E228" i="19"/>
  <c r="Y36" i="36"/>
  <c r="E36" i="19"/>
  <c r="Y243" i="36"/>
  <c r="E246" i="19"/>
  <c r="Y318" i="36"/>
  <c r="E195" i="19"/>
  <c r="Y37" i="36"/>
  <c r="E37" i="19"/>
  <c r="Y221" i="36"/>
  <c r="E223" i="19"/>
  <c r="Y129" i="36"/>
  <c r="E130" i="19"/>
  <c r="Y71" i="36"/>
  <c r="E71" i="19"/>
  <c r="Y10" i="36"/>
  <c r="E10" i="19"/>
  <c r="Y83" i="36"/>
  <c r="E83" i="19"/>
  <c r="Y157" i="36"/>
  <c r="E158" i="19"/>
  <c r="Y184" i="36"/>
  <c r="E185" i="19"/>
  <c r="Y315" i="36"/>
  <c r="E318" i="19"/>
  <c r="Y98" i="36"/>
  <c r="E98" i="19"/>
  <c r="Y123" i="36"/>
  <c r="E124" i="19"/>
  <c r="Y86" i="36"/>
  <c r="E86" i="19"/>
  <c r="Y40" i="36"/>
  <c r="E40" i="19"/>
  <c r="Y188" i="36"/>
  <c r="E189" i="19"/>
  <c r="Y46" i="36"/>
  <c r="E46" i="19"/>
  <c r="Y303" i="36"/>
  <c r="E306" i="19"/>
  <c r="Y66" i="36"/>
  <c r="E66" i="19"/>
  <c r="Y168" i="36"/>
  <c r="E169" i="19"/>
  <c r="Y172" i="36"/>
  <c r="E173" i="19"/>
  <c r="Y170" i="36"/>
  <c r="E171" i="19"/>
  <c r="Y276" i="36"/>
  <c r="E279" i="19"/>
  <c r="Y108" i="36"/>
  <c r="E109" i="19"/>
  <c r="Y45" i="36"/>
  <c r="E45" i="19"/>
  <c r="Y77" i="36"/>
  <c r="E77" i="19"/>
  <c r="Y270" i="36"/>
  <c r="E273" i="19"/>
  <c r="Y8" i="36"/>
  <c r="E8" i="19"/>
  <c r="Y244" i="36"/>
  <c r="E247" i="19"/>
  <c r="Y57" i="36"/>
  <c r="E57" i="19"/>
  <c r="Y97" i="36"/>
  <c r="E97" i="19"/>
  <c r="Y272" i="36"/>
  <c r="E275" i="19"/>
  <c r="Y13" i="36"/>
  <c r="E13" i="19"/>
  <c r="Y95" i="36"/>
  <c r="E95" i="19"/>
  <c r="Y169" i="36"/>
  <c r="E170" i="19"/>
  <c r="Y145" i="36"/>
  <c r="E146" i="19"/>
  <c r="Y286" i="36"/>
  <c r="E289" i="19"/>
  <c r="Y258" i="36"/>
  <c r="E261" i="19"/>
  <c r="Y294" i="36"/>
  <c r="E297" i="19"/>
  <c r="Y237" i="36"/>
  <c r="E240" i="19"/>
  <c r="Y26" i="36"/>
  <c r="E26" i="19"/>
  <c r="Y192" i="36"/>
  <c r="E193" i="19"/>
  <c r="Y137" i="36"/>
  <c r="E138" i="19"/>
  <c r="Y94" i="36"/>
  <c r="E94" i="19"/>
  <c r="Y229" i="36"/>
  <c r="E232" i="19"/>
  <c r="Y190" i="36"/>
  <c r="E191" i="19"/>
  <c r="Y107" i="36"/>
  <c r="E108" i="19"/>
  <c r="Y128" i="36"/>
  <c r="E129" i="19"/>
  <c r="Y82" i="36"/>
  <c r="E82" i="19"/>
  <c r="Y141" i="36"/>
  <c r="E142" i="19"/>
  <c r="Y269" i="36"/>
  <c r="E272" i="19"/>
  <c r="Y179" i="36"/>
  <c r="E180" i="19"/>
  <c r="Y167" i="36"/>
  <c r="E168" i="19"/>
  <c r="Y235" i="36"/>
  <c r="E238" i="19"/>
  <c r="Y61" i="36"/>
  <c r="E61" i="19"/>
  <c r="Y152" i="36"/>
  <c r="E153" i="19"/>
  <c r="Y25" i="36"/>
  <c r="E25" i="19"/>
  <c r="Y148" i="36"/>
  <c r="E149" i="19"/>
  <c r="Y49" i="36"/>
  <c r="E49" i="19"/>
  <c r="Y111" i="36"/>
  <c r="E112" i="19"/>
  <c r="Y290" i="36"/>
  <c r="E293" i="19"/>
  <c r="Y210" i="36"/>
  <c r="E212" i="19"/>
  <c r="V3" i="39" a="1"/>
  <c r="V3" i="39" s="1"/>
  <c r="W271" i="38"/>
  <c r="X271" i="38" s="1"/>
  <c r="G274" i="19" s="1"/>
  <c r="W280" i="38"/>
  <c r="X280" i="38" s="1"/>
  <c r="G283" i="19" s="1"/>
  <c r="W201" i="38"/>
  <c r="X201" i="38" s="1"/>
  <c r="G203" i="19" s="1"/>
  <c r="W115" i="38"/>
  <c r="X115" i="38" s="1"/>
  <c r="G116" i="19" s="1"/>
  <c r="W260" i="38"/>
  <c r="X260" i="38" s="1"/>
  <c r="G263" i="19" s="1"/>
  <c r="W161" i="38"/>
  <c r="X161" i="38" s="1"/>
  <c r="G162" i="19" s="1"/>
  <c r="W242" i="38"/>
  <c r="X242" i="38" s="1"/>
  <c r="G245" i="19" s="1"/>
  <c r="W186" i="38"/>
  <c r="X186" i="38" s="1"/>
  <c r="G187" i="19" s="1"/>
  <c r="W26" i="38"/>
  <c r="X26" i="38" s="1"/>
  <c r="G26" i="19" s="1"/>
  <c r="W174" i="38"/>
  <c r="X174" i="38" s="1"/>
  <c r="G175" i="19" s="1"/>
  <c r="W158" i="38"/>
  <c r="X158" i="38" s="1"/>
  <c r="G159" i="19" s="1"/>
  <c r="W20" i="38"/>
  <c r="X20" i="38" s="1"/>
  <c r="G20" i="19" s="1"/>
  <c r="W102" i="38"/>
  <c r="X102" i="38" s="1"/>
  <c r="G102" i="19" s="1"/>
  <c r="W258" i="38"/>
  <c r="X258" i="38" s="1"/>
  <c r="G261" i="19" s="1"/>
  <c r="W182" i="38"/>
  <c r="X182" i="38" s="1"/>
  <c r="G183" i="19" s="1"/>
  <c r="W185" i="38"/>
  <c r="X185" i="38" s="1"/>
  <c r="G186" i="19" s="1"/>
  <c r="W96" i="38"/>
  <c r="X96" i="38" s="1"/>
  <c r="G96" i="19" s="1"/>
  <c r="W154" i="38"/>
  <c r="X154" i="38" s="1"/>
  <c r="G155" i="19" s="1"/>
  <c r="W274" i="38"/>
  <c r="X274" i="38" s="1"/>
  <c r="G277" i="19" s="1"/>
  <c r="W19" i="38"/>
  <c r="X19" i="38" s="1"/>
  <c r="G19" i="19" s="1"/>
  <c r="W263" i="38"/>
  <c r="X263" i="38" s="1"/>
  <c r="G266" i="19" s="1"/>
  <c r="W141" i="38"/>
  <c r="X141" i="38" s="1"/>
  <c r="G142" i="19" s="1"/>
  <c r="W157" i="38"/>
  <c r="X157" i="38" s="1"/>
  <c r="G158" i="19" s="1"/>
  <c r="W302" i="38"/>
  <c r="X302" i="38" s="1"/>
  <c r="G305" i="19" s="1"/>
  <c r="W220" i="38"/>
  <c r="X220" i="38" s="1"/>
  <c r="G222" i="19" s="1"/>
  <c r="W71" i="38"/>
  <c r="X71" i="38" s="1"/>
  <c r="G71" i="19" s="1"/>
  <c r="W218" i="38"/>
  <c r="X218" i="38" s="1"/>
  <c r="G220" i="19" s="1"/>
  <c r="W297" i="38"/>
  <c r="X297" i="38" s="1"/>
  <c r="G300" i="19" s="1"/>
  <c r="W240" i="38"/>
  <c r="X240" i="38" s="1"/>
  <c r="G243" i="19" s="1"/>
  <c r="W47" i="38"/>
  <c r="X47" i="38" s="1"/>
  <c r="G47" i="19" s="1"/>
  <c r="W58" i="38"/>
  <c r="X58" i="38" s="1"/>
  <c r="G58" i="19" s="1"/>
  <c r="W100" i="38"/>
  <c r="X100" i="38" s="1"/>
  <c r="G100" i="19" s="1"/>
  <c r="W94" i="38"/>
  <c r="X94" i="38" s="1"/>
  <c r="G94" i="19" s="1"/>
  <c r="W104" i="38"/>
  <c r="X104" i="38" s="1"/>
  <c r="G104" i="19" s="1"/>
  <c r="W200" i="38"/>
  <c r="X200" i="38" s="1"/>
  <c r="G202" i="19" s="1"/>
  <c r="W54" i="38"/>
  <c r="X54" i="38" s="1"/>
  <c r="G54" i="19" s="1"/>
  <c r="W142" i="38"/>
  <c r="X142" i="38" s="1"/>
  <c r="G143" i="19" s="1"/>
  <c r="W50" i="38"/>
  <c r="X50" i="38" s="1"/>
  <c r="G50" i="19" s="1"/>
  <c r="W164" i="38"/>
  <c r="X164" i="38" s="1"/>
  <c r="G165" i="19" s="1"/>
  <c r="W183" i="38"/>
  <c r="X183" i="38" s="1"/>
  <c r="G184" i="19" s="1"/>
  <c r="W95" i="38"/>
  <c r="X95" i="38" s="1"/>
  <c r="G95" i="19" s="1"/>
  <c r="W145" i="38"/>
  <c r="X145" i="38" s="1"/>
  <c r="G146" i="19" s="1"/>
  <c r="W97" i="38"/>
  <c r="X97" i="38" s="1"/>
  <c r="G97" i="19" s="1"/>
  <c r="W187" i="38"/>
  <c r="X187" i="38" s="1"/>
  <c r="G188" i="19" s="1"/>
  <c r="W56" i="38"/>
  <c r="X56" i="38" s="1"/>
  <c r="G56" i="19" s="1"/>
  <c r="W144" i="38"/>
  <c r="X144" i="38" s="1"/>
  <c r="G145" i="19" s="1"/>
  <c r="W93" i="38"/>
  <c r="X93" i="38" s="1"/>
  <c r="G93" i="19" s="1"/>
  <c r="W204" i="38"/>
  <c r="X204" i="38" s="1"/>
  <c r="G206" i="19" s="1"/>
  <c r="W253" i="38"/>
  <c r="X253" i="38" s="1"/>
  <c r="G256" i="19" s="1"/>
  <c r="W245" i="38"/>
  <c r="X245" i="38" s="1"/>
  <c r="G248" i="19" s="1"/>
  <c r="W309" i="38"/>
  <c r="X309" i="38" s="1"/>
  <c r="G312" i="19" s="1"/>
  <c r="W189" i="38"/>
  <c r="X189" i="38" s="1"/>
  <c r="G190" i="19" s="1"/>
  <c r="W291" i="38"/>
  <c r="X291" i="38" s="1"/>
  <c r="G294" i="19" s="1"/>
  <c r="W55" i="38"/>
  <c r="X55" i="38" s="1"/>
  <c r="G55" i="19" s="1"/>
  <c r="W32" i="38"/>
  <c r="X32" i="38" s="1"/>
  <c r="G32" i="19" s="1"/>
  <c r="W249" i="38"/>
  <c r="X249" i="38" s="1"/>
  <c r="G252" i="19" s="1"/>
  <c r="W35" i="38"/>
  <c r="X35" i="38" s="1"/>
  <c r="G35" i="19" s="1"/>
  <c r="W166" i="38"/>
  <c r="X166" i="38" s="1"/>
  <c r="G167" i="19" s="1"/>
  <c r="W91" i="38"/>
  <c r="X91" i="38" s="1"/>
  <c r="G91" i="19" s="1"/>
  <c r="W277" i="38"/>
  <c r="X277" i="38" s="1"/>
  <c r="G280" i="19" s="1"/>
  <c r="W159" i="38"/>
  <c r="X159" i="38" s="1"/>
  <c r="G160" i="19" s="1"/>
  <c r="W7" i="38"/>
  <c r="X7" i="38" s="1"/>
  <c r="G7" i="19" s="1"/>
  <c r="W110" i="38"/>
  <c r="X110" i="38" s="1"/>
  <c r="G111" i="19" s="1"/>
  <c r="W18" i="38"/>
  <c r="X18" i="38" s="1"/>
  <c r="G18" i="19" s="1"/>
  <c r="W98" i="38"/>
  <c r="X98" i="38" s="1"/>
  <c r="G98" i="19" s="1"/>
  <c r="W5" i="38"/>
  <c r="X5" i="38" s="1"/>
  <c r="G5" i="19" s="1"/>
  <c r="W62" i="38"/>
  <c r="X62" i="38" s="1"/>
  <c r="G62" i="19" s="1"/>
  <c r="W11" i="38"/>
  <c r="X11" i="38" s="1"/>
  <c r="G11" i="19" s="1"/>
  <c r="W212" i="38"/>
  <c r="X212" i="38" s="1"/>
  <c r="G214" i="19" s="1"/>
  <c r="W315" i="38"/>
  <c r="X315" i="38" s="1"/>
  <c r="G318" i="19" s="1"/>
  <c r="W130" i="38"/>
  <c r="X130" i="38" s="1"/>
  <c r="G131" i="19" s="1"/>
  <c r="W191" i="38"/>
  <c r="X191" i="38" s="1"/>
  <c r="G192" i="19" s="1"/>
  <c r="W127" i="38"/>
  <c r="X127" i="38" s="1"/>
  <c r="G128" i="19" s="1"/>
  <c r="W287" i="38"/>
  <c r="X287" i="38" s="1"/>
  <c r="G290" i="19" s="1"/>
  <c r="W67" i="38"/>
  <c r="X67" i="38" s="1"/>
  <c r="G67" i="19" s="1"/>
  <c r="W254" i="38"/>
  <c r="X254" i="38" s="1"/>
  <c r="G257" i="19" s="1"/>
  <c r="W46" i="38"/>
  <c r="X46" i="38" s="1"/>
  <c r="G46" i="19" s="1"/>
  <c r="W184" i="38"/>
  <c r="X184" i="38" s="1"/>
  <c r="G185" i="19" s="1"/>
  <c r="W133" i="38"/>
  <c r="X133" i="38" s="1"/>
  <c r="G134" i="19" s="1"/>
  <c r="W179" i="38"/>
  <c r="X179" i="38" s="1"/>
  <c r="G180" i="19" s="1"/>
  <c r="W51" i="38"/>
  <c r="X51" i="38" s="1"/>
  <c r="G51" i="19" s="1"/>
  <c r="W131" i="38"/>
  <c r="X131" i="38" s="1"/>
  <c r="G132" i="19" s="1"/>
  <c r="W52" i="38"/>
  <c r="X52" i="38" s="1"/>
  <c r="G52" i="19" s="1"/>
  <c r="W167" i="38"/>
  <c r="X167" i="38" s="1"/>
  <c r="G168" i="19" s="1"/>
  <c r="W228" i="38"/>
  <c r="X228" i="38" s="1"/>
  <c r="G230" i="19" s="1"/>
  <c r="W153" i="38"/>
  <c r="X153" i="38" s="1"/>
  <c r="G154" i="19" s="1"/>
  <c r="W48" i="38"/>
  <c r="X48" i="38" s="1"/>
  <c r="G48" i="19" s="1"/>
  <c r="W151" i="38"/>
  <c r="X151" i="38" s="1"/>
  <c r="G152" i="19" s="1"/>
  <c r="W34" i="38"/>
  <c r="X34" i="38" s="1"/>
  <c r="G34" i="19" s="1"/>
  <c r="W207" i="38"/>
  <c r="X207" i="38" s="1"/>
  <c r="G209" i="19" s="1"/>
  <c r="W45" i="38"/>
  <c r="X45" i="38" s="1"/>
  <c r="G45" i="19" s="1"/>
  <c r="W256" i="38"/>
  <c r="X256" i="38" s="1"/>
  <c r="G259" i="19" s="1"/>
  <c r="W70" i="38"/>
  <c r="X70" i="38" s="1"/>
  <c r="G70" i="19" s="1"/>
  <c r="W272" i="38"/>
  <c r="X272" i="38" s="1"/>
  <c r="G275" i="19" s="1"/>
  <c r="W299" i="38"/>
  <c r="X299" i="38" s="1"/>
  <c r="G302" i="19" s="1"/>
  <c r="W193" i="38"/>
  <c r="X193" i="38" s="1"/>
  <c r="G194" i="19" s="1"/>
  <c r="W172" i="38"/>
  <c r="X172" i="38" s="1"/>
  <c r="G173" i="19" s="1"/>
  <c r="W135" i="38"/>
  <c r="X135" i="38" s="1"/>
  <c r="G136" i="19" s="1"/>
  <c r="W270" i="38"/>
  <c r="X270" i="38" s="1"/>
  <c r="G273" i="19" s="1"/>
  <c r="W255" i="38"/>
  <c r="X255" i="38" s="1"/>
  <c r="G258" i="19" s="1"/>
  <c r="W223" i="38"/>
  <c r="X223" i="38" s="1"/>
  <c r="G225" i="19" s="1"/>
  <c r="W252" i="38"/>
  <c r="X252" i="38" s="1"/>
  <c r="G255" i="19" s="1"/>
  <c r="W306" i="38"/>
  <c r="X306" i="38" s="1"/>
  <c r="G309" i="19" s="1"/>
  <c r="W22" i="38"/>
  <c r="X22" i="38" s="1"/>
  <c r="G22" i="19" s="1"/>
  <c r="W225" i="38"/>
  <c r="X225" i="38" s="1"/>
  <c r="G227" i="19" s="1"/>
  <c r="W231" i="38"/>
  <c r="X231" i="38" s="1"/>
  <c r="G234" i="19" s="1"/>
  <c r="W163" i="38"/>
  <c r="X163" i="38" s="1"/>
  <c r="G164" i="19" s="1"/>
  <c r="W162" i="38"/>
  <c r="X162" i="38" s="1"/>
  <c r="G163" i="19" s="1"/>
  <c r="W143" i="38"/>
  <c r="X143" i="38" s="1"/>
  <c r="G144" i="19" s="1"/>
  <c r="W243" i="38"/>
  <c r="X243" i="38" s="1"/>
  <c r="G246" i="19" s="1"/>
  <c r="W262" i="38"/>
  <c r="X262" i="38" s="1"/>
  <c r="G265" i="19" s="1"/>
  <c r="W281" i="38"/>
  <c r="X281" i="38" s="1"/>
  <c r="G284" i="19" s="1"/>
  <c r="W317" i="38"/>
  <c r="X317" i="38" s="1"/>
  <c r="G320" i="19" s="1"/>
  <c r="W76" i="38"/>
  <c r="X76" i="38" s="1"/>
  <c r="G76" i="19" s="1"/>
  <c r="W257" i="38"/>
  <c r="X257" i="38" s="1"/>
  <c r="G260" i="19" s="1"/>
  <c r="W286" i="38"/>
  <c r="X286" i="38" s="1"/>
  <c r="G289" i="19" s="1"/>
  <c r="W122" i="38"/>
  <c r="X122" i="38" s="1"/>
  <c r="G123" i="19" s="1"/>
  <c r="W283" i="38"/>
  <c r="X283" i="38" s="1"/>
  <c r="G286" i="19" s="1"/>
  <c r="W66" i="38"/>
  <c r="X66" i="38" s="1"/>
  <c r="G66" i="19" s="1"/>
  <c r="W83" i="38"/>
  <c r="X83" i="38" s="1"/>
  <c r="G83" i="19" s="1"/>
  <c r="W227" i="38"/>
  <c r="X227" i="38" s="1"/>
  <c r="G229" i="19" s="1"/>
  <c r="W36" i="38"/>
  <c r="X36" i="38" s="1"/>
  <c r="G36" i="19" s="1"/>
  <c r="W301" i="38"/>
  <c r="X301" i="38" s="1"/>
  <c r="G304" i="19" s="1"/>
  <c r="W31" i="38"/>
  <c r="X31" i="38" s="1"/>
  <c r="G31" i="19" s="1"/>
  <c r="W121" i="38"/>
  <c r="X121" i="38" s="1"/>
  <c r="G122" i="19" s="1"/>
  <c r="W57" i="38"/>
  <c r="X57" i="38" s="1"/>
  <c r="G57" i="19" s="1"/>
  <c r="W251" i="38"/>
  <c r="X251" i="38" s="1"/>
  <c r="G254" i="19" s="1"/>
  <c r="W84" i="38"/>
  <c r="X84" i="38" s="1"/>
  <c r="G84" i="19" s="1"/>
  <c r="W101" i="38"/>
  <c r="X101" i="38" s="1"/>
  <c r="G101" i="19" s="1"/>
  <c r="W44" i="38"/>
  <c r="X44" i="38" s="1"/>
  <c r="G44" i="19" s="1"/>
  <c r="W175" i="38"/>
  <c r="X175" i="38" s="1"/>
  <c r="G176" i="19" s="1"/>
  <c r="W99" i="38"/>
  <c r="X99" i="38" s="1"/>
  <c r="G99" i="19" s="1"/>
  <c r="W313" i="38"/>
  <c r="X313" i="38" s="1"/>
  <c r="G316" i="19" s="1"/>
  <c r="W194" i="38"/>
  <c r="X194" i="38" s="1"/>
  <c r="G196" i="19" s="1"/>
  <c r="W148" i="38"/>
  <c r="X148" i="38" s="1"/>
  <c r="G149" i="19" s="1"/>
  <c r="W25" i="38"/>
  <c r="X25" i="38" s="1"/>
  <c r="G25" i="19" s="1"/>
  <c r="W276" i="38"/>
  <c r="X276" i="38" s="1"/>
  <c r="G279" i="19" s="1"/>
  <c r="W192" i="38"/>
  <c r="X192" i="38" s="1"/>
  <c r="G193" i="19" s="1"/>
  <c r="W33" i="38"/>
  <c r="X33" i="38" s="1"/>
  <c r="G33" i="19" s="1"/>
  <c r="W312" i="38"/>
  <c r="X312" i="38" s="1"/>
  <c r="G315" i="19" s="1"/>
  <c r="W248" i="38"/>
  <c r="X248" i="38" s="1"/>
  <c r="G251" i="19" s="1"/>
  <c r="W196" i="38"/>
  <c r="X196" i="38" s="1"/>
  <c r="G198" i="19" s="1"/>
  <c r="W88" i="38"/>
  <c r="X88" i="38" s="1"/>
  <c r="G88" i="19" s="1"/>
  <c r="W279" i="38"/>
  <c r="X279" i="38" s="1"/>
  <c r="G282" i="19" s="1"/>
  <c r="W282" i="38"/>
  <c r="X282" i="38" s="1"/>
  <c r="G285" i="19" s="1"/>
  <c r="W114" i="38"/>
  <c r="X114" i="38" s="1"/>
  <c r="G115" i="19" s="1"/>
  <c r="W300" i="38"/>
  <c r="X300" i="38" s="1"/>
  <c r="G303" i="19" s="1"/>
  <c r="W261" i="38"/>
  <c r="X261" i="38" s="1"/>
  <c r="G264" i="19" s="1"/>
  <c r="W206" i="38"/>
  <c r="X206" i="38" s="1"/>
  <c r="G208" i="19" s="1"/>
  <c r="W23" i="38"/>
  <c r="X23" i="38" s="1"/>
  <c r="G23" i="19" s="1"/>
  <c r="W120" i="38"/>
  <c r="X120" i="38" s="1"/>
  <c r="G121" i="19" s="1"/>
  <c r="W147" i="38"/>
  <c r="X147" i="38" s="1"/>
  <c r="G148" i="19" s="1"/>
  <c r="W284" i="38"/>
  <c r="X284" i="38" s="1"/>
  <c r="G287" i="19" s="1"/>
  <c r="W267" i="38"/>
  <c r="X267" i="38" s="1"/>
  <c r="G270" i="19" s="1"/>
  <c r="W165" i="38"/>
  <c r="X165" i="38" s="1"/>
  <c r="G166" i="19" s="1"/>
  <c r="W12" i="38"/>
  <c r="X12" i="38" s="1"/>
  <c r="G12" i="19" s="1"/>
  <c r="W29" i="38"/>
  <c r="X29" i="38" s="1"/>
  <c r="G29" i="19" s="1"/>
  <c r="W87" i="38"/>
  <c r="X87" i="38" s="1"/>
  <c r="G87" i="19" s="1"/>
  <c r="W170" i="38"/>
  <c r="X170" i="38" s="1"/>
  <c r="G171" i="19" s="1"/>
  <c r="W73" i="38"/>
  <c r="X73" i="38" s="1"/>
  <c r="G73" i="19" s="1"/>
  <c r="W273" i="38"/>
  <c r="X273" i="38" s="1"/>
  <c r="G276" i="19" s="1"/>
  <c r="W308" i="38"/>
  <c r="X308" i="38" s="1"/>
  <c r="G311" i="19" s="1"/>
  <c r="W89" i="38"/>
  <c r="X89" i="38" s="1"/>
  <c r="G89" i="19" s="1"/>
  <c r="W28" i="38"/>
  <c r="X28" i="38" s="1"/>
  <c r="G28" i="19" s="1"/>
  <c r="W24" i="38"/>
  <c r="X24" i="38" s="1"/>
  <c r="G24" i="19" s="1"/>
  <c r="W289" i="38"/>
  <c r="X289" i="38" s="1"/>
  <c r="G292" i="19" s="1"/>
  <c r="W229" i="38"/>
  <c r="X229" i="38" s="1"/>
  <c r="G232" i="19" s="1"/>
  <c r="W234" i="38"/>
  <c r="X234" i="38" s="1"/>
  <c r="G237" i="19" s="1"/>
  <c r="W265" i="38"/>
  <c r="X265" i="38" s="1"/>
  <c r="G268" i="19" s="1"/>
  <c r="W8" i="38"/>
  <c r="X8" i="38" s="1"/>
  <c r="G8" i="19" s="1"/>
  <c r="W237" i="38"/>
  <c r="X237" i="38" s="1"/>
  <c r="G240" i="19" s="1"/>
  <c r="W85" i="38"/>
  <c r="X85" i="38" s="1"/>
  <c r="G85" i="19" s="1"/>
  <c r="W296" i="38"/>
  <c r="X296" i="38" s="1"/>
  <c r="G299" i="19" s="1"/>
  <c r="W230" i="38"/>
  <c r="X230" i="38" s="1"/>
  <c r="G233" i="19" s="1"/>
  <c r="W86" i="38"/>
  <c r="X86" i="38" s="1"/>
  <c r="G86" i="19" s="1"/>
  <c r="W203" i="38"/>
  <c r="X203" i="38" s="1"/>
  <c r="G205" i="19" s="1"/>
  <c r="W156" i="38"/>
  <c r="X156" i="38" s="1"/>
  <c r="G157" i="19" s="1"/>
  <c r="W259" i="38"/>
  <c r="X259" i="38" s="1"/>
  <c r="G262" i="19" s="1"/>
  <c r="W224" i="38"/>
  <c r="X224" i="38" s="1"/>
  <c r="G226" i="19" s="1"/>
  <c r="W235" i="38"/>
  <c r="X235" i="38" s="1"/>
  <c r="G238" i="19" s="1"/>
  <c r="W42" i="38"/>
  <c r="X42" i="38" s="1"/>
  <c r="G42" i="19" s="1"/>
  <c r="W132" i="38"/>
  <c r="X132" i="38" s="1"/>
  <c r="G133" i="19" s="1"/>
  <c r="W177" i="38"/>
  <c r="X177" i="38" s="1"/>
  <c r="G178" i="19" s="1"/>
  <c r="W69" i="38"/>
  <c r="X69" i="38" s="1"/>
  <c r="G69" i="19" s="1"/>
  <c r="W79" i="38"/>
  <c r="X79" i="38" s="1"/>
  <c r="G79" i="19" s="1"/>
  <c r="W180" i="38"/>
  <c r="X180" i="38" s="1"/>
  <c r="G181" i="19" s="1"/>
  <c r="W216" i="38"/>
  <c r="X216" i="38" s="1"/>
  <c r="G218" i="19" s="1"/>
  <c r="W111" i="38"/>
  <c r="X111" i="38" s="1"/>
  <c r="G112" i="19" s="1"/>
  <c r="W13" i="38"/>
  <c r="X13" i="38" s="1"/>
  <c r="G13" i="19" s="1"/>
  <c r="W288" i="38"/>
  <c r="X288" i="38" s="1"/>
  <c r="G291" i="19" s="1"/>
  <c r="W314" i="38"/>
  <c r="X314" i="38" s="1"/>
  <c r="G317" i="19" s="1"/>
  <c r="W202" i="38"/>
  <c r="X202" i="38" s="1"/>
  <c r="G204" i="19" s="1"/>
  <c r="W72" i="38"/>
  <c r="X72" i="38" s="1"/>
  <c r="G72" i="19" s="1"/>
  <c r="W61" i="38"/>
  <c r="X61" i="38" s="1"/>
  <c r="G61" i="19" s="1"/>
  <c r="W244" i="38"/>
  <c r="X244" i="38" s="1"/>
  <c r="G247" i="19" s="1"/>
  <c r="W128" i="38"/>
  <c r="X128" i="38" s="1"/>
  <c r="G129" i="19" s="1"/>
  <c r="W318" i="38"/>
  <c r="X318" i="38" s="1"/>
  <c r="G195" i="19" s="1"/>
  <c r="W239" i="38"/>
  <c r="X239" i="38" s="1"/>
  <c r="G242" i="19" s="1"/>
  <c r="W43" i="38"/>
  <c r="X43" i="38" s="1"/>
  <c r="G43" i="19" s="1"/>
  <c r="W213" i="38"/>
  <c r="X213" i="38" s="1"/>
  <c r="G215" i="19" s="1"/>
  <c r="W137" i="38"/>
  <c r="X137" i="38" s="1"/>
  <c r="G138" i="19" s="1"/>
  <c r="W247" i="38"/>
  <c r="X247" i="38" s="1"/>
  <c r="G250" i="19" s="1"/>
  <c r="W208" i="38"/>
  <c r="X208" i="38" s="1"/>
  <c r="G210" i="19" s="1"/>
  <c r="W209" i="38"/>
  <c r="X209" i="38" s="1"/>
  <c r="G211" i="19" s="1"/>
  <c r="W169" i="38"/>
  <c r="X169" i="38" s="1"/>
  <c r="G170" i="19" s="1"/>
  <c r="W65" i="38"/>
  <c r="X65" i="38" s="1"/>
  <c r="G65" i="19" s="1"/>
  <c r="W264" i="38"/>
  <c r="X264" i="38" s="1"/>
  <c r="G267" i="19" s="1"/>
  <c r="W217" i="38"/>
  <c r="X217" i="38" s="1"/>
  <c r="G219" i="19" s="1"/>
  <c r="W16" i="38"/>
  <c r="X16" i="38" s="1"/>
  <c r="G16" i="19" s="1"/>
  <c r="W181" i="38"/>
  <c r="X181" i="38" s="1"/>
  <c r="G182" i="19" s="1"/>
  <c r="W59" i="38"/>
  <c r="X59" i="38" s="1"/>
  <c r="G59" i="19" s="1"/>
  <c r="W118" i="38"/>
  <c r="X118" i="38" s="1"/>
  <c r="G119" i="19" s="1"/>
  <c r="W82" i="38"/>
  <c r="X82" i="38" s="1"/>
  <c r="G82" i="19" s="1"/>
  <c r="W168" i="38"/>
  <c r="X168" i="38" s="1"/>
  <c r="G169" i="19" s="1"/>
  <c r="W108" i="38"/>
  <c r="X108" i="38" s="1"/>
  <c r="G109" i="19" s="1"/>
  <c r="W92" i="38"/>
  <c r="X92" i="38" s="1"/>
  <c r="G92" i="19" s="1"/>
  <c r="W107" i="38"/>
  <c r="X107" i="38" s="1"/>
  <c r="G108" i="19" s="1"/>
  <c r="W116" i="38"/>
  <c r="X116" i="38" s="1"/>
  <c r="G117" i="19" s="1"/>
  <c r="W171" i="38"/>
  <c r="X171" i="38" s="1"/>
  <c r="G172" i="19" s="1"/>
  <c r="W232" i="38"/>
  <c r="X232" i="38" s="1"/>
  <c r="G235" i="19" s="1"/>
  <c r="W250" i="38"/>
  <c r="X250" i="38" s="1"/>
  <c r="G253" i="19" s="1"/>
  <c r="W68" i="38"/>
  <c r="X68" i="38" s="1"/>
  <c r="G68" i="19" s="1"/>
  <c r="W294" i="38"/>
  <c r="X294" i="38" s="1"/>
  <c r="G297" i="19" s="1"/>
  <c r="W269" i="38"/>
  <c r="X269" i="38" s="1"/>
  <c r="G272" i="19" s="1"/>
  <c r="W155" i="38"/>
  <c r="X155" i="38" s="1"/>
  <c r="G156" i="19" s="1"/>
  <c r="W75" i="38"/>
  <c r="X75" i="38" s="1"/>
  <c r="G75" i="19" s="1"/>
  <c r="W178" i="38"/>
  <c r="X178" i="38" s="1"/>
  <c r="G179" i="19" s="1"/>
  <c r="W77" i="38"/>
  <c r="X77" i="38" s="1"/>
  <c r="G77" i="19" s="1"/>
  <c r="W27" i="38"/>
  <c r="X27" i="38" s="1"/>
  <c r="G27" i="19" s="1"/>
  <c r="W49" i="38"/>
  <c r="X49" i="38" s="1"/>
  <c r="G49" i="19" s="1"/>
  <c r="W123" i="38"/>
  <c r="X123" i="38" s="1"/>
  <c r="G124" i="19" s="1"/>
  <c r="W138" i="38"/>
  <c r="X138" i="38" s="1"/>
  <c r="G139" i="19" s="1"/>
  <c r="W112" i="38"/>
  <c r="X112" i="38" s="1"/>
  <c r="G113" i="19" s="1"/>
  <c r="W305" i="38"/>
  <c r="X305" i="38" s="1"/>
  <c r="G308" i="19" s="1"/>
  <c r="W60" i="38"/>
  <c r="X60" i="38" s="1"/>
  <c r="G60" i="19" s="1"/>
  <c r="W278" i="38"/>
  <c r="X278" i="38" s="1"/>
  <c r="G281" i="19" s="1"/>
  <c r="W219" i="38"/>
  <c r="X219" i="38" s="1"/>
  <c r="G221" i="19" s="1"/>
  <c r="W140" i="38"/>
  <c r="X140" i="38" s="1"/>
  <c r="G141" i="19" s="1"/>
  <c r="W298" i="38"/>
  <c r="X298" i="38" s="1"/>
  <c r="G301" i="19" s="1"/>
  <c r="W80" i="38"/>
  <c r="X80" i="38" s="1"/>
  <c r="G80" i="19" s="1"/>
  <c r="W275" i="38"/>
  <c r="X275" i="38" s="1"/>
  <c r="G278" i="19" s="1"/>
  <c r="W215" i="38"/>
  <c r="X215" i="38" s="1"/>
  <c r="G217" i="19" s="1"/>
  <c r="W205" i="38"/>
  <c r="X205" i="38" s="1"/>
  <c r="G207" i="19" s="1"/>
  <c r="W292" i="38"/>
  <c r="X292" i="38" s="1"/>
  <c r="G295" i="19" s="1"/>
  <c r="W160" i="38"/>
  <c r="X160" i="38" s="1"/>
  <c r="G161" i="19" s="1"/>
  <c r="W311" i="38"/>
  <c r="X311" i="38" s="1"/>
  <c r="G314" i="19" s="1"/>
  <c r="W268" i="38"/>
  <c r="X268" i="38" s="1"/>
  <c r="G271" i="19" s="1"/>
  <c r="W119" i="38"/>
  <c r="X119" i="38" s="1"/>
  <c r="G120" i="19" s="1"/>
  <c r="W14" i="38"/>
  <c r="X14" i="38" s="1"/>
  <c r="G14" i="19" s="1"/>
  <c r="W129" i="38"/>
  <c r="X129" i="38" s="1"/>
  <c r="G130" i="19" s="1"/>
  <c r="W41" i="38"/>
  <c r="X41" i="38" s="1"/>
  <c r="G41" i="19" s="1"/>
  <c r="W149" i="38"/>
  <c r="X149" i="38" s="1"/>
  <c r="G150" i="19" s="1"/>
  <c r="W78" i="38"/>
  <c r="X78" i="38" s="1"/>
  <c r="G78" i="19" s="1"/>
  <c r="W64" i="38"/>
  <c r="X64" i="38" s="1"/>
  <c r="G64" i="19" s="1"/>
  <c r="W139" i="38"/>
  <c r="X139" i="38" s="1"/>
  <c r="G140" i="19" s="1"/>
  <c r="W6" i="38"/>
  <c r="X6" i="38" s="1"/>
  <c r="G6" i="19" s="1"/>
  <c r="W152" i="38"/>
  <c r="X152" i="38" s="1"/>
  <c r="G153" i="19" s="1"/>
  <c r="W74" i="38"/>
  <c r="X74" i="38" s="1"/>
  <c r="G74" i="19" s="1"/>
  <c r="W246" i="38"/>
  <c r="X246" i="38" s="1"/>
  <c r="G249" i="19" s="1"/>
  <c r="W37" i="38"/>
  <c r="X37" i="38" s="1"/>
  <c r="G37" i="19" s="1"/>
  <c r="W176" i="38"/>
  <c r="X176" i="38" s="1"/>
  <c r="G177" i="19" s="1"/>
  <c r="W109" i="38"/>
  <c r="X109" i="38" s="1"/>
  <c r="G110" i="19" s="1"/>
  <c r="W236" i="38"/>
  <c r="X236" i="38" s="1"/>
  <c r="G239" i="19" s="1"/>
  <c r="W197" i="38"/>
  <c r="X197" i="38" s="1"/>
  <c r="G199" i="19" s="1"/>
  <c r="W53" i="38"/>
  <c r="X53" i="38" s="1"/>
  <c r="G53" i="19" s="1"/>
  <c r="W38" i="38"/>
  <c r="X38" i="38" s="1"/>
  <c r="G38" i="19" s="1"/>
  <c r="W222" i="38"/>
  <c r="X222" i="38" s="1"/>
  <c r="G224" i="19" s="1"/>
  <c r="W307" i="38"/>
  <c r="X307" i="38" s="1"/>
  <c r="G310" i="19" s="1"/>
  <c r="W188" i="38"/>
  <c r="X188" i="38" s="1"/>
  <c r="G189" i="19" s="1"/>
  <c r="W39" i="38"/>
  <c r="X39" i="38" s="1"/>
  <c r="G39" i="19" s="1"/>
  <c r="W210" i="38"/>
  <c r="X210" i="38" s="1"/>
  <c r="G212" i="19" s="1"/>
  <c r="W295" i="38"/>
  <c r="X295" i="38" s="1"/>
  <c r="G298" i="19" s="1"/>
  <c r="W10" i="38"/>
  <c r="X10" i="38" s="1"/>
  <c r="G10" i="19" s="1"/>
  <c r="W293" i="38"/>
  <c r="X293" i="38" s="1"/>
  <c r="G296" i="19" s="1"/>
  <c r="W15" i="38"/>
  <c r="X15" i="38" s="1"/>
  <c r="G15" i="19" s="1"/>
  <c r="W214" i="38"/>
  <c r="X214" i="38" s="1"/>
  <c r="G216" i="19" s="1"/>
  <c r="W90" i="38"/>
  <c r="X90" i="38" s="1"/>
  <c r="G90" i="19" s="1"/>
  <c r="W124" i="38"/>
  <c r="X124" i="38" s="1"/>
  <c r="G125" i="19" s="1"/>
  <c r="W199" i="38"/>
  <c r="X199" i="38" s="1"/>
  <c r="G201" i="19" s="1"/>
  <c r="W198" i="38"/>
  <c r="X198" i="38" s="1"/>
  <c r="G200" i="19" s="1"/>
  <c r="W125" i="38"/>
  <c r="X125" i="38" s="1"/>
  <c r="G126" i="19" s="1"/>
  <c r="W316" i="38"/>
  <c r="X316" i="38" s="1"/>
  <c r="G319" i="19" s="1"/>
  <c r="W285" i="38"/>
  <c r="X285" i="38" s="1"/>
  <c r="G288" i="19" s="1"/>
  <c r="W233" i="38"/>
  <c r="X233" i="38" s="1"/>
  <c r="G236" i="19" s="1"/>
  <c r="W105" i="38"/>
  <c r="X105" i="38" s="1"/>
  <c r="G105" i="19" s="1"/>
  <c r="W126" i="38"/>
  <c r="X126" i="38" s="1"/>
  <c r="G127" i="19" s="1"/>
  <c r="W290" i="38"/>
  <c r="X290" i="38" s="1"/>
  <c r="G293" i="19" s="1"/>
  <c r="W226" i="38"/>
  <c r="X226" i="38" s="1"/>
  <c r="G228" i="19" s="1"/>
  <c r="W266" i="38"/>
  <c r="X266" i="38" s="1"/>
  <c r="G269" i="19" s="1"/>
  <c r="W238" i="38"/>
  <c r="X238" i="38" s="1"/>
  <c r="G241" i="19" s="1"/>
  <c r="W146" i="38"/>
  <c r="X146" i="38" s="1"/>
  <c r="G147" i="19" s="1"/>
  <c r="W195" i="38"/>
  <c r="X195" i="38" s="1"/>
  <c r="G197" i="19" s="1"/>
  <c r="W211" i="38"/>
  <c r="X211" i="38" s="1"/>
  <c r="G213" i="19" s="1"/>
  <c r="W21" i="38"/>
  <c r="X21" i="38" s="1"/>
  <c r="G21" i="19" s="1"/>
  <c r="W9" i="38"/>
  <c r="X9" i="38" s="1"/>
  <c r="G9" i="19" s="1"/>
  <c r="W241" i="38"/>
  <c r="X241" i="38" s="1"/>
  <c r="G244" i="19" s="1"/>
  <c r="W303" i="38"/>
  <c r="X303" i="38" s="1"/>
  <c r="G306" i="19" s="1"/>
  <c r="W63" i="38"/>
  <c r="X63" i="38" s="1"/>
  <c r="G63" i="19" s="1"/>
  <c r="W190" i="38"/>
  <c r="X190" i="38" s="1"/>
  <c r="G191" i="19" s="1"/>
  <c r="W40" i="38"/>
  <c r="X40" i="38" s="1"/>
  <c r="G40" i="19" s="1"/>
  <c r="W304" i="38"/>
  <c r="X304" i="38" s="1"/>
  <c r="G307" i="19" s="1"/>
  <c r="W103" i="38"/>
  <c r="X103" i="38" s="1"/>
  <c r="G103" i="19" s="1"/>
  <c r="W30" i="38"/>
  <c r="X30" i="38" s="1"/>
  <c r="G30" i="19" s="1"/>
  <c r="W117" i="38"/>
  <c r="X117" i="38" s="1"/>
  <c r="G118" i="19" s="1"/>
  <c r="W134" i="38"/>
  <c r="X134" i="38" s="1"/>
  <c r="G135" i="19" s="1"/>
  <c r="W17" i="38"/>
  <c r="X17" i="38" s="1"/>
  <c r="G17" i="19" s="1"/>
  <c r="W136" i="38"/>
  <c r="X136" i="38" s="1"/>
  <c r="G137" i="19" s="1"/>
  <c r="W113" i="38"/>
  <c r="X113" i="38" s="1"/>
  <c r="G114" i="19" s="1"/>
  <c r="W81" i="38"/>
  <c r="X81" i="38" s="1"/>
  <c r="G81" i="19" s="1"/>
  <c r="W106" i="38"/>
  <c r="X106" i="38" s="1"/>
  <c r="G107" i="19" s="1"/>
  <c r="W173" i="38"/>
  <c r="X173" i="38" s="1"/>
  <c r="G174" i="19" s="1"/>
  <c r="W221" i="38"/>
  <c r="X221" i="38" s="1"/>
  <c r="G223" i="19" s="1"/>
  <c r="W310" i="38"/>
  <c r="X310" i="38" s="1"/>
  <c r="G313" i="19" s="1"/>
  <c r="W150" i="38"/>
  <c r="X150" i="38" s="1"/>
  <c r="G151" i="19" s="1"/>
  <c r="W4" i="38"/>
  <c r="W153" i="37"/>
  <c r="X153" i="37" s="1"/>
  <c r="F154" i="19" s="1"/>
  <c r="W135" i="37"/>
  <c r="X135" i="37" s="1"/>
  <c r="F136" i="19" s="1"/>
  <c r="W116" i="37"/>
  <c r="X116" i="37" s="1"/>
  <c r="F117" i="19" s="1"/>
  <c r="W129" i="37"/>
  <c r="X129" i="37" s="1"/>
  <c r="F130" i="19" s="1"/>
  <c r="W5" i="37"/>
  <c r="X5" i="37" s="1"/>
  <c r="F5" i="19" s="1"/>
  <c r="W89" i="37"/>
  <c r="X89" i="37" s="1"/>
  <c r="F89" i="19" s="1"/>
  <c r="W202" i="37"/>
  <c r="X202" i="37" s="1"/>
  <c r="F204" i="19" s="1"/>
  <c r="W215" i="37"/>
  <c r="X215" i="37" s="1"/>
  <c r="F217" i="19" s="1"/>
  <c r="W55" i="37"/>
  <c r="X55" i="37" s="1"/>
  <c r="F55" i="19" s="1"/>
  <c r="W124" i="37"/>
  <c r="X124" i="37" s="1"/>
  <c r="F125" i="19" s="1"/>
  <c r="W311" i="37"/>
  <c r="X311" i="37" s="1"/>
  <c r="F314" i="19" s="1"/>
  <c r="W25" i="37"/>
  <c r="X25" i="37" s="1"/>
  <c r="F25" i="19" s="1"/>
  <c r="W94" i="37"/>
  <c r="X94" i="37" s="1"/>
  <c r="F94" i="19" s="1"/>
  <c r="W291" i="37"/>
  <c r="X291" i="37" s="1"/>
  <c r="F294" i="19" s="1"/>
  <c r="W203" i="37"/>
  <c r="X203" i="37" s="1"/>
  <c r="F205" i="19" s="1"/>
  <c r="W251" i="37"/>
  <c r="X251" i="37" s="1"/>
  <c r="F254" i="19" s="1"/>
  <c r="W275" i="37"/>
  <c r="X275" i="37" s="1"/>
  <c r="F278" i="19" s="1"/>
  <c r="W309" i="37"/>
  <c r="X309" i="37" s="1"/>
  <c r="F312" i="19" s="1"/>
  <c r="W287" i="37"/>
  <c r="X287" i="37" s="1"/>
  <c r="F290" i="19" s="1"/>
  <c r="W85" i="37"/>
  <c r="X85" i="37" s="1"/>
  <c r="F85" i="19" s="1"/>
  <c r="W143" i="37"/>
  <c r="X143" i="37" s="1"/>
  <c r="F144" i="19" s="1"/>
  <c r="W227" i="37"/>
  <c r="X227" i="37" s="1"/>
  <c r="F229" i="19" s="1"/>
  <c r="W47" i="37"/>
  <c r="X47" i="37" s="1"/>
  <c r="F47" i="19" s="1"/>
  <c r="W283" i="37"/>
  <c r="X283" i="37" s="1"/>
  <c r="F286" i="19" s="1"/>
  <c r="W82" i="37"/>
  <c r="X82" i="37" s="1"/>
  <c r="F82" i="19" s="1"/>
  <c r="W174" i="37"/>
  <c r="X174" i="37" s="1"/>
  <c r="F175" i="19" s="1"/>
  <c r="W259" i="37"/>
  <c r="X259" i="37" s="1"/>
  <c r="F262" i="19" s="1"/>
  <c r="W111" i="37"/>
  <c r="X111" i="37" s="1"/>
  <c r="F112" i="19" s="1"/>
  <c r="W185" i="37"/>
  <c r="X185" i="37" s="1"/>
  <c r="F186" i="19" s="1"/>
  <c r="W274" i="37"/>
  <c r="X274" i="37" s="1"/>
  <c r="F277" i="19" s="1"/>
  <c r="W69" i="37"/>
  <c r="X69" i="37" s="1"/>
  <c r="F69" i="19" s="1"/>
  <c r="W194" i="37"/>
  <c r="X194" i="37" s="1"/>
  <c r="F196" i="19" s="1"/>
  <c r="W141" i="37"/>
  <c r="X141" i="37" s="1"/>
  <c r="F142" i="19" s="1"/>
  <c r="W34" i="37"/>
  <c r="X34" i="37" s="1"/>
  <c r="F34" i="19" s="1"/>
  <c r="W218" i="37"/>
  <c r="X218" i="37" s="1"/>
  <c r="F220" i="19" s="1"/>
  <c r="W114" i="37"/>
  <c r="X114" i="37" s="1"/>
  <c r="F115" i="19" s="1"/>
  <c r="W244" i="37"/>
  <c r="X244" i="37" s="1"/>
  <c r="F247" i="19" s="1"/>
  <c r="W241" i="37"/>
  <c r="X241" i="37" s="1"/>
  <c r="F244" i="19" s="1"/>
  <c r="W303" i="37"/>
  <c r="X303" i="37" s="1"/>
  <c r="F306" i="19" s="1"/>
  <c r="W58" i="37"/>
  <c r="X58" i="37" s="1"/>
  <c r="F58" i="19" s="1"/>
  <c r="W105" i="37"/>
  <c r="X105" i="37" s="1"/>
  <c r="F105" i="19" s="1"/>
  <c r="W64" i="37"/>
  <c r="X64" i="37" s="1"/>
  <c r="F64" i="19" s="1"/>
  <c r="W130" i="37"/>
  <c r="X130" i="37" s="1"/>
  <c r="F131" i="19" s="1"/>
  <c r="W179" i="37"/>
  <c r="X179" i="37" s="1"/>
  <c r="F180" i="19" s="1"/>
  <c r="W229" i="37"/>
  <c r="X229" i="37" s="1"/>
  <c r="F232" i="19" s="1"/>
  <c r="W176" i="37"/>
  <c r="X176" i="37" s="1"/>
  <c r="F177" i="19" s="1"/>
  <c r="W65" i="37"/>
  <c r="X65" i="37" s="1"/>
  <c r="F65" i="19" s="1"/>
  <c r="W268" i="37"/>
  <c r="X268" i="37" s="1"/>
  <c r="F271" i="19" s="1"/>
  <c r="W125" i="37"/>
  <c r="X125" i="37" s="1"/>
  <c r="F126" i="19" s="1"/>
  <c r="W314" i="37"/>
  <c r="X314" i="37" s="1"/>
  <c r="F317" i="19" s="1"/>
  <c r="W107" i="37"/>
  <c r="X107" i="37" s="1"/>
  <c r="F108" i="19" s="1"/>
  <c r="W213" i="37"/>
  <c r="X213" i="37" s="1"/>
  <c r="F215" i="19" s="1"/>
  <c r="W261" i="37"/>
  <c r="X261" i="37" s="1"/>
  <c r="F264" i="19" s="1"/>
  <c r="W38" i="37"/>
  <c r="X38" i="37" s="1"/>
  <c r="F38" i="19" s="1"/>
  <c r="W250" i="37"/>
  <c r="X250" i="37" s="1"/>
  <c r="F253" i="19" s="1"/>
  <c r="W247" i="37"/>
  <c r="X247" i="37" s="1"/>
  <c r="F250" i="19" s="1"/>
  <c r="W236" i="37"/>
  <c r="X236" i="37" s="1"/>
  <c r="F239" i="19" s="1"/>
  <c r="W154" i="37"/>
  <c r="X154" i="37" s="1"/>
  <c r="F155" i="19" s="1"/>
  <c r="W164" i="37"/>
  <c r="X164" i="37" s="1"/>
  <c r="F165" i="19" s="1"/>
  <c r="W300" i="37"/>
  <c r="X300" i="37" s="1"/>
  <c r="F303" i="19" s="1"/>
  <c r="W214" i="37"/>
  <c r="X214" i="37" s="1"/>
  <c r="F216" i="19" s="1"/>
  <c r="W106" i="37"/>
  <c r="X106" i="37" s="1"/>
  <c r="F107" i="19" s="1"/>
  <c r="W146" i="37"/>
  <c r="X146" i="37" s="1"/>
  <c r="F147" i="19" s="1"/>
  <c r="W184" i="37"/>
  <c r="X184" i="37" s="1"/>
  <c r="F185" i="19" s="1"/>
  <c r="W11" i="37"/>
  <c r="X11" i="37" s="1"/>
  <c r="F11" i="19" s="1"/>
  <c r="W109" i="37"/>
  <c r="X109" i="37" s="1"/>
  <c r="F110" i="19" s="1"/>
  <c r="W72" i="37"/>
  <c r="X72" i="37" s="1"/>
  <c r="F72" i="19" s="1"/>
  <c r="W310" i="37"/>
  <c r="X310" i="37" s="1"/>
  <c r="F313" i="19" s="1"/>
  <c r="W281" i="37"/>
  <c r="X281" i="37" s="1"/>
  <c r="F284" i="19" s="1"/>
  <c r="W16" i="37"/>
  <c r="X16" i="37" s="1"/>
  <c r="F16" i="19" s="1"/>
  <c r="W96" i="37"/>
  <c r="X96" i="37" s="1"/>
  <c r="F96" i="19" s="1"/>
  <c r="W318" i="37"/>
  <c r="X318" i="37" s="1"/>
  <c r="F195" i="19" s="1"/>
  <c r="W108" i="37"/>
  <c r="X108" i="37" s="1"/>
  <c r="F109" i="19" s="1"/>
  <c r="W104" i="37"/>
  <c r="X104" i="37" s="1"/>
  <c r="F104" i="19" s="1"/>
  <c r="W221" i="37"/>
  <c r="X221" i="37" s="1"/>
  <c r="F223" i="19" s="1"/>
  <c r="W273" i="37"/>
  <c r="X273" i="37" s="1"/>
  <c r="F276" i="19" s="1"/>
  <c r="W162" i="37"/>
  <c r="X162" i="37" s="1"/>
  <c r="F163" i="19" s="1"/>
  <c r="W53" i="37"/>
  <c r="X53" i="37" s="1"/>
  <c r="F53" i="19" s="1"/>
  <c r="W172" i="37"/>
  <c r="X172" i="37" s="1"/>
  <c r="F173" i="19" s="1"/>
  <c r="W240" i="37"/>
  <c r="X240" i="37" s="1"/>
  <c r="F243" i="19" s="1"/>
  <c r="W149" i="37"/>
  <c r="X149" i="37" s="1"/>
  <c r="F150" i="19" s="1"/>
  <c r="W170" i="37"/>
  <c r="X170" i="37" s="1"/>
  <c r="F171" i="19" s="1"/>
  <c r="W292" i="37"/>
  <c r="X292" i="37" s="1"/>
  <c r="F295" i="19" s="1"/>
  <c r="W233" i="37"/>
  <c r="X233" i="37" s="1"/>
  <c r="F236" i="19" s="1"/>
  <c r="W219" i="37"/>
  <c r="X219" i="37" s="1"/>
  <c r="F221" i="19" s="1"/>
  <c r="W312" i="37"/>
  <c r="X312" i="37" s="1"/>
  <c r="F315" i="19" s="1"/>
  <c r="W160" i="37"/>
  <c r="X160" i="37" s="1"/>
  <c r="F161" i="19" s="1"/>
  <c r="W126" i="37"/>
  <c r="X126" i="37" s="1"/>
  <c r="F127" i="19" s="1"/>
  <c r="W228" i="37"/>
  <c r="X228" i="37" s="1"/>
  <c r="F230" i="19" s="1"/>
  <c r="W187" i="37"/>
  <c r="X187" i="37" s="1"/>
  <c r="F188" i="19" s="1"/>
  <c r="W57" i="37"/>
  <c r="X57" i="37" s="1"/>
  <c r="F57" i="19" s="1"/>
  <c r="W158" i="37"/>
  <c r="X158" i="37" s="1"/>
  <c r="F159" i="19" s="1"/>
  <c r="W232" i="37"/>
  <c r="X232" i="37" s="1"/>
  <c r="F235" i="19" s="1"/>
  <c r="W54" i="37"/>
  <c r="X54" i="37" s="1"/>
  <c r="F54" i="19" s="1"/>
  <c r="W159" i="37"/>
  <c r="X159" i="37" s="1"/>
  <c r="F160" i="19" s="1"/>
  <c r="W279" i="37"/>
  <c r="X279" i="37" s="1"/>
  <c r="F282" i="19" s="1"/>
  <c r="W304" i="37"/>
  <c r="X304" i="37" s="1"/>
  <c r="F307" i="19" s="1"/>
  <c r="W88" i="37"/>
  <c r="X88" i="37" s="1"/>
  <c r="F88" i="19" s="1"/>
  <c r="W313" i="37"/>
  <c r="X313" i="37" s="1"/>
  <c r="F316" i="19" s="1"/>
  <c r="W199" i="37"/>
  <c r="X199" i="37" s="1"/>
  <c r="F201" i="19" s="1"/>
  <c r="W265" i="37"/>
  <c r="X265" i="37" s="1"/>
  <c r="F268" i="19" s="1"/>
  <c r="W138" i="37"/>
  <c r="X138" i="37" s="1"/>
  <c r="F139" i="19" s="1"/>
  <c r="W32" i="37"/>
  <c r="X32" i="37" s="1"/>
  <c r="F32" i="19" s="1"/>
  <c r="W17" i="37"/>
  <c r="X17" i="37" s="1"/>
  <c r="F17" i="19" s="1"/>
  <c r="W98" i="37"/>
  <c r="X98" i="37" s="1"/>
  <c r="F98" i="19" s="1"/>
  <c r="W257" i="37"/>
  <c r="X257" i="37" s="1"/>
  <c r="F260" i="19" s="1"/>
  <c r="W19" i="37"/>
  <c r="X19" i="37" s="1"/>
  <c r="F19" i="19" s="1"/>
  <c r="W307" i="37"/>
  <c r="X307" i="37" s="1"/>
  <c r="F310" i="19" s="1"/>
  <c r="W144" i="37"/>
  <c r="X144" i="37" s="1"/>
  <c r="F145" i="19" s="1"/>
  <c r="W118" i="37"/>
  <c r="X118" i="37" s="1"/>
  <c r="F119" i="19" s="1"/>
  <c r="W234" i="37"/>
  <c r="X234" i="37" s="1"/>
  <c r="F237" i="19" s="1"/>
  <c r="W112" i="37"/>
  <c r="X112" i="37" s="1"/>
  <c r="F113" i="19" s="1"/>
  <c r="W133" i="37"/>
  <c r="X133" i="37" s="1"/>
  <c r="F134" i="19" s="1"/>
  <c r="W14" i="37"/>
  <c r="X14" i="37" s="1"/>
  <c r="F14" i="19" s="1"/>
  <c r="W182" i="37"/>
  <c r="X182" i="37" s="1"/>
  <c r="F183" i="19" s="1"/>
  <c r="W62" i="37"/>
  <c r="X62" i="37" s="1"/>
  <c r="F62" i="19" s="1"/>
  <c r="W92" i="37"/>
  <c r="X92" i="37" s="1"/>
  <c r="F92" i="19" s="1"/>
  <c r="W86" i="37"/>
  <c r="X86" i="37" s="1"/>
  <c r="F86" i="19" s="1"/>
  <c r="W237" i="37"/>
  <c r="X237" i="37" s="1"/>
  <c r="F240" i="19" s="1"/>
  <c r="W52" i="37"/>
  <c r="X52" i="37" s="1"/>
  <c r="F52" i="19" s="1"/>
  <c r="W70" i="37"/>
  <c r="X70" i="37" s="1"/>
  <c r="F70" i="19" s="1"/>
  <c r="W79" i="37"/>
  <c r="X79" i="37" s="1"/>
  <c r="F79" i="19" s="1"/>
  <c r="W49" i="37"/>
  <c r="X49" i="37" s="1"/>
  <c r="F49" i="19" s="1"/>
  <c r="W83" i="37"/>
  <c r="X83" i="37" s="1"/>
  <c r="F83" i="19" s="1"/>
  <c r="W168" i="37"/>
  <c r="X168" i="37" s="1"/>
  <c r="F169" i="19" s="1"/>
  <c r="W286" i="37"/>
  <c r="X286" i="37" s="1"/>
  <c r="F289" i="19" s="1"/>
  <c r="W18" i="37"/>
  <c r="X18" i="37" s="1"/>
  <c r="F18" i="19" s="1"/>
  <c r="W198" i="37"/>
  <c r="X198" i="37" s="1"/>
  <c r="F200" i="19" s="1"/>
  <c r="W183" i="37"/>
  <c r="X183" i="37" s="1"/>
  <c r="F184" i="19" s="1"/>
  <c r="W193" i="37"/>
  <c r="X193" i="37" s="1"/>
  <c r="F194" i="19" s="1"/>
  <c r="W71" i="37"/>
  <c r="X71" i="37" s="1"/>
  <c r="F71" i="19" s="1"/>
  <c r="W211" i="37"/>
  <c r="X211" i="37" s="1"/>
  <c r="F213" i="19" s="1"/>
  <c r="W277" i="37"/>
  <c r="X277" i="37" s="1"/>
  <c r="F280" i="19" s="1"/>
  <c r="W225" i="37"/>
  <c r="X225" i="37" s="1"/>
  <c r="F227" i="19" s="1"/>
  <c r="W139" i="37"/>
  <c r="X139" i="37" s="1"/>
  <c r="F140" i="19" s="1"/>
  <c r="W276" i="37"/>
  <c r="X276" i="37" s="1"/>
  <c r="F279" i="19" s="1"/>
  <c r="W46" i="37"/>
  <c r="X46" i="37" s="1"/>
  <c r="F46" i="19" s="1"/>
  <c r="W93" i="37"/>
  <c r="X93" i="37" s="1"/>
  <c r="F93" i="19" s="1"/>
  <c r="W197" i="37"/>
  <c r="X197" i="37" s="1"/>
  <c r="F199" i="19" s="1"/>
  <c r="W290" i="37"/>
  <c r="X290" i="37" s="1"/>
  <c r="F293" i="19" s="1"/>
  <c r="W222" i="37"/>
  <c r="X222" i="37" s="1"/>
  <c r="F224" i="19" s="1"/>
  <c r="W91" i="37"/>
  <c r="X91" i="37" s="1"/>
  <c r="F91" i="19" s="1"/>
  <c r="W59" i="37"/>
  <c r="X59" i="37" s="1"/>
  <c r="F59" i="19" s="1"/>
  <c r="W284" i="37"/>
  <c r="X284" i="37" s="1"/>
  <c r="F287" i="19" s="1"/>
  <c r="W245" i="37"/>
  <c r="X245" i="37" s="1"/>
  <c r="F248" i="19" s="1"/>
  <c r="W189" i="37"/>
  <c r="X189" i="37" s="1"/>
  <c r="F190" i="19" s="1"/>
  <c r="W117" i="37"/>
  <c r="X117" i="37" s="1"/>
  <c r="F118" i="19" s="1"/>
  <c r="W132" i="37"/>
  <c r="X132" i="37" s="1"/>
  <c r="F133" i="19" s="1"/>
  <c r="W177" i="37"/>
  <c r="X177" i="37" s="1"/>
  <c r="F178" i="19" s="1"/>
  <c r="W256" i="37"/>
  <c r="X256" i="37" s="1"/>
  <c r="F259" i="19" s="1"/>
  <c r="W60" i="37"/>
  <c r="X60" i="37" s="1"/>
  <c r="F60" i="19" s="1"/>
  <c r="W289" i="37"/>
  <c r="X289" i="37" s="1"/>
  <c r="F292" i="19" s="1"/>
  <c r="W155" i="37"/>
  <c r="X155" i="37" s="1"/>
  <c r="F156" i="19" s="1"/>
  <c r="W278" i="37"/>
  <c r="X278" i="37" s="1"/>
  <c r="F281" i="19" s="1"/>
  <c r="W204" i="37"/>
  <c r="X204" i="37" s="1"/>
  <c r="F206" i="19" s="1"/>
  <c r="W131" i="37"/>
  <c r="X131" i="37" s="1"/>
  <c r="F132" i="19" s="1"/>
  <c r="W22" i="37"/>
  <c r="X22" i="37" s="1"/>
  <c r="F22" i="19" s="1"/>
  <c r="W212" i="37"/>
  <c r="X212" i="37" s="1"/>
  <c r="F214" i="19" s="1"/>
  <c r="W280" i="37"/>
  <c r="X280" i="37" s="1"/>
  <c r="F283" i="19" s="1"/>
  <c r="W282" i="37"/>
  <c r="X282" i="37" s="1"/>
  <c r="F285" i="19" s="1"/>
  <c r="W56" i="37"/>
  <c r="X56" i="37" s="1"/>
  <c r="F56" i="19" s="1"/>
  <c r="W134" i="37"/>
  <c r="X134" i="37" s="1"/>
  <c r="F135" i="19" s="1"/>
  <c r="W74" i="37"/>
  <c r="X74" i="37" s="1"/>
  <c r="F74" i="19" s="1"/>
  <c r="W207" i="37"/>
  <c r="X207" i="37" s="1"/>
  <c r="F209" i="19" s="1"/>
  <c r="W121" i="37"/>
  <c r="X121" i="37" s="1"/>
  <c r="F122" i="19" s="1"/>
  <c r="W21" i="37"/>
  <c r="X21" i="37" s="1"/>
  <c r="F21" i="19" s="1"/>
  <c r="W298" i="37"/>
  <c r="X298" i="37" s="1"/>
  <c r="F301" i="19" s="1"/>
  <c r="W224" i="37"/>
  <c r="X224" i="37" s="1"/>
  <c r="F226" i="19" s="1"/>
  <c r="W30" i="37"/>
  <c r="X30" i="37" s="1"/>
  <c r="F30" i="19" s="1"/>
  <c r="W7" i="37"/>
  <c r="X7" i="37" s="1"/>
  <c r="F7" i="19" s="1"/>
  <c r="W103" i="37"/>
  <c r="X103" i="37" s="1"/>
  <c r="F103" i="19" s="1"/>
  <c r="W161" i="37"/>
  <c r="X161" i="37" s="1"/>
  <c r="F162" i="19" s="1"/>
  <c r="W190" i="37"/>
  <c r="X190" i="37" s="1"/>
  <c r="F191" i="19" s="1"/>
  <c r="W150" i="37"/>
  <c r="X150" i="37" s="1"/>
  <c r="F151" i="19" s="1"/>
  <c r="W262" i="37"/>
  <c r="X262" i="37" s="1"/>
  <c r="F265" i="19" s="1"/>
  <c r="W101" i="37"/>
  <c r="X101" i="37" s="1"/>
  <c r="F101" i="19" s="1"/>
  <c r="W128" i="37"/>
  <c r="X128" i="37" s="1"/>
  <c r="F129" i="19" s="1"/>
  <c r="W110" i="37"/>
  <c r="X110" i="37" s="1"/>
  <c r="F111" i="19" s="1"/>
  <c r="W10" i="37"/>
  <c r="X10" i="37" s="1"/>
  <c r="F10" i="19" s="1"/>
  <c r="W206" i="37"/>
  <c r="X206" i="37" s="1"/>
  <c r="F208" i="19" s="1"/>
  <c r="W142" i="37"/>
  <c r="X142" i="37" s="1"/>
  <c r="F143" i="19" s="1"/>
  <c r="W243" i="37"/>
  <c r="X243" i="37" s="1"/>
  <c r="F246" i="19" s="1"/>
  <c r="W267" i="37"/>
  <c r="X267" i="37" s="1"/>
  <c r="F270" i="19" s="1"/>
  <c r="W302" i="37"/>
  <c r="X302" i="37" s="1"/>
  <c r="F305" i="19" s="1"/>
  <c r="W9" i="37"/>
  <c r="X9" i="37" s="1"/>
  <c r="F9" i="19" s="1"/>
  <c r="W113" i="37"/>
  <c r="X113" i="37" s="1"/>
  <c r="F114" i="19" s="1"/>
  <c r="W147" i="37"/>
  <c r="X147" i="37" s="1"/>
  <c r="F148" i="19" s="1"/>
  <c r="W195" i="37"/>
  <c r="X195" i="37" s="1"/>
  <c r="F197" i="19" s="1"/>
  <c r="W44" i="37"/>
  <c r="X44" i="37" s="1"/>
  <c r="F44" i="19" s="1"/>
  <c r="W87" i="37"/>
  <c r="X87" i="37" s="1"/>
  <c r="F87" i="19" s="1"/>
  <c r="W78" i="37"/>
  <c r="X78" i="37" s="1"/>
  <c r="F78" i="19" s="1"/>
  <c r="W216" i="37"/>
  <c r="X216" i="37" s="1"/>
  <c r="F218" i="19" s="1"/>
  <c r="W15" i="37"/>
  <c r="X15" i="37" s="1"/>
  <c r="F15" i="19" s="1"/>
  <c r="W192" i="37"/>
  <c r="X192" i="37" s="1"/>
  <c r="F193" i="19" s="1"/>
  <c r="W43" i="37"/>
  <c r="X43" i="37" s="1"/>
  <c r="F43" i="19" s="1"/>
  <c r="W165" i="37"/>
  <c r="X165" i="37" s="1"/>
  <c r="F166" i="19" s="1"/>
  <c r="W76" i="37"/>
  <c r="X76" i="37" s="1"/>
  <c r="F76" i="19" s="1"/>
  <c r="W66" i="37"/>
  <c r="X66" i="37" s="1"/>
  <c r="F66" i="19" s="1"/>
  <c r="W156" i="37"/>
  <c r="X156" i="37" s="1"/>
  <c r="F157" i="19" s="1"/>
  <c r="W201" i="37"/>
  <c r="X201" i="37" s="1"/>
  <c r="F203" i="19" s="1"/>
  <c r="W305" i="37"/>
  <c r="X305" i="37" s="1"/>
  <c r="F308" i="19" s="1"/>
  <c r="W36" i="37"/>
  <c r="X36" i="37" s="1"/>
  <c r="F36" i="19" s="1"/>
  <c r="W67" i="37"/>
  <c r="X67" i="37" s="1"/>
  <c r="F67" i="19" s="1"/>
  <c r="W123" i="37"/>
  <c r="X123" i="37" s="1"/>
  <c r="F124" i="19" s="1"/>
  <c r="W90" i="37"/>
  <c r="X90" i="37" s="1"/>
  <c r="F90" i="19" s="1"/>
  <c r="W242" i="37"/>
  <c r="X242" i="37" s="1"/>
  <c r="F245" i="19" s="1"/>
  <c r="W167" i="37"/>
  <c r="X167" i="37" s="1"/>
  <c r="F168" i="19" s="1"/>
  <c r="W42" i="37"/>
  <c r="X42" i="37" s="1"/>
  <c r="F42" i="19" s="1"/>
  <c r="W308" i="37"/>
  <c r="X308" i="37" s="1"/>
  <c r="F311" i="19" s="1"/>
  <c r="W315" i="37"/>
  <c r="X315" i="37" s="1"/>
  <c r="F318" i="19" s="1"/>
  <c r="W269" i="37"/>
  <c r="X269" i="37" s="1"/>
  <c r="F272" i="19" s="1"/>
  <c r="W208" i="37"/>
  <c r="X208" i="37" s="1"/>
  <c r="F210" i="19" s="1"/>
  <c r="W181" i="37"/>
  <c r="X181" i="37" s="1"/>
  <c r="F182" i="19" s="1"/>
  <c r="W136" i="37"/>
  <c r="X136" i="37" s="1"/>
  <c r="F137" i="19" s="1"/>
  <c r="W61" i="37"/>
  <c r="X61" i="37" s="1"/>
  <c r="F61" i="19" s="1"/>
  <c r="W166" i="37"/>
  <c r="X166" i="37" s="1"/>
  <c r="F167" i="19" s="1"/>
  <c r="W258" i="37"/>
  <c r="X258" i="37" s="1"/>
  <c r="F261" i="19" s="1"/>
  <c r="W81" i="37"/>
  <c r="X81" i="37" s="1"/>
  <c r="F81" i="19" s="1"/>
  <c r="W210" i="37"/>
  <c r="X210" i="37" s="1"/>
  <c r="F212" i="19" s="1"/>
  <c r="W254" i="37"/>
  <c r="X254" i="37" s="1"/>
  <c r="F257" i="19" s="1"/>
  <c r="W200" i="37"/>
  <c r="X200" i="37" s="1"/>
  <c r="F202" i="19" s="1"/>
  <c r="W151" i="37"/>
  <c r="X151" i="37" s="1"/>
  <c r="F152" i="19" s="1"/>
  <c r="W246" i="37"/>
  <c r="X246" i="37" s="1"/>
  <c r="F249" i="19" s="1"/>
  <c r="W73" i="37"/>
  <c r="X73" i="37" s="1"/>
  <c r="F73" i="19" s="1"/>
  <c r="W13" i="37"/>
  <c r="X13" i="37" s="1"/>
  <c r="F13" i="19" s="1"/>
  <c r="W188" i="37"/>
  <c r="X188" i="37" s="1"/>
  <c r="F189" i="19" s="1"/>
  <c r="W239" i="37"/>
  <c r="X239" i="37" s="1"/>
  <c r="F242" i="19" s="1"/>
  <c r="W137" i="37"/>
  <c r="X137" i="37" s="1"/>
  <c r="F138" i="19" s="1"/>
  <c r="W157" i="37"/>
  <c r="X157" i="37" s="1"/>
  <c r="F158" i="19" s="1"/>
  <c r="W317" i="37"/>
  <c r="X317" i="37" s="1"/>
  <c r="F320" i="19" s="1"/>
  <c r="W171" i="37"/>
  <c r="X171" i="37" s="1"/>
  <c r="F172" i="19" s="1"/>
  <c r="W235" i="37"/>
  <c r="X235" i="37" s="1"/>
  <c r="F238" i="19" s="1"/>
  <c r="W35" i="37"/>
  <c r="X35" i="37" s="1"/>
  <c r="F35" i="19" s="1"/>
  <c r="W238" i="37"/>
  <c r="X238" i="37" s="1"/>
  <c r="F241" i="19" s="1"/>
  <c r="W8" i="37"/>
  <c r="X8" i="37" s="1"/>
  <c r="F8" i="19" s="1"/>
  <c r="W180" i="37"/>
  <c r="X180" i="37" s="1"/>
  <c r="F181" i="19" s="1"/>
  <c r="W230" i="37"/>
  <c r="X230" i="37" s="1"/>
  <c r="F233" i="19" s="1"/>
  <c r="W163" i="37"/>
  <c r="X163" i="37" s="1"/>
  <c r="F164" i="19" s="1"/>
  <c r="W39" i="37"/>
  <c r="X39" i="37" s="1"/>
  <c r="F39" i="19" s="1"/>
  <c r="W264" i="37"/>
  <c r="X264" i="37" s="1"/>
  <c r="F267" i="19" s="1"/>
  <c r="W51" i="37"/>
  <c r="X51" i="37" s="1"/>
  <c r="F51" i="19" s="1"/>
  <c r="W173" i="37"/>
  <c r="X173" i="37" s="1"/>
  <c r="F174" i="19" s="1"/>
  <c r="W226" i="37"/>
  <c r="X226" i="37" s="1"/>
  <c r="F228" i="19" s="1"/>
  <c r="W316" i="37"/>
  <c r="X316" i="37" s="1"/>
  <c r="F319" i="19" s="1"/>
  <c r="W41" i="37"/>
  <c r="X41" i="37" s="1"/>
  <c r="F41" i="19" s="1"/>
  <c r="W97" i="37"/>
  <c r="X97" i="37" s="1"/>
  <c r="F97" i="19" s="1"/>
  <c r="W293" i="37"/>
  <c r="X293" i="37" s="1"/>
  <c r="F296" i="19" s="1"/>
  <c r="W148" i="37"/>
  <c r="X148" i="37" s="1"/>
  <c r="F149" i="19" s="1"/>
  <c r="W27" i="37"/>
  <c r="X27" i="37" s="1"/>
  <c r="F27" i="19" s="1"/>
  <c r="W120" i="37"/>
  <c r="X120" i="37" s="1"/>
  <c r="F121" i="19" s="1"/>
  <c r="W231" i="37"/>
  <c r="X231" i="37" s="1"/>
  <c r="F234" i="19" s="1"/>
  <c r="W77" i="37"/>
  <c r="X77" i="37" s="1"/>
  <c r="F77" i="19" s="1"/>
  <c r="W140" i="37"/>
  <c r="X140" i="37" s="1"/>
  <c r="F141" i="19" s="1"/>
  <c r="W217" i="37"/>
  <c r="X217" i="37" s="1"/>
  <c r="F219" i="19" s="1"/>
  <c r="W248" i="37"/>
  <c r="X248" i="37" s="1"/>
  <c r="F251" i="19" s="1"/>
  <c r="W255" i="37"/>
  <c r="X255" i="37" s="1"/>
  <c r="F258" i="19" s="1"/>
  <c r="W45" i="37"/>
  <c r="X45" i="37" s="1"/>
  <c r="F45" i="19" s="1"/>
  <c r="W100" i="37"/>
  <c r="X100" i="37" s="1"/>
  <c r="F100" i="19" s="1"/>
  <c r="W40" i="37"/>
  <c r="X40" i="37" s="1"/>
  <c r="F40" i="19" s="1"/>
  <c r="W191" i="37"/>
  <c r="X191" i="37" s="1"/>
  <c r="F192" i="19" s="1"/>
  <c r="W263" i="37"/>
  <c r="X263" i="37" s="1"/>
  <c r="F266" i="19" s="1"/>
  <c r="W175" i="37"/>
  <c r="X175" i="37" s="1"/>
  <c r="F176" i="19" s="1"/>
  <c r="W127" i="37"/>
  <c r="X127" i="37" s="1"/>
  <c r="F128" i="19" s="1"/>
  <c r="W20" i="37"/>
  <c r="X20" i="37" s="1"/>
  <c r="F20" i="19" s="1"/>
  <c r="W75" i="37"/>
  <c r="X75" i="37" s="1"/>
  <c r="F75" i="19" s="1"/>
  <c r="W99" i="37"/>
  <c r="X99" i="37" s="1"/>
  <c r="F99" i="19" s="1"/>
  <c r="W295" i="37"/>
  <c r="X295" i="37" s="1"/>
  <c r="F298" i="19" s="1"/>
  <c r="W63" i="37"/>
  <c r="X63" i="37" s="1"/>
  <c r="F63" i="19" s="1"/>
  <c r="W270" i="37"/>
  <c r="X270" i="37" s="1"/>
  <c r="F273" i="19" s="1"/>
  <c r="W205" i="37"/>
  <c r="X205" i="37" s="1"/>
  <c r="F207" i="19" s="1"/>
  <c r="W301" i="37"/>
  <c r="X301" i="37" s="1"/>
  <c r="F304" i="19" s="1"/>
  <c r="W288" i="37"/>
  <c r="X288" i="37" s="1"/>
  <c r="F291" i="19" s="1"/>
  <c r="W48" i="37"/>
  <c r="X48" i="37" s="1"/>
  <c r="F48" i="19" s="1"/>
  <c r="W223" i="37"/>
  <c r="X223" i="37" s="1"/>
  <c r="F225" i="19" s="1"/>
  <c r="W95" i="37"/>
  <c r="X95" i="37" s="1"/>
  <c r="F95" i="19" s="1"/>
  <c r="W297" i="37"/>
  <c r="X297" i="37" s="1"/>
  <c r="F300" i="19" s="1"/>
  <c r="W220" i="37"/>
  <c r="X220" i="37" s="1"/>
  <c r="F222" i="19" s="1"/>
  <c r="W6" i="37"/>
  <c r="X6" i="37" s="1"/>
  <c r="F6" i="19" s="1"/>
  <c r="W31" i="37"/>
  <c r="X31" i="37" s="1"/>
  <c r="F31" i="19" s="1"/>
  <c r="W186" i="37"/>
  <c r="X186" i="37" s="1"/>
  <c r="F187" i="19" s="1"/>
  <c r="W12" i="37"/>
  <c r="X12" i="37" s="1"/>
  <c r="F12" i="19" s="1"/>
  <c r="W115" i="37"/>
  <c r="X115" i="37" s="1"/>
  <c r="F116" i="19" s="1"/>
  <c r="W24" i="37"/>
  <c r="X24" i="37" s="1"/>
  <c r="F24" i="19" s="1"/>
  <c r="W294" i="37"/>
  <c r="X294" i="37" s="1"/>
  <c r="F297" i="19" s="1"/>
  <c r="W272" i="37"/>
  <c r="X272" i="37" s="1"/>
  <c r="F275" i="19" s="1"/>
  <c r="W196" i="37"/>
  <c r="X196" i="37" s="1"/>
  <c r="F198" i="19" s="1"/>
  <c r="W209" i="37"/>
  <c r="X209" i="37" s="1"/>
  <c r="F211" i="19" s="1"/>
  <c r="W178" i="37"/>
  <c r="X178" i="37" s="1"/>
  <c r="F179" i="19" s="1"/>
  <c r="W152" i="37"/>
  <c r="X152" i="37" s="1"/>
  <c r="F153" i="19" s="1"/>
  <c r="W249" i="37"/>
  <c r="X249" i="37" s="1"/>
  <c r="F252" i="19" s="1"/>
  <c r="W299" i="37"/>
  <c r="X299" i="37" s="1"/>
  <c r="F302" i="19" s="1"/>
  <c r="W271" i="37"/>
  <c r="X271" i="37" s="1"/>
  <c r="F274" i="19" s="1"/>
  <c r="W252" i="37"/>
  <c r="X252" i="37" s="1"/>
  <c r="F255" i="19" s="1"/>
  <c r="W80" i="37"/>
  <c r="X80" i="37" s="1"/>
  <c r="F80" i="19" s="1"/>
  <c r="W253" i="37"/>
  <c r="X253" i="37" s="1"/>
  <c r="F256" i="19" s="1"/>
  <c r="W84" i="37"/>
  <c r="X84" i="37" s="1"/>
  <c r="F84" i="19" s="1"/>
  <c r="W169" i="37"/>
  <c r="X169" i="37" s="1"/>
  <c r="F170" i="19" s="1"/>
  <c r="W260" i="37"/>
  <c r="X260" i="37" s="1"/>
  <c r="F263" i="19" s="1"/>
  <c r="W37" i="37"/>
  <c r="X37" i="37" s="1"/>
  <c r="F37" i="19" s="1"/>
  <c r="W122" i="37"/>
  <c r="X122" i="37" s="1"/>
  <c r="F123" i="19" s="1"/>
  <c r="W285" i="37"/>
  <c r="X285" i="37" s="1"/>
  <c r="F288" i="19" s="1"/>
  <c r="W28" i="37"/>
  <c r="X28" i="37" s="1"/>
  <c r="F28" i="19" s="1"/>
  <c r="W266" i="37"/>
  <c r="X266" i="37" s="1"/>
  <c r="F269" i="19" s="1"/>
  <c r="W306" i="37"/>
  <c r="X306" i="37" s="1"/>
  <c r="F309" i="19" s="1"/>
  <c r="W29" i="37"/>
  <c r="X29" i="37" s="1"/>
  <c r="F29" i="19" s="1"/>
  <c r="W50" i="37"/>
  <c r="X50" i="37" s="1"/>
  <c r="F50" i="19" s="1"/>
  <c r="W119" i="37"/>
  <c r="X119" i="37" s="1"/>
  <c r="F120" i="19" s="1"/>
  <c r="W33" i="37"/>
  <c r="X33" i="37" s="1"/>
  <c r="F33" i="19" s="1"/>
  <c r="W102" i="37"/>
  <c r="X102" i="37" s="1"/>
  <c r="F102" i="19" s="1"/>
  <c r="W26" i="37"/>
  <c r="X26" i="37" s="1"/>
  <c r="F26" i="19" s="1"/>
  <c r="W23" i="37"/>
  <c r="X23" i="37" s="1"/>
  <c r="F23" i="19" s="1"/>
  <c r="W145" i="37"/>
  <c r="X145" i="37" s="1"/>
  <c r="F146" i="19" s="1"/>
  <c r="W296" i="37"/>
  <c r="X296" i="37" s="1"/>
  <c r="F299" i="19" s="1"/>
  <c r="W68" i="37"/>
  <c r="X68" i="37" s="1"/>
  <c r="F68" i="19" s="1"/>
  <c r="W3" i="36" a="1"/>
  <c r="W3" i="36" s="1"/>
  <c r="X4" i="36"/>
  <c r="E4" i="19" s="1"/>
  <c r="C12" i="41" l="1"/>
  <c r="C11" i="41"/>
  <c r="E3" i="19"/>
  <c r="W4" i="39"/>
  <c r="X4" i="39" s="1"/>
  <c r="H4" i="19" s="1"/>
  <c r="W320" i="39"/>
  <c r="X320" i="39" s="1"/>
  <c r="W319" i="39"/>
  <c r="X319" i="39" s="1"/>
  <c r="Y320" i="38"/>
  <c r="G231" i="19"/>
  <c r="G106" i="19"/>
  <c r="Y319" i="38"/>
  <c r="Y320" i="37"/>
  <c r="F231" i="19"/>
  <c r="F106" i="19"/>
  <c r="Y319" i="37"/>
  <c r="Y295" i="37"/>
  <c r="Y29" i="37"/>
  <c r="Y48" i="37"/>
  <c r="Y51" i="37"/>
  <c r="Y308" i="37"/>
  <c r="Y30" i="37"/>
  <c r="Y245" i="37"/>
  <c r="Y79" i="37"/>
  <c r="Y187" i="37"/>
  <c r="Y109" i="37"/>
  <c r="Y130" i="37"/>
  <c r="Y311" i="37"/>
  <c r="Y9" i="38"/>
  <c r="Y236" i="38"/>
  <c r="Y294" i="38"/>
  <c r="Y73" i="38"/>
  <c r="Y266" i="37"/>
  <c r="Y209" i="37"/>
  <c r="Y301" i="37"/>
  <c r="Y293" i="37"/>
  <c r="Y171" i="37"/>
  <c r="Y61" i="37"/>
  <c r="Y156" i="37"/>
  <c r="Y267" i="37"/>
  <c r="Y298" i="37"/>
  <c r="Y60" i="37"/>
  <c r="Y276" i="37"/>
  <c r="Y52" i="37"/>
  <c r="Y17" i="37"/>
  <c r="Y126" i="37"/>
  <c r="Y318" i="37"/>
  <c r="Y247" i="37"/>
  <c r="Y105" i="37"/>
  <c r="Y82" i="37"/>
  <c r="Y55" i="37"/>
  <c r="Y81" i="38"/>
  <c r="Y211" i="38"/>
  <c r="Y90" i="38"/>
  <c r="Y176" i="38"/>
  <c r="Y160" i="38"/>
  <c r="Y27" i="38"/>
  <c r="Y82" i="38"/>
  <c r="Y318" i="38"/>
  <c r="Y42" i="38"/>
  <c r="Y289" i="38"/>
  <c r="Y23" i="38"/>
  <c r="Y194" i="38"/>
  <c r="Y66" i="38"/>
  <c r="Y306" i="38"/>
  <c r="Y299" i="38"/>
  <c r="Y48" i="38"/>
  <c r="Y130" i="38"/>
  <c r="Y110" i="38"/>
  <c r="Y32" i="38"/>
  <c r="Y93" i="38"/>
  <c r="Y164" i="38"/>
  <c r="Y58" i="38"/>
  <c r="Y157" i="38"/>
  <c r="Y182" i="38"/>
  <c r="Y242" i="38"/>
  <c r="Y102" i="37"/>
  <c r="Y270" i="37"/>
  <c r="Y157" i="37"/>
  <c r="Y44" i="37"/>
  <c r="Y222" i="37"/>
  <c r="Y54" i="37"/>
  <c r="Y65" i="37"/>
  <c r="Y202" i="37"/>
  <c r="Y37" i="37"/>
  <c r="Y231" i="37"/>
  <c r="Y152" i="37"/>
  <c r="Y75" i="37"/>
  <c r="Y35" i="37"/>
  <c r="Y305" i="37"/>
  <c r="Y128" i="37"/>
  <c r="Y56" i="37"/>
  <c r="Y193" i="37"/>
  <c r="Y88" i="37"/>
  <c r="Y170" i="37"/>
  <c r="Y107" i="37"/>
  <c r="Y259" i="37"/>
  <c r="Y116" i="37"/>
  <c r="Y290" i="38"/>
  <c r="Y139" i="38"/>
  <c r="Y298" i="38"/>
  <c r="Y108" i="38"/>
  <c r="Y314" i="38"/>
  <c r="Y86" i="38"/>
  <c r="Y279" i="38"/>
  <c r="Y227" i="38"/>
  <c r="Y172" i="38"/>
  <c r="Y34" i="38"/>
  <c r="Y98" i="38"/>
  <c r="Y253" i="38"/>
  <c r="Y271" i="38"/>
  <c r="Y23" i="37"/>
  <c r="Y253" i="37"/>
  <c r="Y31" i="37"/>
  <c r="Y127" i="37"/>
  <c r="Y248" i="37"/>
  <c r="Y39" i="37"/>
  <c r="Y246" i="37"/>
  <c r="Y167" i="37"/>
  <c r="Y78" i="37"/>
  <c r="Y262" i="37"/>
  <c r="Y280" i="37"/>
  <c r="Y59" i="37"/>
  <c r="Y198" i="37"/>
  <c r="Y112" i="37"/>
  <c r="Y279" i="37"/>
  <c r="Y240" i="37"/>
  <c r="Y184" i="37"/>
  <c r="Y125" i="37"/>
  <c r="Y141" i="37"/>
  <c r="Y275" i="37"/>
  <c r="Y153" i="37"/>
  <c r="Y304" i="38"/>
  <c r="Y105" i="38"/>
  <c r="Y188" i="38"/>
  <c r="Y78" i="38"/>
  <c r="Y219" i="38"/>
  <c r="Y250" i="38"/>
  <c r="Y169" i="38"/>
  <c r="Y13" i="38"/>
  <c r="Y296" i="38"/>
  <c r="Y87" i="38"/>
  <c r="Y196" i="38"/>
  <c r="Y57" i="38"/>
  <c r="Y262" i="38"/>
  <c r="Y133" i="38"/>
  <c r="Y26" i="37"/>
  <c r="Y28" i="37"/>
  <c r="Y80" i="37"/>
  <c r="Y196" i="37"/>
  <c r="Y6" i="37"/>
  <c r="Y205" i="37"/>
  <c r="Y175" i="37"/>
  <c r="Y217" i="37"/>
  <c r="Y97" i="37"/>
  <c r="Y163" i="37"/>
  <c r="Y317" i="37"/>
  <c r="Y151" i="37"/>
  <c r="Y136" i="37"/>
  <c r="Y242" i="37"/>
  <c r="Y66" i="37"/>
  <c r="Y87" i="37"/>
  <c r="Y243" i="37"/>
  <c r="Y150" i="37"/>
  <c r="Y21" i="37"/>
  <c r="Y212" i="37"/>
  <c r="Y256" i="37"/>
  <c r="Y91" i="37"/>
  <c r="Y139" i="37"/>
  <c r="Y18" i="37"/>
  <c r="Y237" i="37"/>
  <c r="Y234" i="37"/>
  <c r="Y32" i="37"/>
  <c r="Y159" i="37"/>
  <c r="Y160" i="37"/>
  <c r="Y172" i="37"/>
  <c r="Y96" i="37"/>
  <c r="Y146" i="37"/>
  <c r="Y250" i="37"/>
  <c r="Y268" i="37"/>
  <c r="Y58" i="37"/>
  <c r="Y194" i="37"/>
  <c r="Y283" i="37"/>
  <c r="Y251" i="37"/>
  <c r="Y215" i="37"/>
  <c r="Y113" i="38"/>
  <c r="Y40" i="38"/>
  <c r="Y195" i="38"/>
  <c r="Y233" i="38"/>
  <c r="Y214" i="38"/>
  <c r="Y307" i="38"/>
  <c r="Y37" i="38"/>
  <c r="Y149" i="38"/>
  <c r="Y292" i="38"/>
  <c r="Y278" i="38"/>
  <c r="Y77" i="38"/>
  <c r="Y232" i="38"/>
  <c r="Y118" i="38"/>
  <c r="Y209" i="38"/>
  <c r="Y128" i="38"/>
  <c r="Y111" i="38"/>
  <c r="Y235" i="38"/>
  <c r="Y85" i="38"/>
  <c r="Y24" i="38"/>
  <c r="Y29" i="38"/>
  <c r="Y206" i="38"/>
  <c r="Y248" i="38"/>
  <c r="Y313" i="38"/>
  <c r="Y283" i="38"/>
  <c r="Y243" i="38"/>
  <c r="Y252" i="38"/>
  <c r="Y272" i="38"/>
  <c r="Y153" i="38"/>
  <c r="Y184" i="38"/>
  <c r="Y315" i="38"/>
  <c r="Y7" i="38"/>
  <c r="Y55" i="38"/>
  <c r="Y144" i="38"/>
  <c r="Y50" i="38"/>
  <c r="Y47" i="38"/>
  <c r="Y141" i="38"/>
  <c r="Y258" i="38"/>
  <c r="Y161" i="38"/>
  <c r="Y272" i="37"/>
  <c r="Y230" i="37"/>
  <c r="Y190" i="37"/>
  <c r="Y286" i="37"/>
  <c r="Y53" i="37"/>
  <c r="Y69" i="37"/>
  <c r="Y47" i="37"/>
  <c r="Y285" i="38"/>
  <c r="Y15" i="38"/>
  <c r="Y222" i="38"/>
  <c r="Y246" i="38"/>
  <c r="Y41" i="38"/>
  <c r="Y205" i="38"/>
  <c r="Y60" i="38"/>
  <c r="Y178" i="38"/>
  <c r="Y171" i="38"/>
  <c r="Y59" i="38"/>
  <c r="Y208" i="38"/>
  <c r="Y244" i="38"/>
  <c r="Y216" i="38"/>
  <c r="Y224" i="38"/>
  <c r="Y237" i="38"/>
  <c r="Y28" i="38"/>
  <c r="Y12" i="38"/>
  <c r="Y261" i="38"/>
  <c r="Y312" i="38"/>
  <c r="Y99" i="38"/>
  <c r="Y121" i="38"/>
  <c r="Y122" i="38"/>
  <c r="Y143" i="38"/>
  <c r="Y223" i="38"/>
  <c r="Y70" i="38"/>
  <c r="Y228" i="38"/>
  <c r="Y46" i="38"/>
  <c r="Y212" i="38"/>
  <c r="Y159" i="38"/>
  <c r="Y291" i="38"/>
  <c r="Y56" i="38"/>
  <c r="Y142" i="38"/>
  <c r="Y240" i="38"/>
  <c r="Y263" i="38"/>
  <c r="Y102" i="38"/>
  <c r="Y260" i="38"/>
  <c r="Y33" i="37"/>
  <c r="Y122" i="37"/>
  <c r="Y271" i="37"/>
  <c r="Y294" i="37"/>
  <c r="Y297" i="37"/>
  <c r="Y63" i="37"/>
  <c r="Y191" i="37"/>
  <c r="Y77" i="37"/>
  <c r="Y316" i="37"/>
  <c r="Y180" i="37"/>
  <c r="Y137" i="37"/>
  <c r="Y254" i="37"/>
  <c r="Y208" i="37"/>
  <c r="Y123" i="37"/>
  <c r="Y165" i="37"/>
  <c r="Y195" i="37"/>
  <c r="Y206" i="37"/>
  <c r="Y161" i="37"/>
  <c r="Y207" i="37"/>
  <c r="Y131" i="37"/>
  <c r="Y132" i="37"/>
  <c r="Y290" i="37"/>
  <c r="Y277" i="37"/>
  <c r="Y168" i="37"/>
  <c r="Y92" i="37"/>
  <c r="Y144" i="37"/>
  <c r="Y265" i="37"/>
  <c r="Y232" i="37"/>
  <c r="Y219" i="37"/>
  <c r="Y162" i="37"/>
  <c r="Y281" i="37"/>
  <c r="Y214" i="37"/>
  <c r="Y38" i="37"/>
  <c r="Y176" i="37"/>
  <c r="Y241" i="37"/>
  <c r="Y274" i="37"/>
  <c r="Y227" i="37"/>
  <c r="Y291" i="37"/>
  <c r="Y89" i="37"/>
  <c r="Y150" i="38"/>
  <c r="Y17" i="38"/>
  <c r="Y63" i="38"/>
  <c r="Y238" i="38"/>
  <c r="Y316" i="38"/>
  <c r="Y293" i="38"/>
  <c r="Y38" i="38"/>
  <c r="Y74" i="38"/>
  <c r="Y129" i="38"/>
  <c r="Y215" i="38"/>
  <c r="Y305" i="38"/>
  <c r="Y75" i="38"/>
  <c r="Y116" i="38"/>
  <c r="Y181" i="38"/>
  <c r="Y247" i="38"/>
  <c r="Y61" i="38"/>
  <c r="Y180" i="38"/>
  <c r="Y259" i="38"/>
  <c r="Y8" i="38"/>
  <c r="Y89" i="38"/>
  <c r="Y165" i="38"/>
  <c r="Y300" i="38"/>
  <c r="Y33" i="38"/>
  <c r="Y175" i="38"/>
  <c r="Y31" i="38"/>
  <c r="Y286" i="38"/>
  <c r="Y162" i="38"/>
  <c r="Y255" i="38"/>
  <c r="Y256" i="38"/>
  <c r="Y167" i="38"/>
  <c r="Y254" i="38"/>
  <c r="Y11" i="38"/>
  <c r="Y277" i="38"/>
  <c r="Y189" i="38"/>
  <c r="Y187" i="38"/>
  <c r="Y54" i="38"/>
  <c r="Y297" i="38"/>
  <c r="Y19" i="38"/>
  <c r="Y20" i="38"/>
  <c r="Y115" i="38"/>
  <c r="Y140" i="37"/>
  <c r="Y90" i="37"/>
  <c r="Y121" i="37"/>
  <c r="Y86" i="37"/>
  <c r="Y106" i="37"/>
  <c r="Y190" i="38"/>
  <c r="Y95" i="37"/>
  <c r="Y226" i="37"/>
  <c r="Y239" i="37"/>
  <c r="Y67" i="37"/>
  <c r="Y147" i="37"/>
  <c r="Y103" i="37"/>
  <c r="Y204" i="37"/>
  <c r="Y197" i="37"/>
  <c r="Y83" i="37"/>
  <c r="Y307" i="37"/>
  <c r="Y158" i="37"/>
  <c r="Y273" i="37"/>
  <c r="Y300" i="37"/>
  <c r="Y229" i="37"/>
  <c r="Y185" i="37"/>
  <c r="Y5" i="37"/>
  <c r="Y134" i="38"/>
  <c r="Y266" i="38"/>
  <c r="Y10" i="38"/>
  <c r="Y152" i="38"/>
  <c r="Y275" i="38"/>
  <c r="Y155" i="38"/>
  <c r="Y16" i="38"/>
  <c r="Y79" i="38"/>
  <c r="Y265" i="38"/>
  <c r="Y267" i="38"/>
  <c r="Y192" i="38"/>
  <c r="Y163" i="38"/>
  <c r="Y285" i="37"/>
  <c r="Y263" i="37"/>
  <c r="Y200" i="37"/>
  <c r="Y142" i="37"/>
  <c r="Y225" i="37"/>
  <c r="Y312" i="37"/>
  <c r="Y303" i="37"/>
  <c r="Y203" i="37"/>
  <c r="Y119" i="37"/>
  <c r="Y40" i="37"/>
  <c r="Y8" i="37"/>
  <c r="Y210" i="37"/>
  <c r="Y269" i="37"/>
  <c r="Y43" i="37"/>
  <c r="Y10" i="37"/>
  <c r="Y74" i="37"/>
  <c r="Y117" i="37"/>
  <c r="Y211" i="37"/>
  <c r="Y62" i="37"/>
  <c r="Y199" i="37"/>
  <c r="Y233" i="37"/>
  <c r="Y310" i="37"/>
  <c r="Y261" i="37"/>
  <c r="Y244" i="37"/>
  <c r="Y143" i="37"/>
  <c r="Y94" i="37"/>
  <c r="Y310" i="38"/>
  <c r="Y303" i="38"/>
  <c r="Y125" i="38"/>
  <c r="Y53" i="38"/>
  <c r="Y14" i="38"/>
  <c r="Y112" i="38"/>
  <c r="Y107" i="38"/>
  <c r="Y137" i="38"/>
  <c r="Y72" i="38"/>
  <c r="Y156" i="38"/>
  <c r="Y308" i="38"/>
  <c r="Y114" i="38"/>
  <c r="Y44" i="38"/>
  <c r="Y301" i="38"/>
  <c r="Y257" i="38"/>
  <c r="Y270" i="38"/>
  <c r="Y45" i="38"/>
  <c r="Y52" i="38"/>
  <c r="Y67" i="38"/>
  <c r="Y62" i="38"/>
  <c r="Y91" i="38"/>
  <c r="Y309" i="38"/>
  <c r="Y97" i="38"/>
  <c r="Y200" i="38"/>
  <c r="Y218" i="38"/>
  <c r="Y274" i="38"/>
  <c r="Y158" i="38"/>
  <c r="Y201" i="38"/>
  <c r="Y68" i="37"/>
  <c r="Y50" i="37"/>
  <c r="Y260" i="37"/>
  <c r="Y249" i="37"/>
  <c r="Y115" i="37"/>
  <c r="Y223" i="37"/>
  <c r="Y99" i="37"/>
  <c r="Y100" i="37"/>
  <c r="Y120" i="37"/>
  <c r="Y173" i="37"/>
  <c r="Y238" i="37"/>
  <c r="Y188" i="37"/>
  <c r="Y81" i="37"/>
  <c r="Y315" i="37"/>
  <c r="Y36" i="37"/>
  <c r="Y192" i="37"/>
  <c r="Y113" i="37"/>
  <c r="Y110" i="37"/>
  <c r="Y7" i="37"/>
  <c r="Y134" i="37"/>
  <c r="Y278" i="37"/>
  <c r="Y189" i="37"/>
  <c r="Y71" i="37"/>
  <c r="Y49" i="37"/>
  <c r="Y182" i="37"/>
  <c r="Y19" i="37"/>
  <c r="Y313" i="37"/>
  <c r="Y57" i="37"/>
  <c r="Y292" i="37"/>
  <c r="Y221" i="37"/>
  <c r="Y72" i="37"/>
  <c r="Y164" i="37"/>
  <c r="Y213" i="37"/>
  <c r="Y179" i="37"/>
  <c r="Y114" i="37"/>
  <c r="Y111" i="37"/>
  <c r="Y85" i="37"/>
  <c r="Y25" i="37"/>
  <c r="Y129" i="37"/>
  <c r="Y221" i="38"/>
  <c r="Y117" i="38"/>
  <c r="Y241" i="38"/>
  <c r="Y226" i="38"/>
  <c r="Y198" i="38"/>
  <c r="Y295" i="38"/>
  <c r="Y197" i="38"/>
  <c r="Y6" i="38"/>
  <c r="Y119" i="38"/>
  <c r="Y80" i="38"/>
  <c r="Y138" i="38"/>
  <c r="Y269" i="38"/>
  <c r="Y92" i="38"/>
  <c r="Y217" i="38"/>
  <c r="Y213" i="38"/>
  <c r="Y202" i="38"/>
  <c r="Y69" i="38"/>
  <c r="Y203" i="38"/>
  <c r="Y234" i="38"/>
  <c r="Y273" i="38"/>
  <c r="Y284" i="38"/>
  <c r="Y282" i="38"/>
  <c r="Y276" i="38"/>
  <c r="Y101" i="38"/>
  <c r="Y36" i="38"/>
  <c r="Y76" i="38"/>
  <c r="Y231" i="38"/>
  <c r="Y135" i="38"/>
  <c r="Y207" i="38"/>
  <c r="Y131" i="38"/>
  <c r="Y287" i="38"/>
  <c r="Y5" i="38"/>
  <c r="Y166" i="38"/>
  <c r="Y245" i="38"/>
  <c r="Y145" i="38"/>
  <c r="Y104" i="38"/>
  <c r="Y71" i="38"/>
  <c r="Y154" i="38"/>
  <c r="Y174" i="38"/>
  <c r="Y280" i="38"/>
  <c r="Y220" i="37"/>
  <c r="Y181" i="37"/>
  <c r="Y22" i="37"/>
  <c r="Y138" i="37"/>
  <c r="Y146" i="38"/>
  <c r="Y24" i="37"/>
  <c r="Y169" i="37"/>
  <c r="Y45" i="37"/>
  <c r="Y13" i="37"/>
  <c r="Y9" i="37"/>
  <c r="Y93" i="37"/>
  <c r="Y257" i="37"/>
  <c r="Y154" i="37"/>
  <c r="Y287" i="37"/>
  <c r="Y30" i="38"/>
  <c r="Y210" i="38"/>
  <c r="Y123" i="38"/>
  <c r="Y43" i="38"/>
  <c r="Y25" i="38"/>
  <c r="Y317" i="38"/>
  <c r="Y51" i="38"/>
  <c r="Y35" i="38"/>
  <c r="Y95" i="38"/>
  <c r="Y220" i="38"/>
  <c r="Y96" i="38"/>
  <c r="Y26" i="38"/>
  <c r="Y252" i="37"/>
  <c r="Y41" i="37"/>
  <c r="Y76" i="37"/>
  <c r="Y177" i="37"/>
  <c r="Y118" i="37"/>
  <c r="Y16" i="37"/>
  <c r="Y136" i="38"/>
  <c r="Y299" i="37"/>
  <c r="Y296" i="37"/>
  <c r="Y12" i="37"/>
  <c r="Y27" i="37"/>
  <c r="Y258" i="37"/>
  <c r="Y15" i="37"/>
  <c r="Y155" i="37"/>
  <c r="Y14" i="37"/>
  <c r="Y104" i="37"/>
  <c r="Y218" i="37"/>
  <c r="Y173" i="38"/>
  <c r="Y199" i="38"/>
  <c r="Y268" i="38"/>
  <c r="Y264" i="38"/>
  <c r="Y177" i="38"/>
  <c r="Y147" i="38"/>
  <c r="Y84" i="38"/>
  <c r="Y225" i="38"/>
  <c r="Y127" i="38"/>
  <c r="Y94" i="38"/>
  <c r="Y145" i="37"/>
  <c r="Y306" i="37"/>
  <c r="Y84" i="37"/>
  <c r="Y178" i="37"/>
  <c r="Y186" i="37"/>
  <c r="Y288" i="37"/>
  <c r="Y20" i="37"/>
  <c r="Y255" i="37"/>
  <c r="Y148" i="37"/>
  <c r="Y264" i="37"/>
  <c r="Y235" i="37"/>
  <c r="Y73" i="37"/>
  <c r="Y166" i="37"/>
  <c r="Y42" i="37"/>
  <c r="Y201" i="37"/>
  <c r="Y216" i="37"/>
  <c r="Y302" i="37"/>
  <c r="Y101" i="37"/>
  <c r="Y224" i="37"/>
  <c r="Y282" i="37"/>
  <c r="Y289" i="37"/>
  <c r="Y284" i="37"/>
  <c r="Y46" i="37"/>
  <c r="Y183" i="37"/>
  <c r="Y70" i="37"/>
  <c r="Y133" i="37"/>
  <c r="Y98" i="37"/>
  <c r="Y304" i="37"/>
  <c r="Y228" i="37"/>
  <c r="Y149" i="37"/>
  <c r="Y108" i="37"/>
  <c r="Y11" i="37"/>
  <c r="Y236" i="37"/>
  <c r="Y314" i="37"/>
  <c r="Y64" i="37"/>
  <c r="Y34" i="37"/>
  <c r="Y174" i="37"/>
  <c r="Y309" i="37"/>
  <c r="Y124" i="37"/>
  <c r="Y135" i="37"/>
  <c r="Y106" i="38"/>
  <c r="Y103" i="38"/>
  <c r="Y21" i="38"/>
  <c r="Y126" i="38"/>
  <c r="Y124" i="38"/>
  <c r="Y39" i="38"/>
  <c r="Y109" i="38"/>
  <c r="Y64" i="38"/>
  <c r="Y311" i="38"/>
  <c r="Y140" i="38"/>
  <c r="Y49" i="38"/>
  <c r="Y68" i="38"/>
  <c r="Y168" i="38"/>
  <c r="Y65" i="38"/>
  <c r="Y239" i="38"/>
  <c r="Y288" i="38"/>
  <c r="Y132" i="38"/>
  <c r="Y230" i="38"/>
  <c r="Y229" i="38"/>
  <c r="Y170" i="38"/>
  <c r="Y120" i="38"/>
  <c r="Y88" i="38"/>
  <c r="Y148" i="38"/>
  <c r="Y251" i="38"/>
  <c r="Y83" i="38"/>
  <c r="Y281" i="38"/>
  <c r="Y22" i="38"/>
  <c r="Y193" i="38"/>
  <c r="Y151" i="38"/>
  <c r="Y179" i="38"/>
  <c r="Y191" i="38"/>
  <c r="Y18" i="38"/>
  <c r="Y249" i="38"/>
  <c r="Y204" i="38"/>
  <c r="Y183" i="38"/>
  <c r="Y100" i="38"/>
  <c r="Y302" i="38"/>
  <c r="Y185" i="38"/>
  <c r="Y186" i="38"/>
  <c r="W159" i="39"/>
  <c r="X159" i="39" s="1"/>
  <c r="H160" i="19" s="1"/>
  <c r="W113" i="39"/>
  <c r="X113" i="39" s="1"/>
  <c r="H114" i="19" s="1"/>
  <c r="W12" i="39"/>
  <c r="X12" i="39" s="1"/>
  <c r="H12" i="19" s="1"/>
  <c r="W109" i="39"/>
  <c r="X109" i="39" s="1"/>
  <c r="H110" i="19" s="1"/>
  <c r="W56" i="39"/>
  <c r="X56" i="39" s="1"/>
  <c r="H56" i="19" s="1"/>
  <c r="W293" i="39"/>
  <c r="X293" i="39" s="1"/>
  <c r="H296" i="19" s="1"/>
  <c r="W27" i="39"/>
  <c r="X27" i="39" s="1"/>
  <c r="H27" i="19" s="1"/>
  <c r="W145" i="39"/>
  <c r="X145" i="39" s="1"/>
  <c r="H146" i="19" s="1"/>
  <c r="W84" i="39"/>
  <c r="X84" i="39" s="1"/>
  <c r="H84" i="19" s="1"/>
  <c r="W286" i="39"/>
  <c r="X286" i="39" s="1"/>
  <c r="H289" i="19" s="1"/>
  <c r="W7" i="39"/>
  <c r="X7" i="39" s="1"/>
  <c r="H7" i="19" s="1"/>
  <c r="W8" i="39"/>
  <c r="X8" i="39" s="1"/>
  <c r="H8" i="19" s="1"/>
  <c r="W22" i="39"/>
  <c r="X22" i="39" s="1"/>
  <c r="H22" i="19" s="1"/>
  <c r="W16" i="39"/>
  <c r="X16" i="39" s="1"/>
  <c r="H16" i="19" s="1"/>
  <c r="W233" i="39"/>
  <c r="X233" i="39" s="1"/>
  <c r="H236" i="19" s="1"/>
  <c r="W97" i="39"/>
  <c r="X97" i="39" s="1"/>
  <c r="H97" i="19" s="1"/>
  <c r="W316" i="39"/>
  <c r="X316" i="39" s="1"/>
  <c r="H319" i="19" s="1"/>
  <c r="W26" i="39"/>
  <c r="X26" i="39" s="1"/>
  <c r="H26" i="19" s="1"/>
  <c r="W57" i="39"/>
  <c r="X57" i="39" s="1"/>
  <c r="H57" i="19" s="1"/>
  <c r="W160" i="39"/>
  <c r="X160" i="39" s="1"/>
  <c r="H161" i="19" s="1"/>
  <c r="W50" i="39"/>
  <c r="X50" i="39" s="1"/>
  <c r="H50" i="19" s="1"/>
  <c r="W176" i="39"/>
  <c r="X176" i="39" s="1"/>
  <c r="H177" i="19" s="1"/>
  <c r="W283" i="39"/>
  <c r="X283" i="39" s="1"/>
  <c r="H286" i="19" s="1"/>
  <c r="W59" i="39"/>
  <c r="X59" i="39" s="1"/>
  <c r="H59" i="19" s="1"/>
  <c r="W225" i="39"/>
  <c r="X225" i="39" s="1"/>
  <c r="H227" i="19" s="1"/>
  <c r="W219" i="39"/>
  <c r="X219" i="39" s="1"/>
  <c r="H221" i="19" s="1"/>
  <c r="W178" i="39"/>
  <c r="X178" i="39" s="1"/>
  <c r="H179" i="19" s="1"/>
  <c r="W180" i="39"/>
  <c r="X180" i="39" s="1"/>
  <c r="H181" i="19" s="1"/>
  <c r="W279" i="39"/>
  <c r="X279" i="39" s="1"/>
  <c r="H282" i="19" s="1"/>
  <c r="W94" i="39"/>
  <c r="X94" i="39" s="1"/>
  <c r="H94" i="19" s="1"/>
  <c r="W152" i="39"/>
  <c r="X152" i="39" s="1"/>
  <c r="H153" i="19" s="1"/>
  <c r="W96" i="39"/>
  <c r="X96" i="39" s="1"/>
  <c r="H96" i="19" s="1"/>
  <c r="W261" i="39"/>
  <c r="X261" i="39" s="1"/>
  <c r="H264" i="19" s="1"/>
  <c r="W42" i="39"/>
  <c r="X42" i="39" s="1"/>
  <c r="H42" i="19" s="1"/>
  <c r="W217" i="39"/>
  <c r="X217" i="39" s="1"/>
  <c r="H219" i="19" s="1"/>
  <c r="W194" i="39"/>
  <c r="X194" i="39" s="1"/>
  <c r="H196" i="19" s="1"/>
  <c r="W226" i="39"/>
  <c r="X226" i="39" s="1"/>
  <c r="H228" i="19" s="1"/>
  <c r="W184" i="39"/>
  <c r="X184" i="39" s="1"/>
  <c r="H185" i="19" s="1"/>
  <c r="W37" i="39"/>
  <c r="X37" i="39" s="1"/>
  <c r="H37" i="19" s="1"/>
  <c r="W34" i="39"/>
  <c r="X34" i="39" s="1"/>
  <c r="H34" i="19" s="1"/>
  <c r="W200" i="39"/>
  <c r="X200" i="39" s="1"/>
  <c r="H202" i="19" s="1"/>
  <c r="W136" i="39"/>
  <c r="X136" i="39" s="1"/>
  <c r="H137" i="19" s="1"/>
  <c r="W158" i="39"/>
  <c r="X158" i="39" s="1"/>
  <c r="H159" i="19" s="1"/>
  <c r="W251" i="39"/>
  <c r="X251" i="39" s="1"/>
  <c r="H254" i="19" s="1"/>
  <c r="W212" i="39"/>
  <c r="X212" i="39" s="1"/>
  <c r="H214" i="19" s="1"/>
  <c r="W119" i="39"/>
  <c r="X119" i="39" s="1"/>
  <c r="H120" i="19" s="1"/>
  <c r="W307" i="39"/>
  <c r="X307" i="39" s="1"/>
  <c r="H310" i="19" s="1"/>
  <c r="W75" i="39"/>
  <c r="X75" i="39" s="1"/>
  <c r="H75" i="19" s="1"/>
  <c r="W164" i="39"/>
  <c r="X164" i="39" s="1"/>
  <c r="H165" i="19" s="1"/>
  <c r="W292" i="39"/>
  <c r="X292" i="39" s="1"/>
  <c r="H295" i="19" s="1"/>
  <c r="W266" i="39"/>
  <c r="X266" i="39" s="1"/>
  <c r="H269" i="19" s="1"/>
  <c r="W41" i="39"/>
  <c r="X41" i="39" s="1"/>
  <c r="H41" i="19" s="1"/>
  <c r="W78" i="39"/>
  <c r="X78" i="39" s="1"/>
  <c r="H78" i="19" s="1"/>
  <c r="W167" i="39"/>
  <c r="X167" i="39" s="1"/>
  <c r="H168" i="19" s="1"/>
  <c r="W100" i="39"/>
  <c r="X100" i="39" s="1"/>
  <c r="H100" i="19" s="1"/>
  <c r="W318" i="39"/>
  <c r="X318" i="39" s="1"/>
  <c r="H195" i="19" s="1"/>
  <c r="W134" i="39"/>
  <c r="X134" i="39" s="1"/>
  <c r="H135" i="19" s="1"/>
  <c r="W294" i="39"/>
  <c r="X294" i="39" s="1"/>
  <c r="H297" i="19" s="1"/>
  <c r="W102" i="39"/>
  <c r="X102" i="39" s="1"/>
  <c r="H102" i="19" s="1"/>
  <c r="W185" i="39"/>
  <c r="X185" i="39" s="1"/>
  <c r="H186" i="19" s="1"/>
  <c r="W291" i="39"/>
  <c r="X291" i="39" s="1"/>
  <c r="H294" i="19" s="1"/>
  <c r="W155" i="39"/>
  <c r="X155" i="39" s="1"/>
  <c r="H156" i="19" s="1"/>
  <c r="W68" i="39"/>
  <c r="X68" i="39" s="1"/>
  <c r="H68" i="19" s="1"/>
  <c r="W188" i="39"/>
  <c r="X188" i="39" s="1"/>
  <c r="H189" i="19" s="1"/>
  <c r="W74" i="39"/>
  <c r="X74" i="39" s="1"/>
  <c r="H74" i="19" s="1"/>
  <c r="W303" i="39"/>
  <c r="X303" i="39" s="1"/>
  <c r="H306" i="19" s="1"/>
  <c r="W70" i="39"/>
  <c r="X70" i="39" s="1"/>
  <c r="H70" i="19" s="1"/>
  <c r="W228" i="39"/>
  <c r="X228" i="39" s="1"/>
  <c r="H230" i="19" s="1"/>
  <c r="W230" i="39"/>
  <c r="X230" i="39" s="1"/>
  <c r="H233" i="19" s="1"/>
  <c r="W214" i="39"/>
  <c r="X214" i="39" s="1"/>
  <c r="H216" i="19" s="1"/>
  <c r="W284" i="39"/>
  <c r="X284" i="39" s="1"/>
  <c r="H287" i="19" s="1"/>
  <c r="W121" i="39"/>
  <c r="X121" i="39" s="1"/>
  <c r="H122" i="19" s="1"/>
  <c r="W309" i="39"/>
  <c r="X309" i="39" s="1"/>
  <c r="H312" i="19" s="1"/>
  <c r="W218" i="39"/>
  <c r="X218" i="39" s="1"/>
  <c r="H220" i="19" s="1"/>
  <c r="W79" i="39"/>
  <c r="X79" i="39" s="1"/>
  <c r="H79" i="19" s="1"/>
  <c r="W313" i="39"/>
  <c r="X313" i="39" s="1"/>
  <c r="H316" i="19" s="1"/>
  <c r="W90" i="39"/>
  <c r="X90" i="39" s="1"/>
  <c r="H90" i="19" s="1"/>
  <c r="W250" i="39"/>
  <c r="X250" i="39" s="1"/>
  <c r="H253" i="19" s="1"/>
  <c r="W247" i="39"/>
  <c r="X247" i="39" s="1"/>
  <c r="H250" i="19" s="1"/>
  <c r="W61" i="39"/>
  <c r="X61" i="39" s="1"/>
  <c r="H61" i="19" s="1"/>
  <c r="W203" i="39"/>
  <c r="X203" i="39" s="1"/>
  <c r="H205" i="19" s="1"/>
  <c r="W157" i="39"/>
  <c r="X157" i="39" s="1"/>
  <c r="H158" i="19" s="1"/>
  <c r="W107" i="39"/>
  <c r="X107" i="39" s="1"/>
  <c r="H108" i="19" s="1"/>
  <c r="W270" i="39"/>
  <c r="X270" i="39" s="1"/>
  <c r="H273" i="19" s="1"/>
  <c r="W24" i="39"/>
  <c r="X24" i="39" s="1"/>
  <c r="H24" i="19" s="1"/>
  <c r="W126" i="39"/>
  <c r="X126" i="39" s="1"/>
  <c r="H127" i="19" s="1"/>
  <c r="W148" i="39"/>
  <c r="X148" i="39" s="1"/>
  <c r="H149" i="19" s="1"/>
  <c r="W11" i="39"/>
  <c r="X11" i="39" s="1"/>
  <c r="H11" i="19" s="1"/>
  <c r="W201" i="39"/>
  <c r="X201" i="39" s="1"/>
  <c r="H203" i="19" s="1"/>
  <c r="W272" i="39"/>
  <c r="X272" i="39" s="1"/>
  <c r="H275" i="19" s="1"/>
  <c r="W277" i="39"/>
  <c r="X277" i="39" s="1"/>
  <c r="H280" i="19" s="1"/>
  <c r="W215" i="39"/>
  <c r="X215" i="39" s="1"/>
  <c r="H217" i="19" s="1"/>
  <c r="W186" i="39"/>
  <c r="X186" i="39" s="1"/>
  <c r="H187" i="19" s="1"/>
  <c r="W111" i="39"/>
  <c r="X111" i="39" s="1"/>
  <c r="H112" i="19" s="1"/>
  <c r="W210" i="39"/>
  <c r="X210" i="39" s="1"/>
  <c r="H212" i="19" s="1"/>
  <c r="W36" i="39"/>
  <c r="X36" i="39" s="1"/>
  <c r="H36" i="19" s="1"/>
  <c r="W31" i="39"/>
  <c r="X31" i="39" s="1"/>
  <c r="H31" i="19" s="1"/>
  <c r="W244" i="39"/>
  <c r="X244" i="39" s="1"/>
  <c r="H247" i="19" s="1"/>
  <c r="W262" i="39"/>
  <c r="X262" i="39" s="1"/>
  <c r="H265" i="19" s="1"/>
  <c r="W49" i="39"/>
  <c r="X49" i="39" s="1"/>
  <c r="H49" i="19" s="1"/>
  <c r="W282" i="39"/>
  <c r="X282" i="39" s="1"/>
  <c r="H285" i="19" s="1"/>
  <c r="W46" i="39"/>
  <c r="X46" i="39" s="1"/>
  <c r="H46" i="19" s="1"/>
  <c r="W137" i="39"/>
  <c r="X137" i="39" s="1"/>
  <c r="H138" i="19" s="1"/>
  <c r="W220" i="39"/>
  <c r="X220" i="39" s="1"/>
  <c r="H222" i="19" s="1"/>
  <c r="W73" i="39"/>
  <c r="X73" i="39" s="1"/>
  <c r="H73" i="19" s="1"/>
  <c r="W10" i="39"/>
  <c r="X10" i="39" s="1"/>
  <c r="H10" i="19" s="1"/>
  <c r="W245" i="39"/>
  <c r="X245" i="39" s="1"/>
  <c r="H248" i="19" s="1"/>
  <c r="W142" i="39"/>
  <c r="X142" i="39" s="1"/>
  <c r="H143" i="19" s="1"/>
  <c r="W257" i="39"/>
  <c r="X257" i="39" s="1"/>
  <c r="H260" i="19" s="1"/>
  <c r="W147" i="39"/>
  <c r="X147" i="39" s="1"/>
  <c r="H148" i="19" s="1"/>
  <c r="W125" i="39"/>
  <c r="X125" i="39" s="1"/>
  <c r="H126" i="19" s="1"/>
  <c r="W213" i="39"/>
  <c r="X213" i="39" s="1"/>
  <c r="H215" i="19" s="1"/>
  <c r="W171" i="39"/>
  <c r="X171" i="39" s="1"/>
  <c r="H172" i="19" s="1"/>
  <c r="W131" i="39"/>
  <c r="X131" i="39" s="1"/>
  <c r="H132" i="19" s="1"/>
  <c r="W5" i="39"/>
  <c r="X5" i="39" s="1"/>
  <c r="H5" i="19" s="1"/>
  <c r="W274" i="39"/>
  <c r="X274" i="39" s="1"/>
  <c r="H277" i="19" s="1"/>
  <c r="W165" i="39"/>
  <c r="X165" i="39" s="1"/>
  <c r="H166" i="19" s="1"/>
  <c r="W150" i="39"/>
  <c r="X150" i="39" s="1"/>
  <c r="H151" i="19" s="1"/>
  <c r="W82" i="39"/>
  <c r="X82" i="39" s="1"/>
  <c r="H82" i="19" s="1"/>
  <c r="W166" i="39"/>
  <c r="X166" i="39" s="1"/>
  <c r="H167" i="19" s="1"/>
  <c r="W139" i="39"/>
  <c r="X139" i="39" s="1"/>
  <c r="H140" i="19" s="1"/>
  <c r="W196" i="39"/>
  <c r="X196" i="39" s="1"/>
  <c r="H198" i="19" s="1"/>
  <c r="W243" i="39"/>
  <c r="X243" i="39" s="1"/>
  <c r="H246" i="19" s="1"/>
  <c r="W173" i="39"/>
  <c r="X173" i="39" s="1"/>
  <c r="H174" i="19" s="1"/>
  <c r="W153" i="39"/>
  <c r="X153" i="39" s="1"/>
  <c r="H154" i="19" s="1"/>
  <c r="W204" i="39"/>
  <c r="X204" i="39" s="1"/>
  <c r="H206" i="19" s="1"/>
  <c r="W65" i="39"/>
  <c r="X65" i="39" s="1"/>
  <c r="H65" i="19" s="1"/>
  <c r="W80" i="39"/>
  <c r="X80" i="39" s="1"/>
  <c r="H80" i="19" s="1"/>
  <c r="W117" i="39"/>
  <c r="X117" i="39" s="1"/>
  <c r="H118" i="19" s="1"/>
  <c r="W54" i="39"/>
  <c r="X54" i="39" s="1"/>
  <c r="H54" i="19" s="1"/>
  <c r="W281" i="39"/>
  <c r="X281" i="39" s="1"/>
  <c r="H284" i="19" s="1"/>
  <c r="W63" i="39"/>
  <c r="X63" i="39" s="1"/>
  <c r="H63" i="19" s="1"/>
  <c r="W304" i="39"/>
  <c r="X304" i="39" s="1"/>
  <c r="H307" i="19" s="1"/>
  <c r="W192" i="39"/>
  <c r="X192" i="39" s="1"/>
  <c r="H193" i="19" s="1"/>
  <c r="W202" i="39"/>
  <c r="X202" i="39" s="1"/>
  <c r="H204" i="19" s="1"/>
  <c r="W259" i="39"/>
  <c r="X259" i="39" s="1"/>
  <c r="H262" i="19" s="1"/>
  <c r="W288" i="39"/>
  <c r="X288" i="39" s="1"/>
  <c r="H291" i="19" s="1"/>
  <c r="W115" i="39"/>
  <c r="X115" i="39" s="1"/>
  <c r="H116" i="19" s="1"/>
  <c r="W81" i="39"/>
  <c r="X81" i="39" s="1"/>
  <c r="H81" i="19" s="1"/>
  <c r="W58" i="39"/>
  <c r="X58" i="39" s="1"/>
  <c r="H58" i="19" s="1"/>
  <c r="W187" i="39"/>
  <c r="X187" i="39" s="1"/>
  <c r="H188" i="19" s="1"/>
  <c r="W72" i="39"/>
  <c r="X72" i="39" s="1"/>
  <c r="H72" i="19" s="1"/>
  <c r="W181" i="39"/>
  <c r="X181" i="39" s="1"/>
  <c r="H182" i="19" s="1"/>
  <c r="W240" i="39"/>
  <c r="X240" i="39" s="1"/>
  <c r="H243" i="19" s="1"/>
  <c r="W298" i="39"/>
  <c r="X298" i="39" s="1"/>
  <c r="H301" i="19" s="1"/>
  <c r="W86" i="39"/>
  <c r="X86" i="39" s="1"/>
  <c r="H86" i="19" s="1"/>
  <c r="W182" i="39"/>
  <c r="X182" i="39" s="1"/>
  <c r="H183" i="19" s="1"/>
  <c r="W317" i="39"/>
  <c r="X317" i="39" s="1"/>
  <c r="H320" i="19" s="1"/>
  <c r="W28" i="39"/>
  <c r="X28" i="39" s="1"/>
  <c r="H28" i="19" s="1"/>
  <c r="W256" i="39"/>
  <c r="X256" i="39" s="1"/>
  <c r="H259" i="19" s="1"/>
  <c r="W300" i="39"/>
  <c r="X300" i="39" s="1"/>
  <c r="H303" i="19" s="1"/>
  <c r="W199" i="39"/>
  <c r="X199" i="39" s="1"/>
  <c r="H201" i="19" s="1"/>
  <c r="W263" i="39"/>
  <c r="X263" i="39" s="1"/>
  <c r="H266" i="19" s="1"/>
  <c r="W183" i="39"/>
  <c r="X183" i="39" s="1"/>
  <c r="H184" i="19" s="1"/>
  <c r="W141" i="39"/>
  <c r="X141" i="39" s="1"/>
  <c r="H142" i="19" s="1"/>
  <c r="W179" i="39"/>
  <c r="X179" i="39" s="1"/>
  <c r="H180" i="19" s="1"/>
  <c r="W6" i="39"/>
  <c r="X6" i="39" s="1"/>
  <c r="H6" i="19" s="1"/>
  <c r="W105" i="39"/>
  <c r="X105" i="39" s="1"/>
  <c r="H105" i="19" s="1"/>
  <c r="W287" i="39"/>
  <c r="X287" i="39" s="1"/>
  <c r="H290" i="19" s="1"/>
  <c r="W229" i="39"/>
  <c r="X229" i="39" s="1"/>
  <c r="H232" i="19" s="1"/>
  <c r="W120" i="39"/>
  <c r="X120" i="39" s="1"/>
  <c r="H121" i="19" s="1"/>
  <c r="W110" i="39"/>
  <c r="X110" i="39" s="1"/>
  <c r="H111" i="19" s="1"/>
  <c r="W71" i="39"/>
  <c r="X71" i="39" s="1"/>
  <c r="H71" i="19" s="1"/>
  <c r="W296" i="39"/>
  <c r="X296" i="39" s="1"/>
  <c r="H299" i="19" s="1"/>
  <c r="W237" i="39"/>
  <c r="X237" i="39" s="1"/>
  <c r="H240" i="19" s="1"/>
  <c r="W191" i="39"/>
  <c r="X191" i="39" s="1"/>
  <c r="H192" i="19" s="1"/>
  <c r="W69" i="39"/>
  <c r="X69" i="39" s="1"/>
  <c r="H69" i="19" s="1"/>
  <c r="W15" i="39"/>
  <c r="X15" i="39" s="1"/>
  <c r="H15" i="19" s="1"/>
  <c r="W151" i="39"/>
  <c r="X151" i="39" s="1"/>
  <c r="H152" i="19" s="1"/>
  <c r="W35" i="39"/>
  <c r="X35" i="39" s="1"/>
  <c r="H35" i="19" s="1"/>
  <c r="W44" i="39"/>
  <c r="X44" i="39" s="1"/>
  <c r="H44" i="19" s="1"/>
  <c r="W295" i="39"/>
  <c r="X295" i="39" s="1"/>
  <c r="H298" i="19" s="1"/>
  <c r="W312" i="39"/>
  <c r="X312" i="39" s="1"/>
  <c r="H315" i="19" s="1"/>
  <c r="W40" i="39"/>
  <c r="X40" i="39" s="1"/>
  <c r="H40" i="19" s="1"/>
  <c r="W48" i="39"/>
  <c r="X48" i="39" s="1"/>
  <c r="H48" i="19" s="1"/>
  <c r="W268" i="39"/>
  <c r="X268" i="39" s="1"/>
  <c r="H271" i="19" s="1"/>
  <c r="W9" i="39"/>
  <c r="X9" i="39" s="1"/>
  <c r="H9" i="19" s="1"/>
  <c r="W77" i="39"/>
  <c r="X77" i="39" s="1"/>
  <c r="H77" i="19" s="1"/>
  <c r="W106" i="39"/>
  <c r="X106" i="39" s="1"/>
  <c r="H107" i="19" s="1"/>
  <c r="W290" i="39"/>
  <c r="X290" i="39" s="1"/>
  <c r="H293" i="19" s="1"/>
  <c r="W248" i="39"/>
  <c r="X248" i="39" s="1"/>
  <c r="H251" i="19" s="1"/>
  <c r="W45" i="39"/>
  <c r="X45" i="39" s="1"/>
  <c r="H45" i="19" s="1"/>
  <c r="W62" i="39"/>
  <c r="X62" i="39" s="1"/>
  <c r="H62" i="19" s="1"/>
  <c r="W310" i="39"/>
  <c r="X310" i="39" s="1"/>
  <c r="H313" i="19" s="1"/>
  <c r="W234" i="39"/>
  <c r="X234" i="39" s="1"/>
  <c r="H237" i="19" s="1"/>
  <c r="W118" i="39"/>
  <c r="X118" i="39" s="1"/>
  <c r="H119" i="19" s="1"/>
  <c r="W207" i="39"/>
  <c r="X207" i="39" s="1"/>
  <c r="H209" i="19" s="1"/>
  <c r="W206" i="39"/>
  <c r="X206" i="39" s="1"/>
  <c r="H208" i="19" s="1"/>
  <c r="W254" i="39"/>
  <c r="X254" i="39" s="1"/>
  <c r="H257" i="19" s="1"/>
  <c r="W168" i="39"/>
  <c r="X168" i="39" s="1"/>
  <c r="H169" i="19" s="1"/>
  <c r="W278" i="39"/>
  <c r="X278" i="39" s="1"/>
  <c r="H281" i="19" s="1"/>
  <c r="W211" i="39"/>
  <c r="X211" i="39" s="1"/>
  <c r="H213" i="19" s="1"/>
  <c r="W32" i="39"/>
  <c r="X32" i="39" s="1"/>
  <c r="H32" i="19" s="1"/>
  <c r="W112" i="39"/>
  <c r="X112" i="39" s="1"/>
  <c r="H113" i="19" s="1"/>
  <c r="W17" i="39"/>
  <c r="X17" i="39" s="1"/>
  <c r="H17" i="19" s="1"/>
  <c r="W85" i="39"/>
  <c r="X85" i="39" s="1"/>
  <c r="H85" i="19" s="1"/>
  <c r="W21" i="39"/>
  <c r="X21" i="39" s="1"/>
  <c r="H21" i="19" s="1"/>
  <c r="W64" i="39"/>
  <c r="X64" i="39" s="1"/>
  <c r="H64" i="19" s="1"/>
  <c r="W285" i="39"/>
  <c r="X285" i="39" s="1"/>
  <c r="H288" i="19" s="1"/>
  <c r="W29" i="39"/>
  <c r="X29" i="39" s="1"/>
  <c r="H29" i="19" s="1"/>
  <c r="W138" i="39"/>
  <c r="X138" i="39" s="1"/>
  <c r="H139" i="19" s="1"/>
  <c r="W161" i="39"/>
  <c r="X161" i="39" s="1"/>
  <c r="H162" i="19" s="1"/>
  <c r="W190" i="39"/>
  <c r="X190" i="39" s="1"/>
  <c r="H191" i="19" s="1"/>
  <c r="W92" i="39"/>
  <c r="X92" i="39" s="1"/>
  <c r="H92" i="19" s="1"/>
  <c r="W205" i="39"/>
  <c r="X205" i="39" s="1"/>
  <c r="H207" i="19" s="1"/>
  <c r="W198" i="39"/>
  <c r="X198" i="39" s="1"/>
  <c r="H200" i="19" s="1"/>
  <c r="W280" i="39"/>
  <c r="X280" i="39" s="1"/>
  <c r="H283" i="19" s="1"/>
  <c r="W132" i="39"/>
  <c r="X132" i="39" s="1"/>
  <c r="H133" i="19" s="1"/>
  <c r="W175" i="39"/>
  <c r="X175" i="39" s="1"/>
  <c r="H176" i="19" s="1"/>
  <c r="W14" i="39"/>
  <c r="X14" i="39" s="1"/>
  <c r="H14" i="19" s="1"/>
  <c r="W140" i="39"/>
  <c r="X140" i="39" s="1"/>
  <c r="H141" i="19" s="1"/>
  <c r="W231" i="39"/>
  <c r="X231" i="39" s="1"/>
  <c r="H234" i="19" s="1"/>
  <c r="W189" i="39"/>
  <c r="X189" i="39" s="1"/>
  <c r="H190" i="19" s="1"/>
  <c r="W264" i="39"/>
  <c r="X264" i="39" s="1"/>
  <c r="H267" i="19" s="1"/>
  <c r="W19" i="39"/>
  <c r="X19" i="39" s="1"/>
  <c r="H19" i="19" s="1"/>
  <c r="W265" i="39"/>
  <c r="X265" i="39" s="1"/>
  <c r="H268" i="19" s="1"/>
  <c r="W104" i="39"/>
  <c r="X104" i="39" s="1"/>
  <c r="H104" i="19" s="1"/>
  <c r="W101" i="39"/>
  <c r="X101" i="39" s="1"/>
  <c r="H101" i="19" s="1"/>
  <c r="W60" i="39"/>
  <c r="X60" i="39" s="1"/>
  <c r="H60" i="19" s="1"/>
  <c r="W299" i="39"/>
  <c r="X299" i="39" s="1"/>
  <c r="H302" i="19" s="1"/>
  <c r="W30" i="39"/>
  <c r="X30" i="39" s="1"/>
  <c r="H30" i="19" s="1"/>
  <c r="W241" i="39"/>
  <c r="X241" i="39" s="1"/>
  <c r="H244" i="19" s="1"/>
  <c r="W135" i="39"/>
  <c r="X135" i="39" s="1"/>
  <c r="H136" i="19" s="1"/>
  <c r="W232" i="39"/>
  <c r="X232" i="39" s="1"/>
  <c r="H235" i="19" s="1"/>
  <c r="W302" i="39"/>
  <c r="X302" i="39" s="1"/>
  <c r="H305" i="19" s="1"/>
  <c r="W18" i="39"/>
  <c r="X18" i="39" s="1"/>
  <c r="H18" i="19" s="1"/>
  <c r="W306" i="39"/>
  <c r="X306" i="39" s="1"/>
  <c r="H309" i="19" s="1"/>
  <c r="W66" i="39"/>
  <c r="X66" i="39" s="1"/>
  <c r="H66" i="19" s="1"/>
  <c r="W267" i="39"/>
  <c r="X267" i="39" s="1"/>
  <c r="H270" i="19" s="1"/>
  <c r="W314" i="39"/>
  <c r="X314" i="39" s="1"/>
  <c r="H317" i="19" s="1"/>
  <c r="W197" i="39"/>
  <c r="X197" i="39" s="1"/>
  <c r="H199" i="19" s="1"/>
  <c r="W133" i="39"/>
  <c r="X133" i="39" s="1"/>
  <c r="H134" i="19" s="1"/>
  <c r="W122" i="39"/>
  <c r="X122" i="39" s="1"/>
  <c r="H123" i="19" s="1"/>
  <c r="W89" i="39"/>
  <c r="X89" i="39" s="1"/>
  <c r="H89" i="19" s="1"/>
  <c r="W55" i="39"/>
  <c r="X55" i="39" s="1"/>
  <c r="H55" i="19" s="1"/>
  <c r="W242" i="39"/>
  <c r="X242" i="39" s="1"/>
  <c r="H245" i="19" s="1"/>
  <c r="W123" i="39"/>
  <c r="X123" i="39" s="1"/>
  <c r="H124" i="19" s="1"/>
  <c r="W258" i="39"/>
  <c r="X258" i="39" s="1"/>
  <c r="H261" i="19" s="1"/>
  <c r="W130" i="39"/>
  <c r="X130" i="39" s="1"/>
  <c r="H131" i="19" s="1"/>
  <c r="W129" i="39"/>
  <c r="X129" i="39" s="1"/>
  <c r="H130" i="19" s="1"/>
  <c r="W253" i="39"/>
  <c r="X253" i="39" s="1"/>
  <c r="H256" i="19" s="1"/>
  <c r="W235" i="39"/>
  <c r="X235" i="39" s="1"/>
  <c r="H238" i="19" s="1"/>
  <c r="W271" i="39"/>
  <c r="X271" i="39" s="1"/>
  <c r="H274" i="19" s="1"/>
  <c r="W98" i="39"/>
  <c r="X98" i="39" s="1"/>
  <c r="H98" i="19" s="1"/>
  <c r="W87" i="39"/>
  <c r="X87" i="39" s="1"/>
  <c r="H87" i="19" s="1"/>
  <c r="W103" i="39"/>
  <c r="X103" i="39" s="1"/>
  <c r="H103" i="19" s="1"/>
  <c r="W252" i="39"/>
  <c r="X252" i="39" s="1"/>
  <c r="H255" i="19" s="1"/>
  <c r="W52" i="39"/>
  <c r="X52" i="39" s="1"/>
  <c r="H52" i="19" s="1"/>
  <c r="W305" i="39"/>
  <c r="X305" i="39" s="1"/>
  <c r="H308" i="19" s="1"/>
  <c r="W289" i="39"/>
  <c r="X289" i="39" s="1"/>
  <c r="H292" i="19" s="1"/>
  <c r="W227" i="39"/>
  <c r="X227" i="39" s="1"/>
  <c r="H229" i="19" s="1"/>
  <c r="W154" i="39"/>
  <c r="X154" i="39" s="1"/>
  <c r="H155" i="19" s="1"/>
  <c r="W91" i="39"/>
  <c r="X91" i="39" s="1"/>
  <c r="H91" i="19" s="1"/>
  <c r="W23" i="39"/>
  <c r="X23" i="39" s="1"/>
  <c r="H23" i="19" s="1"/>
  <c r="W195" i="39"/>
  <c r="X195" i="39" s="1"/>
  <c r="H197" i="19" s="1"/>
  <c r="W108" i="39"/>
  <c r="X108" i="39" s="1"/>
  <c r="H109" i="19" s="1"/>
  <c r="W275" i="39"/>
  <c r="X275" i="39" s="1"/>
  <c r="H278" i="19" s="1"/>
  <c r="W276" i="39"/>
  <c r="X276" i="39" s="1"/>
  <c r="H279" i="19" s="1"/>
  <c r="W47" i="39"/>
  <c r="X47" i="39" s="1"/>
  <c r="H47" i="19" s="1"/>
  <c r="W315" i="39"/>
  <c r="X315" i="39" s="1"/>
  <c r="H318" i="19" s="1"/>
  <c r="W222" i="39"/>
  <c r="X222" i="39" s="1"/>
  <c r="H224" i="19" s="1"/>
  <c r="W255" i="39"/>
  <c r="X255" i="39" s="1"/>
  <c r="H258" i="19" s="1"/>
  <c r="W174" i="39"/>
  <c r="X174" i="39" s="1"/>
  <c r="H175" i="19" s="1"/>
  <c r="W149" i="39"/>
  <c r="X149" i="39" s="1"/>
  <c r="H150" i="19" s="1"/>
  <c r="W169" i="39"/>
  <c r="X169" i="39" s="1"/>
  <c r="H170" i="19" s="1"/>
  <c r="W172" i="39"/>
  <c r="X172" i="39" s="1"/>
  <c r="H173" i="19" s="1"/>
  <c r="W76" i="39"/>
  <c r="X76" i="39" s="1"/>
  <c r="H76" i="19" s="1"/>
  <c r="W301" i="39"/>
  <c r="X301" i="39" s="1"/>
  <c r="H304" i="19" s="1"/>
  <c r="W163" i="39"/>
  <c r="X163" i="39" s="1"/>
  <c r="H164" i="19" s="1"/>
  <c r="W170" i="39"/>
  <c r="X170" i="39" s="1"/>
  <c r="H171" i="19" s="1"/>
  <c r="W193" i="39"/>
  <c r="X193" i="39" s="1"/>
  <c r="H194" i="19" s="1"/>
  <c r="W39" i="39"/>
  <c r="X39" i="39" s="1"/>
  <c r="H39" i="19" s="1"/>
  <c r="W51" i="39"/>
  <c r="X51" i="39" s="1"/>
  <c r="H51" i="19" s="1"/>
  <c r="W43" i="39"/>
  <c r="X43" i="39" s="1"/>
  <c r="H43" i="19" s="1"/>
  <c r="W297" i="39"/>
  <c r="X297" i="39" s="1"/>
  <c r="H300" i="19" s="1"/>
  <c r="W38" i="39"/>
  <c r="X38" i="39" s="1"/>
  <c r="H38" i="19" s="1"/>
  <c r="W88" i="39"/>
  <c r="X88" i="39" s="1"/>
  <c r="H88" i="19" s="1"/>
  <c r="W249" i="39"/>
  <c r="X249" i="39" s="1"/>
  <c r="H252" i="19" s="1"/>
  <c r="W25" i="39"/>
  <c r="X25" i="39" s="1"/>
  <c r="H25" i="19" s="1"/>
  <c r="W236" i="39"/>
  <c r="X236" i="39" s="1"/>
  <c r="H239" i="19" s="1"/>
  <c r="W246" i="39"/>
  <c r="X246" i="39" s="1"/>
  <c r="H249" i="19" s="1"/>
  <c r="W209" i="39"/>
  <c r="X209" i="39" s="1"/>
  <c r="H211" i="19" s="1"/>
  <c r="W238" i="39"/>
  <c r="X238" i="39" s="1"/>
  <c r="H241" i="19" s="1"/>
  <c r="W127" i="39"/>
  <c r="X127" i="39" s="1"/>
  <c r="H128" i="19" s="1"/>
  <c r="W162" i="39"/>
  <c r="X162" i="39" s="1"/>
  <c r="H163" i="19" s="1"/>
  <c r="W223" i="39"/>
  <c r="X223" i="39" s="1"/>
  <c r="H225" i="19" s="1"/>
  <c r="W208" i="39"/>
  <c r="X208" i="39" s="1"/>
  <c r="H210" i="19" s="1"/>
  <c r="W99" i="39"/>
  <c r="X99" i="39" s="1"/>
  <c r="H99" i="19" s="1"/>
  <c r="W239" i="39"/>
  <c r="X239" i="39" s="1"/>
  <c r="H242" i="19" s="1"/>
  <c r="W95" i="39"/>
  <c r="X95" i="39" s="1"/>
  <c r="H95" i="19" s="1"/>
  <c r="W124" i="39"/>
  <c r="X124" i="39" s="1"/>
  <c r="H125" i="19" s="1"/>
  <c r="W143" i="39"/>
  <c r="X143" i="39" s="1"/>
  <c r="H144" i="19" s="1"/>
  <c r="W221" i="39"/>
  <c r="X221" i="39" s="1"/>
  <c r="H223" i="19" s="1"/>
  <c r="W260" i="39"/>
  <c r="X260" i="39" s="1"/>
  <c r="H263" i="19" s="1"/>
  <c r="W156" i="39"/>
  <c r="X156" i="39" s="1"/>
  <c r="H157" i="19" s="1"/>
  <c r="W20" i="39"/>
  <c r="X20" i="39" s="1"/>
  <c r="H20" i="19" s="1"/>
  <c r="W273" i="39"/>
  <c r="X273" i="39" s="1"/>
  <c r="H276" i="19" s="1"/>
  <c r="W93" i="39"/>
  <c r="X93" i="39" s="1"/>
  <c r="H93" i="19" s="1"/>
  <c r="W116" i="39"/>
  <c r="X116" i="39" s="1"/>
  <c r="H117" i="19" s="1"/>
  <c r="W224" i="39"/>
  <c r="X224" i="39" s="1"/>
  <c r="H226" i="19" s="1"/>
  <c r="W53" i="39"/>
  <c r="X53" i="39" s="1"/>
  <c r="H53" i="19" s="1"/>
  <c r="W216" i="39"/>
  <c r="X216" i="39" s="1"/>
  <c r="H218" i="19" s="1"/>
  <c r="W308" i="39"/>
  <c r="X308" i="39" s="1"/>
  <c r="H311" i="19" s="1"/>
  <c r="W67" i="39"/>
  <c r="X67" i="39" s="1"/>
  <c r="H67" i="19" s="1"/>
  <c r="W146" i="39"/>
  <c r="X146" i="39" s="1"/>
  <c r="H147" i="19" s="1"/>
  <c r="W128" i="39"/>
  <c r="X128" i="39" s="1"/>
  <c r="H129" i="19" s="1"/>
  <c r="W114" i="39"/>
  <c r="X114" i="39" s="1"/>
  <c r="H115" i="19" s="1"/>
  <c r="W33" i="39"/>
  <c r="X33" i="39" s="1"/>
  <c r="H33" i="19" s="1"/>
  <c r="W13" i="39"/>
  <c r="X13" i="39" s="1"/>
  <c r="H13" i="19" s="1"/>
  <c r="W144" i="39"/>
  <c r="X144" i="39" s="1"/>
  <c r="H145" i="19" s="1"/>
  <c r="W269" i="39"/>
  <c r="X269" i="39" s="1"/>
  <c r="H272" i="19" s="1"/>
  <c r="W83" i="39"/>
  <c r="X83" i="39" s="1"/>
  <c r="H83" i="19" s="1"/>
  <c r="W177" i="39"/>
  <c r="X177" i="39" s="1"/>
  <c r="H178" i="19" s="1"/>
  <c r="W311" i="39"/>
  <c r="X311" i="39" s="1"/>
  <c r="H314" i="19" s="1"/>
  <c r="W3" i="38" a="1"/>
  <c r="W3" i="38" s="1"/>
  <c r="X4" i="38"/>
  <c r="G4" i="19" s="1"/>
  <c r="C13" i="41" s="1"/>
  <c r="Y4" i="37"/>
  <c r="X3" i="37" a="1"/>
  <c r="X3" i="37" s="1"/>
  <c r="W3" i="37" a="1"/>
  <c r="W3" i="37" s="1"/>
  <c r="Y4" i="36"/>
  <c r="Y3" i="36" s="1" a="1"/>
  <c r="Y3" i="36" s="1"/>
  <c r="X3" i="36" a="1"/>
  <c r="X3" i="36" s="1"/>
  <c r="C14" i="41" l="1"/>
  <c r="G3" i="19"/>
  <c r="F3" i="19"/>
  <c r="Y319" i="39"/>
  <c r="H106" i="19"/>
  <c r="Y320" i="39"/>
  <c r="H231" i="19"/>
  <c r="I231" i="19" s="1"/>
  <c r="J231" i="19" s="1"/>
  <c r="Y3" i="37" a="1"/>
  <c r="Y3" i="37" s="1"/>
  <c r="Y124" i="39"/>
  <c r="Y98" i="39"/>
  <c r="Y299" i="39"/>
  <c r="Y312" i="39"/>
  <c r="Y187" i="39"/>
  <c r="Y257" i="39"/>
  <c r="Y24" i="39"/>
  <c r="Y78" i="39"/>
  <c r="Y212" i="39"/>
  <c r="Y50" i="39"/>
  <c r="Y22" i="39"/>
  <c r="Y56" i="39"/>
  <c r="Y53" i="39"/>
  <c r="Y162" i="39"/>
  <c r="Y163" i="39"/>
  <c r="Y23" i="39"/>
  <c r="Y258" i="39"/>
  <c r="Y241" i="39"/>
  <c r="Y280" i="39"/>
  <c r="Y278" i="39"/>
  <c r="Y48" i="39"/>
  <c r="Y287" i="39"/>
  <c r="Y181" i="39"/>
  <c r="Y65" i="39"/>
  <c r="Y125" i="39"/>
  <c r="Y210" i="39"/>
  <c r="Y247" i="39"/>
  <c r="Y68" i="39"/>
  <c r="Y100" i="39"/>
  <c r="Y37" i="39"/>
  <c r="Y152" i="39"/>
  <c r="Y283" i="39"/>
  <c r="Y233" i="39"/>
  <c r="Y27" i="39"/>
  <c r="Y76" i="39"/>
  <c r="Y231" i="39"/>
  <c r="Y6" i="39"/>
  <c r="Y153" i="39"/>
  <c r="Y230" i="39"/>
  <c r="Y239" i="39"/>
  <c r="Y235" i="39"/>
  <c r="Y101" i="39"/>
  <c r="Y17" i="39"/>
  <c r="Y44" i="39"/>
  <c r="Y182" i="39"/>
  <c r="Y243" i="39"/>
  <c r="Y262" i="39"/>
  <c r="Y79" i="39"/>
  <c r="Y102" i="39"/>
  <c r="Y217" i="39"/>
  <c r="Y7" i="39"/>
  <c r="Y308" i="39"/>
  <c r="Y25" i="39"/>
  <c r="Y108" i="39"/>
  <c r="Y133" i="39"/>
  <c r="Y175" i="39"/>
  <c r="Y234" i="39"/>
  <c r="Y120" i="39"/>
  <c r="Y288" i="39"/>
  <c r="Y171" i="39"/>
  <c r="Y309" i="39"/>
  <c r="Y13" i="39"/>
  <c r="Y221" i="39"/>
  <c r="Y88" i="39"/>
  <c r="Y255" i="39"/>
  <c r="Y103" i="39"/>
  <c r="Y314" i="39"/>
  <c r="Y264" i="39"/>
  <c r="Y285" i="39"/>
  <c r="Y62" i="39"/>
  <c r="Y69" i="39"/>
  <c r="Y300" i="39"/>
  <c r="Y202" i="39"/>
  <c r="Y82" i="39"/>
  <c r="Y137" i="39"/>
  <c r="Y148" i="39"/>
  <c r="Y284" i="39"/>
  <c r="Y307" i="39"/>
  <c r="Y33" i="39"/>
  <c r="Y224" i="39"/>
  <c r="Y143" i="39"/>
  <c r="Y127" i="39"/>
  <c r="Y38" i="39"/>
  <c r="Y301" i="39"/>
  <c r="Y222" i="39"/>
  <c r="Y91" i="39"/>
  <c r="Y87" i="39"/>
  <c r="Y123" i="39"/>
  <c r="Y267" i="39"/>
  <c r="Y30" i="39"/>
  <c r="Y189" i="39"/>
  <c r="Y198" i="39"/>
  <c r="Y64" i="39"/>
  <c r="Y168" i="39"/>
  <c r="Y45" i="39"/>
  <c r="Y40" i="39"/>
  <c r="Y191" i="39"/>
  <c r="Y105" i="39"/>
  <c r="Y256" i="39"/>
  <c r="Y72" i="39"/>
  <c r="Y192" i="39"/>
  <c r="Y204" i="39"/>
  <c r="Y150" i="39"/>
  <c r="Y147" i="39"/>
  <c r="Y46" i="39"/>
  <c r="Y111" i="39"/>
  <c r="Y126" i="39"/>
  <c r="Y250" i="39"/>
  <c r="Y214" i="39"/>
  <c r="Y155" i="39"/>
  <c r="Y167" i="39"/>
  <c r="Y119" i="39"/>
  <c r="Y184" i="39"/>
  <c r="Y94" i="39"/>
  <c r="Y176" i="39"/>
  <c r="Y16" i="39"/>
  <c r="Y293" i="39"/>
  <c r="Y205" i="39"/>
  <c r="Y311" i="39"/>
  <c r="Y128" i="39"/>
  <c r="Y93" i="39"/>
  <c r="Y95" i="39"/>
  <c r="Y209" i="39"/>
  <c r="Y43" i="39"/>
  <c r="Y172" i="39"/>
  <c r="Y47" i="39"/>
  <c r="Y227" i="39"/>
  <c r="Y271" i="39"/>
  <c r="Y55" i="39"/>
  <c r="Y306" i="39"/>
  <c r="Y60" i="39"/>
  <c r="Y92" i="39"/>
  <c r="Y85" i="39"/>
  <c r="Y206" i="39"/>
  <c r="Y290" i="39"/>
  <c r="Y295" i="39"/>
  <c r="Y296" i="39"/>
  <c r="Y179" i="39"/>
  <c r="Y317" i="39"/>
  <c r="Y58" i="39"/>
  <c r="Y63" i="39"/>
  <c r="Y173" i="39"/>
  <c r="Y274" i="39"/>
  <c r="Y142" i="39"/>
  <c r="Y49" i="39"/>
  <c r="Y215" i="39"/>
  <c r="Y270" i="39"/>
  <c r="Y313" i="39"/>
  <c r="Y228" i="39"/>
  <c r="Y185" i="39"/>
  <c r="Y41" i="39"/>
  <c r="Y251" i="39"/>
  <c r="Y194" i="39"/>
  <c r="Y180" i="39"/>
  <c r="Y160" i="39"/>
  <c r="Y8" i="39"/>
  <c r="Y109" i="39"/>
  <c r="Y116" i="39"/>
  <c r="Y315" i="39"/>
  <c r="Y66" i="39"/>
  <c r="Y248" i="39"/>
  <c r="Y28" i="39"/>
  <c r="Y165" i="39"/>
  <c r="Y186" i="39"/>
  <c r="Y291" i="39"/>
  <c r="Y226" i="39"/>
  <c r="Y146" i="39"/>
  <c r="Y207" i="39"/>
  <c r="Y297" i="39"/>
  <c r="Y21" i="39"/>
  <c r="Y273" i="39"/>
  <c r="Y51" i="39"/>
  <c r="Y289" i="39"/>
  <c r="Y89" i="39"/>
  <c r="Y140" i="39"/>
  <c r="Y106" i="39"/>
  <c r="Y141" i="39"/>
  <c r="Y281" i="39"/>
  <c r="Y245" i="39"/>
  <c r="Y107" i="39"/>
  <c r="Y266" i="39"/>
  <c r="Y57" i="39"/>
  <c r="Y83" i="39"/>
  <c r="Y67" i="39"/>
  <c r="Y20" i="39"/>
  <c r="Y99" i="39"/>
  <c r="Y236" i="39"/>
  <c r="Y39" i="39"/>
  <c r="Y169" i="39"/>
  <c r="Y275" i="39"/>
  <c r="Y305" i="39"/>
  <c r="Y253" i="39"/>
  <c r="Y122" i="39"/>
  <c r="Y302" i="39"/>
  <c r="Y104" i="39"/>
  <c r="Y14" i="39"/>
  <c r="Y161" i="39"/>
  <c r="Y112" i="39"/>
  <c r="Y118" i="39"/>
  <c r="Y77" i="39"/>
  <c r="Y35" i="39"/>
  <c r="Y110" i="39"/>
  <c r="Y183" i="39"/>
  <c r="Y86" i="39"/>
  <c r="Y115" i="39"/>
  <c r="Y54" i="39"/>
  <c r="Y196" i="39"/>
  <c r="Y131" i="39"/>
  <c r="Y10" i="39"/>
  <c r="Y244" i="39"/>
  <c r="Y272" i="39"/>
  <c r="Y157" i="39"/>
  <c r="Y218" i="39"/>
  <c r="Y303" i="39"/>
  <c r="Y294" i="39"/>
  <c r="Y292" i="39"/>
  <c r="Y136" i="39"/>
  <c r="Y42" i="39"/>
  <c r="Y219" i="39"/>
  <c r="Y26" i="39"/>
  <c r="Y286" i="39"/>
  <c r="Y113" i="39"/>
  <c r="Y238" i="39"/>
  <c r="Y242" i="39"/>
  <c r="Y237" i="39"/>
  <c r="Y304" i="39"/>
  <c r="Y282" i="39"/>
  <c r="Y90" i="39"/>
  <c r="Y279" i="39"/>
  <c r="Y156" i="39"/>
  <c r="Y193" i="39"/>
  <c r="Y52" i="39"/>
  <c r="Y232" i="39"/>
  <c r="Y138" i="39"/>
  <c r="Y9" i="39"/>
  <c r="Y263" i="39"/>
  <c r="Y117" i="39"/>
  <c r="Y73" i="39"/>
  <c r="Y201" i="39"/>
  <c r="Y74" i="39"/>
  <c r="Y164" i="39"/>
  <c r="Y261" i="39"/>
  <c r="Y316" i="39"/>
  <c r="Y159" i="39"/>
  <c r="Y114" i="39"/>
  <c r="Y154" i="39"/>
  <c r="Y254" i="39"/>
  <c r="Y177" i="39"/>
  <c r="Y246" i="39"/>
  <c r="Y276" i="39"/>
  <c r="Y18" i="39"/>
  <c r="Y190" i="39"/>
  <c r="Y71" i="39"/>
  <c r="Y81" i="39"/>
  <c r="Y5" i="39"/>
  <c r="Y277" i="39"/>
  <c r="Y70" i="39"/>
  <c r="Y158" i="39"/>
  <c r="Y178" i="39"/>
  <c r="Y12" i="39"/>
  <c r="Y269" i="39"/>
  <c r="Y208" i="39"/>
  <c r="Y149" i="39"/>
  <c r="Y129" i="39"/>
  <c r="Y265" i="39"/>
  <c r="Y32" i="39"/>
  <c r="Y151" i="39"/>
  <c r="Y298" i="39"/>
  <c r="Y139" i="39"/>
  <c r="Y31" i="39"/>
  <c r="Y203" i="39"/>
  <c r="Y134" i="39"/>
  <c r="Y200" i="39"/>
  <c r="Y225" i="39"/>
  <c r="Y84" i="39"/>
  <c r="Y144" i="39"/>
  <c r="Y216" i="39"/>
  <c r="Y260" i="39"/>
  <c r="Y223" i="39"/>
  <c r="Y249" i="39"/>
  <c r="Y170" i="39"/>
  <c r="Y174" i="39"/>
  <c r="Y195" i="39"/>
  <c r="Y252" i="39"/>
  <c r="Y130" i="39"/>
  <c r="Y197" i="39"/>
  <c r="Y135" i="39"/>
  <c r="Y19" i="39"/>
  <c r="Y132" i="39"/>
  <c r="Y29" i="39"/>
  <c r="Y211" i="39"/>
  <c r="Y310" i="39"/>
  <c r="Y268" i="39"/>
  <c r="Y15" i="39"/>
  <c r="Y229" i="39"/>
  <c r="Y199" i="39"/>
  <c r="Y240" i="39"/>
  <c r="Y259" i="39"/>
  <c r="Y80" i="39"/>
  <c r="Y166" i="39"/>
  <c r="Y213" i="39"/>
  <c r="Y220" i="39"/>
  <c r="Y36" i="39"/>
  <c r="Y11" i="39"/>
  <c r="Y61" i="39"/>
  <c r="Y121" i="39"/>
  <c r="Y188" i="39"/>
  <c r="Y318" i="39"/>
  <c r="Y75" i="39"/>
  <c r="Y34" i="39"/>
  <c r="Y96" i="39"/>
  <c r="Y59" i="39"/>
  <c r="Y97" i="39"/>
  <c r="Y145" i="39"/>
  <c r="W3" i="39" a="1"/>
  <c r="W3" i="39" s="1"/>
  <c r="Y4" i="39"/>
  <c r="X3" i="39" a="1"/>
  <c r="X3" i="39" s="1"/>
  <c r="Z1" i="39" s="1"/>
  <c r="Y4" i="38"/>
  <c r="Y3" i="38" s="1" a="1"/>
  <c r="Y3" i="38" s="1"/>
  <c r="X3" i="38" a="1"/>
  <c r="X3" i="38" s="1"/>
  <c r="Z1" i="38" s="1"/>
  <c r="H3" i="19" l="1"/>
  <c r="I106" i="19"/>
  <c r="J106" i="19" s="1"/>
  <c r="Y3" i="39" a="1"/>
  <c r="Y3" i="39" s="1"/>
  <c r="AD195" i="19" l="1"/>
  <c r="AD320" i="19"/>
  <c r="AD319" i="19"/>
  <c r="AD318" i="19"/>
  <c r="AD317" i="19"/>
  <c r="AD316" i="19"/>
  <c r="AD315" i="19"/>
  <c r="AD314" i="19"/>
  <c r="AD313" i="19"/>
  <c r="AD312" i="19"/>
  <c r="AD311" i="19"/>
  <c r="AD310" i="19"/>
  <c r="AD309" i="19"/>
  <c r="AD308" i="19"/>
  <c r="AD307" i="19"/>
  <c r="AD306" i="19"/>
  <c r="AD305" i="19"/>
  <c r="AD304" i="19"/>
  <c r="AD303" i="19"/>
  <c r="AD302" i="19"/>
  <c r="AD301" i="19"/>
  <c r="AD300" i="19"/>
  <c r="AD299" i="19"/>
  <c r="AD298" i="19"/>
  <c r="AD297" i="19"/>
  <c r="AD296" i="19"/>
  <c r="AD295" i="19"/>
  <c r="AD294" i="19"/>
  <c r="AD293" i="19"/>
  <c r="AD292" i="19"/>
  <c r="AD291" i="19"/>
  <c r="AD290" i="19"/>
  <c r="AD289" i="19"/>
  <c r="AD288" i="19"/>
  <c r="AD287" i="19"/>
  <c r="AD286" i="19"/>
  <c r="AD285" i="19"/>
  <c r="AD284" i="19"/>
  <c r="AD283" i="19"/>
  <c r="AD282" i="19"/>
  <c r="AD281" i="19"/>
  <c r="AD280" i="19"/>
  <c r="AD279" i="19"/>
  <c r="AD278" i="19"/>
  <c r="AD277" i="19"/>
  <c r="AD276" i="19"/>
  <c r="AD275" i="19"/>
  <c r="AD274" i="19"/>
  <c r="AD273" i="19"/>
  <c r="AD272" i="19"/>
  <c r="AD271" i="19"/>
  <c r="AD270" i="19"/>
  <c r="AD269" i="19"/>
  <c r="AD268" i="19"/>
  <c r="AD267" i="19"/>
  <c r="AD266" i="19"/>
  <c r="AD265" i="19"/>
  <c r="AD264" i="19"/>
  <c r="AD263" i="19"/>
  <c r="AD262" i="19"/>
  <c r="AD261" i="19"/>
  <c r="AD260" i="19"/>
  <c r="AD259" i="19"/>
  <c r="AD258" i="19"/>
  <c r="AD257" i="19"/>
  <c r="AD256" i="19"/>
  <c r="AD255" i="19"/>
  <c r="AD254" i="19"/>
  <c r="AD253" i="19"/>
  <c r="AD252" i="19"/>
  <c r="AD251" i="19"/>
  <c r="AD250" i="19"/>
  <c r="AD249" i="19"/>
  <c r="AD248" i="19"/>
  <c r="AD247" i="19"/>
  <c r="AD246" i="19"/>
  <c r="AD245" i="19"/>
  <c r="AD244" i="19"/>
  <c r="AD243" i="19"/>
  <c r="AD242" i="19"/>
  <c r="AD241" i="19"/>
  <c r="AD240" i="19"/>
  <c r="AD239" i="19"/>
  <c r="AD238" i="19"/>
  <c r="AD237" i="19"/>
  <c r="AD236" i="19"/>
  <c r="AD235" i="19"/>
  <c r="AD234" i="19"/>
  <c r="AD233" i="19"/>
  <c r="AD232" i="19"/>
  <c r="AD230" i="19"/>
  <c r="AD229" i="19"/>
  <c r="AD228" i="19"/>
  <c r="AD227" i="19"/>
  <c r="AD226" i="19"/>
  <c r="AD225" i="19"/>
  <c r="AD224" i="19"/>
  <c r="AD223" i="19"/>
  <c r="AD222" i="19"/>
  <c r="AD221" i="19"/>
  <c r="AD220" i="19"/>
  <c r="AD219" i="19"/>
  <c r="AD218" i="19"/>
  <c r="AD217" i="19"/>
  <c r="AD216" i="19"/>
  <c r="AD215" i="19"/>
  <c r="AD214" i="19"/>
  <c r="AD213" i="19"/>
  <c r="AD211" i="19"/>
  <c r="AD210" i="19"/>
  <c r="AD209" i="19"/>
  <c r="AD208" i="19"/>
  <c r="AD207" i="19"/>
  <c r="AD206" i="19"/>
  <c r="AD205" i="19"/>
  <c r="AD204" i="19"/>
  <c r="AD203" i="19"/>
  <c r="AD202" i="19"/>
  <c r="AD201" i="19"/>
  <c r="AD200" i="19"/>
  <c r="AD199" i="19"/>
  <c r="AD198" i="19"/>
  <c r="AD197" i="19"/>
  <c r="AD196" i="19"/>
  <c r="AD194" i="19"/>
  <c r="AD193" i="19"/>
  <c r="AD192" i="19"/>
  <c r="AD191" i="19"/>
  <c r="AD190" i="19"/>
  <c r="AD189" i="19"/>
  <c r="AD188" i="19"/>
  <c r="AD187" i="19"/>
  <c r="AD186" i="19"/>
  <c r="AD185" i="19"/>
  <c r="AD184" i="19"/>
  <c r="AD183" i="19"/>
  <c r="AD182" i="19"/>
  <c r="AD181" i="19"/>
  <c r="AD180" i="19"/>
  <c r="AD179" i="19"/>
  <c r="AD178" i="19"/>
  <c r="AD177" i="19"/>
  <c r="AD176" i="19"/>
  <c r="AD175" i="19"/>
  <c r="AD174" i="19"/>
  <c r="AD173" i="19"/>
  <c r="AD172" i="19"/>
  <c r="AD171" i="19"/>
  <c r="AD170" i="19"/>
  <c r="AD169" i="19"/>
  <c r="AD168" i="19"/>
  <c r="AD167" i="19"/>
  <c r="AD166" i="19"/>
  <c r="AD165" i="19"/>
  <c r="AD164" i="19"/>
  <c r="AD163" i="19"/>
  <c r="AD162" i="19"/>
  <c r="AD161" i="19"/>
  <c r="AD160" i="19"/>
  <c r="AD159" i="19"/>
  <c r="AD158" i="19"/>
  <c r="AD157" i="19"/>
  <c r="AD156" i="19"/>
  <c r="AD155" i="19"/>
  <c r="AD154" i="19"/>
  <c r="AD153" i="19"/>
  <c r="AD152" i="19"/>
  <c r="AD151" i="19"/>
  <c r="AD150" i="19"/>
  <c r="AD149" i="19"/>
  <c r="AD148" i="19"/>
  <c r="AD147" i="19"/>
  <c r="AD146" i="19"/>
  <c r="AD145" i="19"/>
  <c r="AD144" i="19"/>
  <c r="AD143" i="19"/>
  <c r="AD142" i="19"/>
  <c r="AD141" i="19"/>
  <c r="AD140" i="19"/>
  <c r="AD139" i="19"/>
  <c r="AD138" i="19"/>
  <c r="AD137" i="19"/>
  <c r="AD136" i="19"/>
  <c r="AD135" i="19"/>
  <c r="AD134" i="19"/>
  <c r="AD133" i="19"/>
  <c r="AD132" i="19"/>
  <c r="AD131" i="19"/>
  <c r="AD130" i="19"/>
  <c r="AD129" i="19"/>
  <c r="AD128" i="19"/>
  <c r="AD127" i="19"/>
  <c r="AD126" i="19"/>
  <c r="AD125" i="19"/>
  <c r="AD124" i="19"/>
  <c r="AD123" i="19"/>
  <c r="AD122" i="19"/>
  <c r="AD121" i="19"/>
  <c r="AD120" i="19"/>
  <c r="AD119" i="19"/>
  <c r="AD118" i="19"/>
  <c r="AD117" i="19"/>
  <c r="AD116" i="19"/>
  <c r="AD115" i="19"/>
  <c r="AD114" i="19"/>
  <c r="AD113" i="19"/>
  <c r="AD112" i="19"/>
  <c r="AD111" i="19"/>
  <c r="AD110" i="19"/>
  <c r="AD109" i="19"/>
  <c r="AD108" i="19"/>
  <c r="AD107" i="19"/>
  <c r="AD105" i="19"/>
  <c r="AD104" i="19"/>
  <c r="AD103" i="19"/>
  <c r="AD102" i="19"/>
  <c r="AD101" i="19"/>
  <c r="AD100" i="19"/>
  <c r="AD99" i="19"/>
  <c r="AD98" i="19"/>
  <c r="AD97" i="19"/>
  <c r="AD96" i="19"/>
  <c r="AD95" i="19"/>
  <c r="AD94" i="19"/>
  <c r="AD93" i="19"/>
  <c r="AD92" i="19"/>
  <c r="AD91" i="19"/>
  <c r="AD90" i="19"/>
  <c r="AD89" i="19"/>
  <c r="AD88" i="19"/>
  <c r="AD87" i="19"/>
  <c r="AD86" i="19"/>
  <c r="AD85" i="19"/>
  <c r="AD84" i="19"/>
  <c r="AD83" i="19"/>
  <c r="AD82" i="19"/>
  <c r="AD81" i="19"/>
  <c r="AD80" i="19"/>
  <c r="AD79" i="19"/>
  <c r="AD78" i="19"/>
  <c r="AD77" i="19"/>
  <c r="AD76" i="19"/>
  <c r="AD75" i="19"/>
  <c r="AD74" i="19"/>
  <c r="AD73" i="19"/>
  <c r="AD72" i="19"/>
  <c r="AD71" i="19"/>
  <c r="AD70" i="19"/>
  <c r="AD69" i="19"/>
  <c r="AD68" i="19"/>
  <c r="AD67" i="19"/>
  <c r="AD66" i="19"/>
  <c r="AD65" i="19"/>
  <c r="AD64" i="19"/>
  <c r="AD63" i="19"/>
  <c r="AD62" i="19"/>
  <c r="AD61" i="19"/>
  <c r="AD60" i="19"/>
  <c r="AD59" i="19"/>
  <c r="AD58" i="19"/>
  <c r="AD57" i="19"/>
  <c r="AD56" i="19"/>
  <c r="AD55" i="19"/>
  <c r="AD54" i="19"/>
  <c r="AD53" i="19"/>
  <c r="AD52" i="19"/>
  <c r="AD51" i="19"/>
  <c r="AD50" i="19"/>
  <c r="AD49" i="19"/>
  <c r="AD48" i="19"/>
  <c r="AD47" i="19"/>
  <c r="AD46" i="19"/>
  <c r="AD45" i="19"/>
  <c r="AD44" i="19"/>
  <c r="AD43" i="19"/>
  <c r="AD42" i="19"/>
  <c r="AD41" i="19"/>
  <c r="AD40" i="19"/>
  <c r="AD39" i="19"/>
  <c r="AD38" i="19"/>
  <c r="AD37" i="19"/>
  <c r="AD36" i="19"/>
  <c r="AD35" i="19"/>
  <c r="AD34" i="19"/>
  <c r="AD33" i="19"/>
  <c r="AD32" i="19"/>
  <c r="AD31" i="19"/>
  <c r="AD30" i="19"/>
  <c r="AD29" i="19"/>
  <c r="AD28" i="19"/>
  <c r="AD27" i="19"/>
  <c r="AD26" i="19"/>
  <c r="AD25" i="19"/>
  <c r="AD24" i="19"/>
  <c r="AD23" i="19"/>
  <c r="AD22" i="19"/>
  <c r="AD21" i="19"/>
  <c r="AD20" i="19"/>
  <c r="AD19" i="19"/>
  <c r="AD18" i="19"/>
  <c r="AD17" i="19"/>
  <c r="AD16" i="19"/>
  <c r="AD15" i="19"/>
  <c r="AD14" i="19"/>
  <c r="AD13" i="19"/>
  <c r="AD12" i="19"/>
  <c r="AD11" i="19"/>
  <c r="AD10" i="19"/>
  <c r="AD9" i="19"/>
  <c r="AD8" i="19"/>
  <c r="AD7" i="19"/>
  <c r="AD6" i="19"/>
  <c r="AD5" i="19"/>
  <c r="AD4" i="19"/>
  <c r="C22" i="41" l="1"/>
  <c r="B18" i="12" a="1"/>
  <c r="B18" i="12" s="1"/>
  <c r="B19" i="12" l="1"/>
  <c r="Y1" i="19" s="1"/>
  <c r="B6" i="12"/>
  <c r="I1" i="19" l="1"/>
  <c r="B10" i="12"/>
  <c r="B17" i="12" l="1"/>
  <c r="I219" i="19" l="1"/>
  <c r="J219" i="19" s="1"/>
  <c r="I218" i="19"/>
  <c r="J218" i="19" s="1"/>
  <c r="I210" i="19"/>
  <c r="J210" i="19" s="1"/>
  <c r="I306" i="19"/>
  <c r="J306" i="19" s="1"/>
  <c r="I310" i="19"/>
  <c r="J310" i="19" s="1"/>
  <c r="I256" i="19"/>
  <c r="J256" i="19" s="1"/>
  <c r="I104" i="19"/>
  <c r="J104" i="19" s="1"/>
  <c r="I273" i="19"/>
  <c r="J273" i="19" s="1"/>
  <c r="I267" i="19"/>
  <c r="J267" i="19" s="1"/>
  <c r="I269" i="19"/>
  <c r="J269" i="19" s="1"/>
  <c r="I207" i="19"/>
  <c r="J207" i="19" s="1"/>
  <c r="I237" i="19"/>
  <c r="J237" i="19" s="1"/>
  <c r="I236" i="19"/>
  <c r="J236" i="19" s="1"/>
  <c r="I107" i="19"/>
  <c r="J107" i="19" s="1"/>
  <c r="I201" i="19"/>
  <c r="I268" i="19"/>
  <c r="J268" i="19" s="1"/>
  <c r="I105" i="19"/>
  <c r="J105" i="19" s="1"/>
  <c r="I31" i="19"/>
  <c r="J31" i="19" s="1"/>
  <c r="I134" i="19"/>
  <c r="J134" i="19" s="1"/>
  <c r="J201" i="19" l="1"/>
  <c r="I247" i="19"/>
  <c r="I10" i="19"/>
  <c r="J10" i="19" s="1"/>
  <c r="I53" i="19"/>
  <c r="J53" i="19" s="1"/>
  <c r="I116" i="19"/>
  <c r="J116" i="19" s="1"/>
  <c r="I161" i="19"/>
  <c r="J161" i="19" s="1"/>
  <c r="I192" i="19"/>
  <c r="J192" i="19" s="1"/>
  <c r="I274" i="19"/>
  <c r="J274" i="19" s="1"/>
  <c r="I165" i="19"/>
  <c r="J165" i="19" s="1"/>
  <c r="I43" i="19"/>
  <c r="J43" i="19" s="1"/>
  <c r="I114" i="19"/>
  <c r="J114" i="19" s="1"/>
  <c r="I42" i="19"/>
  <c r="J42" i="19" s="1"/>
  <c r="I125" i="19"/>
  <c r="J125" i="19" s="1"/>
  <c r="I234" i="19"/>
  <c r="J234" i="19" s="1"/>
  <c r="I87" i="19"/>
  <c r="J87" i="19" s="1"/>
  <c r="I296" i="19"/>
  <c r="J296" i="19" s="1"/>
  <c r="I50" i="19"/>
  <c r="J50" i="19" s="1"/>
  <c r="I84" i="19"/>
  <c r="J84" i="19" s="1"/>
  <c r="I24" i="19"/>
  <c r="J24" i="19" s="1"/>
  <c r="I25" i="19"/>
  <c r="J25" i="19" s="1"/>
  <c r="I132" i="19"/>
  <c r="J132" i="19" s="1"/>
  <c r="I60" i="19"/>
  <c r="J60" i="19" s="1"/>
  <c r="I48" i="19"/>
  <c r="J48" i="19" s="1"/>
  <c r="I308" i="19"/>
  <c r="J308" i="19" s="1"/>
  <c r="I297" i="19"/>
  <c r="J297" i="19" s="1"/>
  <c r="I81" i="19"/>
  <c r="J81" i="19" s="1"/>
  <c r="I98" i="19"/>
  <c r="J98" i="19" s="1"/>
  <c r="I270" i="19"/>
  <c r="J270" i="19" s="1"/>
  <c r="I141" i="19"/>
  <c r="J141" i="19" s="1"/>
  <c r="I176" i="19"/>
  <c r="J176" i="19" s="1"/>
  <c r="I30" i="19"/>
  <c r="J30" i="19" s="1"/>
  <c r="I272" i="19"/>
  <c r="J272" i="19" s="1"/>
  <c r="I227" i="19"/>
  <c r="J227" i="19" s="1"/>
  <c r="I233" i="19"/>
  <c r="J233" i="19" s="1"/>
  <c r="I253" i="19"/>
  <c r="J253" i="19" s="1"/>
  <c r="I45" i="19"/>
  <c r="J45" i="19" s="1"/>
  <c r="I173" i="19"/>
  <c r="J173" i="19" s="1"/>
  <c r="I109" i="19"/>
  <c r="J109" i="19" s="1"/>
  <c r="I195" i="19"/>
  <c r="J195" i="19" s="1"/>
  <c r="I115" i="19"/>
  <c r="J115" i="19" s="1"/>
  <c r="I17" i="19"/>
  <c r="J17" i="19" s="1"/>
  <c r="I287" i="19"/>
  <c r="J287" i="19" s="1"/>
  <c r="I146" i="19"/>
  <c r="J146" i="19" s="1"/>
  <c r="I294" i="19"/>
  <c r="J294" i="19" s="1"/>
  <c r="I22" i="19"/>
  <c r="J22" i="19" s="1"/>
  <c r="I80" i="19"/>
  <c r="J80" i="19" s="1"/>
  <c r="I183" i="19"/>
  <c r="J183" i="19" s="1"/>
  <c r="I300" i="19"/>
  <c r="J300" i="19" s="1"/>
  <c r="I264" i="19"/>
  <c r="J264" i="19" s="1"/>
  <c r="I110" i="19"/>
  <c r="J110" i="19" s="1"/>
  <c r="I130" i="19"/>
  <c r="J130" i="19" s="1"/>
  <c r="I163" i="19"/>
  <c r="J163" i="19" s="1"/>
  <c r="I185" i="19"/>
  <c r="J185" i="19" s="1"/>
  <c r="I44" i="19"/>
  <c r="J44" i="19" s="1"/>
  <c r="I313" i="19"/>
  <c r="J313" i="19" s="1"/>
  <c r="I291" i="19"/>
  <c r="J291" i="19" s="1"/>
  <c r="I133" i="19"/>
  <c r="J133" i="19" s="1"/>
  <c r="I230" i="19"/>
  <c r="J230" i="19" s="1"/>
  <c r="I309" i="19"/>
  <c r="J309" i="19" s="1"/>
  <c r="I148" i="19"/>
  <c r="J148" i="19" s="1"/>
  <c r="I299" i="19"/>
  <c r="J299" i="19" s="1"/>
  <c r="I91" i="19"/>
  <c r="J91" i="19" s="1"/>
  <c r="I178" i="19"/>
  <c r="J178" i="19" s="1"/>
  <c r="I7" i="19"/>
  <c r="J7" i="19" s="1"/>
  <c r="I277" i="19"/>
  <c r="J277" i="19" s="1"/>
  <c r="I255" i="19"/>
  <c r="J255" i="19" s="1"/>
  <c r="I252" i="19"/>
  <c r="J252" i="19" s="1"/>
  <c r="I18" i="19"/>
  <c r="J18" i="19" s="1"/>
  <c r="I46" i="19"/>
  <c r="J46" i="19" s="1"/>
  <c r="I154" i="19"/>
  <c r="J154" i="19" s="1"/>
  <c r="I292" i="19"/>
  <c r="J292" i="19" s="1"/>
  <c r="I149" i="19"/>
  <c r="J149" i="19" s="1"/>
  <c r="I302" i="19"/>
  <c r="J302" i="19" s="1"/>
  <c r="I72" i="19"/>
  <c r="J72" i="19" s="1"/>
  <c r="I214" i="19"/>
  <c r="J214" i="19" s="1"/>
  <c r="I57" i="19"/>
  <c r="J57" i="19" s="1"/>
  <c r="I202" i="19"/>
  <c r="J202" i="19" s="1"/>
  <c r="I33" i="19"/>
  <c r="J33" i="19" s="1"/>
  <c r="I281" i="19"/>
  <c r="J281" i="19" s="1"/>
  <c r="I240" i="19"/>
  <c r="J240" i="19" s="1"/>
  <c r="I69" i="19"/>
  <c r="J69" i="19" s="1"/>
  <c r="I51" i="19"/>
  <c r="J51" i="19" s="1"/>
  <c r="I206" i="19"/>
  <c r="J206" i="19" s="1"/>
  <c r="I208" i="19"/>
  <c r="J208" i="19" s="1"/>
  <c r="I55" i="19"/>
  <c r="J55" i="19" s="1"/>
  <c r="I289" i="19"/>
  <c r="J289" i="19" s="1"/>
  <c r="I108" i="19"/>
  <c r="J108" i="19" s="1"/>
  <c r="I241" i="19"/>
  <c r="J241" i="19" s="1"/>
  <c r="I62" i="19"/>
  <c r="J62" i="19" s="1"/>
  <c r="I171" i="19"/>
  <c r="J171" i="19" s="1"/>
  <c r="I199" i="19"/>
  <c r="J199" i="19" s="1"/>
  <c r="I145" i="19"/>
  <c r="J145" i="19" s="1"/>
  <c r="I180" i="19"/>
  <c r="J180" i="19" s="1"/>
  <c r="I6" i="19"/>
  <c r="J6" i="19" s="1"/>
  <c r="I40" i="19"/>
  <c r="J40" i="19" s="1"/>
  <c r="I224" i="19"/>
  <c r="J224" i="19" s="1"/>
  <c r="I131" i="19"/>
  <c r="J131" i="19" s="1"/>
  <c r="I85" i="19"/>
  <c r="J85" i="19" s="1"/>
  <c r="I259" i="19"/>
  <c r="J259" i="19" s="1"/>
  <c r="I179" i="19"/>
  <c r="J179" i="19" s="1"/>
  <c r="I152" i="19"/>
  <c r="J152" i="19" s="1"/>
  <c r="I139" i="19"/>
  <c r="J139" i="19" s="1"/>
  <c r="I169" i="19"/>
  <c r="J169" i="19" s="1"/>
  <c r="I135" i="19"/>
  <c r="J135" i="19" s="1"/>
  <c r="I193" i="19"/>
  <c r="J193" i="19" s="1"/>
  <c r="I191" i="19"/>
  <c r="J191" i="19" s="1"/>
  <c r="I54" i="19"/>
  <c r="J54" i="19" s="1"/>
  <c r="I276" i="19"/>
  <c r="J276" i="19" s="1"/>
  <c r="I41" i="19"/>
  <c r="J41" i="19" s="1"/>
  <c r="I122" i="19"/>
  <c r="J122" i="19" s="1"/>
  <c r="I303" i="19"/>
  <c r="J303" i="19" s="1"/>
  <c r="I254" i="19"/>
  <c r="J254" i="19" s="1"/>
  <c r="I8" i="19"/>
  <c r="J8" i="19" s="1"/>
  <c r="I320" i="19"/>
  <c r="J320" i="19" s="1"/>
  <c r="I67" i="19"/>
  <c r="J67" i="19" s="1"/>
  <c r="I203" i="19"/>
  <c r="J203" i="19" s="1"/>
  <c r="I13" i="19"/>
  <c r="J13" i="19" s="1"/>
  <c r="I286" i="19"/>
  <c r="J286" i="19" s="1"/>
  <c r="I181" i="19"/>
  <c r="J181" i="19" s="1"/>
  <c r="I249" i="19"/>
  <c r="J249" i="19" s="1"/>
  <c r="I284" i="19"/>
  <c r="J284" i="19" s="1"/>
  <c r="I103" i="19"/>
  <c r="J103" i="19" s="1"/>
  <c r="I196" i="19"/>
  <c r="J196" i="19" s="1"/>
  <c r="I216" i="19"/>
  <c r="J216" i="19" s="1"/>
  <c r="I170" i="19"/>
  <c r="J170" i="19" s="1"/>
  <c r="I244" i="19"/>
  <c r="J244" i="19" s="1"/>
  <c r="I100" i="19"/>
  <c r="J100" i="19" s="1"/>
  <c r="I290" i="19"/>
  <c r="J290" i="19" s="1"/>
  <c r="I285" i="19"/>
  <c r="J285" i="19" s="1"/>
  <c r="I166" i="19"/>
  <c r="J166" i="19" s="1"/>
  <c r="I93" i="19"/>
  <c r="J93" i="19" s="1"/>
  <c r="I213" i="19"/>
  <c r="J213" i="19" s="1"/>
  <c r="I311" i="19"/>
  <c r="J311" i="19" s="1"/>
  <c r="I16" i="19"/>
  <c r="J16" i="19" s="1"/>
  <c r="I34" i="19"/>
  <c r="J34" i="19" s="1"/>
  <c r="I88" i="19"/>
  <c r="I305" i="19"/>
  <c r="J305" i="19" s="1"/>
  <c r="I301" i="19"/>
  <c r="J301" i="19" s="1"/>
  <c r="I140" i="19"/>
  <c r="J140" i="19" s="1"/>
  <c r="I159" i="19"/>
  <c r="J159" i="19" s="1"/>
  <c r="I58" i="19"/>
  <c r="I223" i="19"/>
  <c r="J223" i="19" s="1"/>
  <c r="I217" i="19"/>
  <c r="J217" i="19" s="1"/>
  <c r="I228" i="19"/>
  <c r="J228" i="19" s="1"/>
  <c r="I71" i="19"/>
  <c r="J71" i="19" s="1"/>
  <c r="I215" i="19"/>
  <c r="J215" i="19" s="1"/>
  <c r="I307" i="19"/>
  <c r="J307" i="19" s="1"/>
  <c r="I271" i="19"/>
  <c r="J271" i="19" s="1"/>
  <c r="I113" i="19"/>
  <c r="J113" i="19" s="1"/>
  <c r="I129" i="19"/>
  <c r="J129" i="19" s="1"/>
  <c r="I232" i="19"/>
  <c r="J232" i="19" s="1"/>
  <c r="I221" i="19"/>
  <c r="J221" i="19" s="1"/>
  <c r="I99" i="19"/>
  <c r="J99" i="19" s="1"/>
  <c r="I49" i="19"/>
  <c r="J49" i="19" s="1"/>
  <c r="I239" i="19"/>
  <c r="J239" i="19" s="1"/>
  <c r="I160" i="19"/>
  <c r="J160" i="19" s="1"/>
  <c r="I293" i="19"/>
  <c r="J293" i="19" s="1"/>
  <c r="I77" i="19"/>
  <c r="J77" i="19" s="1"/>
  <c r="I63" i="19"/>
  <c r="J63" i="19" s="1"/>
  <c r="I138" i="19"/>
  <c r="J138" i="19" s="1"/>
  <c r="I47" i="19"/>
  <c r="J47" i="19" s="1"/>
  <c r="I260" i="19"/>
  <c r="I265" i="19"/>
  <c r="J265" i="19" s="1"/>
  <c r="I172" i="19"/>
  <c r="J172" i="19" s="1"/>
  <c r="I187" i="19"/>
  <c r="J187" i="19" s="1"/>
  <c r="I111" i="19"/>
  <c r="J111" i="19" s="1"/>
  <c r="I251" i="19"/>
  <c r="J251" i="19" s="1"/>
  <c r="I121" i="19"/>
  <c r="J121" i="19" s="1"/>
  <c r="I5" i="19"/>
  <c r="J5" i="19" s="1"/>
  <c r="I92" i="19"/>
  <c r="J92" i="19" s="1"/>
  <c r="I56" i="19"/>
  <c r="J56" i="19" s="1"/>
  <c r="I59" i="19"/>
  <c r="J59" i="19" s="1"/>
  <c r="I101" i="19"/>
  <c r="J101" i="19" s="1"/>
  <c r="I118" i="19"/>
  <c r="J118" i="19" s="1"/>
  <c r="I158" i="19"/>
  <c r="J158" i="19" s="1"/>
  <c r="I75" i="19"/>
  <c r="J75" i="19" s="1"/>
  <c r="I242" i="19"/>
  <c r="J242" i="19" s="1"/>
  <c r="I229" i="19"/>
  <c r="J229" i="19" s="1"/>
  <c r="I164" i="19"/>
  <c r="J164" i="19" s="1"/>
  <c r="I137" i="19"/>
  <c r="J137" i="19" s="1"/>
  <c r="I312" i="19"/>
  <c r="J312" i="19" s="1"/>
  <c r="I263" i="19"/>
  <c r="J263" i="19" s="1"/>
  <c r="I39" i="19"/>
  <c r="J39" i="19" s="1"/>
  <c r="I177" i="19"/>
  <c r="J177" i="19" s="1"/>
  <c r="I275" i="19"/>
  <c r="J275" i="19" s="1"/>
  <c r="I23" i="19"/>
  <c r="J23" i="19" s="1"/>
  <c r="I147" i="19"/>
  <c r="J147" i="19" s="1"/>
  <c r="I70" i="19"/>
  <c r="J70" i="19" s="1"/>
  <c r="I157" i="19"/>
  <c r="I188" i="19"/>
  <c r="J188" i="19" s="1"/>
  <c r="I117" i="19"/>
  <c r="J117" i="19" s="1"/>
  <c r="I168" i="19"/>
  <c r="J168" i="19" s="1"/>
  <c r="I61" i="19"/>
  <c r="J61" i="19" s="1"/>
  <c r="I20" i="19"/>
  <c r="J20" i="19" s="1"/>
  <c r="I38" i="19"/>
  <c r="J38" i="19" s="1"/>
  <c r="I9" i="19"/>
  <c r="J9" i="19" s="1"/>
  <c r="I89" i="19"/>
  <c r="J89" i="19" s="1"/>
  <c r="I29" i="19"/>
  <c r="J29" i="19" s="1"/>
  <c r="I83" i="19"/>
  <c r="J83" i="19" s="1"/>
  <c r="I79" i="19"/>
  <c r="J79" i="19" s="1"/>
  <c r="I156" i="19"/>
  <c r="J156" i="19" s="1"/>
  <c r="I319" i="19"/>
  <c r="J319" i="19" s="1"/>
  <c r="I96" i="19"/>
  <c r="J96" i="19" s="1"/>
  <c r="I151" i="19"/>
  <c r="J151" i="19" s="1"/>
  <c r="I198" i="19"/>
  <c r="J198" i="19" s="1"/>
  <c r="I298" i="19"/>
  <c r="J298" i="19" s="1"/>
  <c r="I68" i="19"/>
  <c r="J68" i="19" s="1"/>
  <c r="I124" i="19"/>
  <c r="J124" i="19" s="1"/>
  <c r="I15" i="19"/>
  <c r="I14" i="19"/>
  <c r="J14" i="19" s="1"/>
  <c r="I184" i="19"/>
  <c r="J184" i="19" s="1"/>
  <c r="I189" i="19"/>
  <c r="J189" i="19" s="1"/>
  <c r="I209" i="19"/>
  <c r="J209" i="19" s="1"/>
  <c r="I64" i="19"/>
  <c r="J64" i="19" s="1"/>
  <c r="I248" i="19"/>
  <c r="J248" i="19" s="1"/>
  <c r="I279" i="19"/>
  <c r="J279" i="19" s="1"/>
  <c r="I246" i="19"/>
  <c r="J246" i="19" s="1"/>
  <c r="I78" i="19"/>
  <c r="J78" i="19" s="1"/>
  <c r="I94" i="19"/>
  <c r="J94" i="19" s="1"/>
  <c r="I238" i="19"/>
  <c r="J238" i="19" s="1"/>
  <c r="I120" i="19"/>
  <c r="J120" i="19" s="1"/>
  <c r="I182" i="19"/>
  <c r="J182" i="19" s="1"/>
  <c r="I194" i="19"/>
  <c r="J194" i="19" s="1"/>
  <c r="I220" i="19"/>
  <c r="J220" i="19" s="1"/>
  <c r="I175" i="19"/>
  <c r="J175" i="19" s="1"/>
  <c r="I226" i="19"/>
  <c r="J226" i="19" s="1"/>
  <c r="I250" i="19"/>
  <c r="J250" i="19" s="1"/>
  <c r="I258" i="19"/>
  <c r="J258" i="19" s="1"/>
  <c r="I35" i="19"/>
  <c r="J35" i="19" s="1"/>
  <c r="I243" i="19"/>
  <c r="I288" i="19"/>
  <c r="J288" i="19" s="1"/>
  <c r="I211" i="19"/>
  <c r="J211" i="19" s="1"/>
  <c r="I174" i="19"/>
  <c r="J174" i="19" s="1"/>
  <c r="I36" i="19"/>
  <c r="J36" i="19" s="1"/>
  <c r="I225" i="19"/>
  <c r="J225" i="19" s="1"/>
  <c r="I204" i="19"/>
  <c r="J204" i="19" s="1"/>
  <c r="I12" i="19"/>
  <c r="J12" i="19" s="1"/>
  <c r="I200" i="19"/>
  <c r="J200" i="19" s="1"/>
  <c r="I283" i="19"/>
  <c r="J283" i="19" s="1"/>
  <c r="I112" i="19"/>
  <c r="J112" i="19" s="1"/>
  <c r="I119" i="19"/>
  <c r="J119" i="19" s="1"/>
  <c r="I304" i="19"/>
  <c r="J304" i="19" s="1"/>
  <c r="I19" i="19"/>
  <c r="J19" i="19" s="1"/>
  <c r="I197" i="19"/>
  <c r="J197" i="19" s="1"/>
  <c r="I278" i="19"/>
  <c r="J278" i="19" s="1"/>
  <c r="I315" i="19"/>
  <c r="J315" i="19" s="1"/>
  <c r="I11" i="19"/>
  <c r="J11" i="19" s="1"/>
  <c r="I102" i="19"/>
  <c r="J102" i="19" s="1"/>
  <c r="I73" i="19"/>
  <c r="J73" i="19" s="1"/>
  <c r="I155" i="19"/>
  <c r="J155" i="19" s="1"/>
  <c r="I128" i="19"/>
  <c r="I144" i="19"/>
  <c r="J144" i="19" s="1"/>
  <c r="I90" i="19"/>
  <c r="J90" i="19" s="1"/>
  <c r="I126" i="19"/>
  <c r="J126" i="19" s="1"/>
  <c r="I143" i="19"/>
  <c r="J143" i="19" s="1"/>
  <c r="I52" i="19"/>
  <c r="J52" i="19" s="1"/>
  <c r="I295" i="19"/>
  <c r="J295" i="19" s="1"/>
  <c r="I150" i="19"/>
  <c r="J150" i="19" s="1"/>
  <c r="I28" i="19"/>
  <c r="J28" i="19" s="1"/>
  <c r="I235" i="19"/>
  <c r="J235" i="19" s="1"/>
  <c r="I317" i="19"/>
  <c r="J317" i="19" s="1"/>
  <c r="I280" i="19"/>
  <c r="J280" i="19" s="1"/>
  <c r="I76" i="19"/>
  <c r="J76" i="19" s="1"/>
  <c r="I266" i="19"/>
  <c r="J266" i="19" s="1"/>
  <c r="I282" i="19"/>
  <c r="J282" i="19" s="1"/>
  <c r="I316" i="19"/>
  <c r="J316" i="19" s="1"/>
  <c r="I153" i="19"/>
  <c r="J153" i="19" s="1"/>
  <c r="I27" i="19"/>
  <c r="J27" i="19" s="1"/>
  <c r="I318" i="19"/>
  <c r="J318" i="19" s="1"/>
  <c r="I257" i="19"/>
  <c r="J257" i="19" s="1"/>
  <c r="I142" i="19"/>
  <c r="J142" i="19" s="1"/>
  <c r="I74" i="19"/>
  <c r="J74" i="19" s="1"/>
  <c r="I21" i="19"/>
  <c r="J21" i="19" s="1"/>
  <c r="I37" i="19"/>
  <c r="J37" i="19" s="1"/>
  <c r="I82" i="19"/>
  <c r="J82" i="19" s="1"/>
  <c r="I66" i="19"/>
  <c r="J66" i="19" s="1"/>
  <c r="I245" i="19"/>
  <c r="J245" i="19" s="1"/>
  <c r="I97" i="19"/>
  <c r="J97" i="19" s="1"/>
  <c r="I136" i="19"/>
  <c r="J136" i="19" s="1"/>
  <c r="I95" i="19"/>
  <c r="J95" i="19" s="1"/>
  <c r="I212" i="19"/>
  <c r="J212" i="19" s="1"/>
  <c r="I162" i="19"/>
  <c r="J162" i="19" s="1"/>
  <c r="I262" i="19"/>
  <c r="I190" i="19"/>
  <c r="J190" i="19" s="1"/>
  <c r="I65" i="19"/>
  <c r="J65" i="19" s="1"/>
  <c r="I127" i="19"/>
  <c r="J127" i="19" s="1"/>
  <c r="I26" i="19"/>
  <c r="J26" i="19" s="1"/>
  <c r="I32" i="19"/>
  <c r="J32" i="19" s="1"/>
  <c r="I86" i="19"/>
  <c r="J86" i="19" s="1"/>
  <c r="I123" i="19"/>
  <c r="J123" i="19" s="1"/>
  <c r="I314" i="19"/>
  <c r="J314" i="19" s="1"/>
  <c r="I261" i="19"/>
  <c r="J261" i="19" s="1"/>
  <c r="I186" i="19"/>
  <c r="J186" i="19" s="1"/>
  <c r="I167" i="19"/>
  <c r="J167" i="19" s="1"/>
  <c r="I205" i="19"/>
  <c r="J205" i="19" s="1"/>
  <c r="I4" i="19"/>
  <c r="C16" i="41" l="1"/>
  <c r="J4" i="19"/>
  <c r="J157" i="19"/>
  <c r="J243" i="19"/>
  <c r="J88" i="19"/>
  <c r="I222" i="19"/>
  <c r="I3" i="19" s="1"/>
  <c r="J260" i="19"/>
  <c r="J15" i="19"/>
  <c r="J58" i="19"/>
  <c r="J247" i="19"/>
  <c r="J262" i="19"/>
  <c r="J128" i="19"/>
  <c r="B11" i="12" l="1"/>
  <c r="B12" i="12" s="1"/>
  <c r="J222" i="19"/>
  <c r="B9" i="12" l="1"/>
  <c r="B14" i="12" s="1"/>
  <c r="K1" i="19" s="1"/>
  <c r="K222" i="19" l="1"/>
  <c r="L222" i="19" s="1"/>
  <c r="K106" i="19"/>
  <c r="L106" i="19" s="1"/>
  <c r="K231" i="19"/>
  <c r="L231" i="19" s="1"/>
  <c r="K58" i="19"/>
  <c r="K314" i="19"/>
  <c r="K124" i="19"/>
  <c r="K284" i="19"/>
  <c r="K232" i="19"/>
  <c r="K30" i="19"/>
  <c r="K109" i="19"/>
  <c r="K272" i="19"/>
  <c r="K176" i="19"/>
  <c r="K132" i="19"/>
  <c r="K36" i="19"/>
  <c r="K40" i="19"/>
  <c r="K235" i="19"/>
  <c r="K89" i="19"/>
  <c r="K315" i="19"/>
  <c r="K29" i="19"/>
  <c r="K60" i="19"/>
  <c r="K181" i="19"/>
  <c r="K99" i="19"/>
  <c r="K253" i="19"/>
  <c r="K316" i="19"/>
  <c r="K25" i="19"/>
  <c r="K162" i="19"/>
  <c r="K227" i="19"/>
  <c r="K187" i="19"/>
  <c r="K159" i="19"/>
  <c r="K242" i="19"/>
  <c r="K64" i="19"/>
  <c r="K127" i="19"/>
  <c r="K163" i="19"/>
  <c r="K15" i="19"/>
  <c r="K215" i="19"/>
  <c r="K229" i="19"/>
  <c r="K302" i="19"/>
  <c r="K83" i="19"/>
  <c r="K96" i="19"/>
  <c r="K221" i="19"/>
  <c r="K154" i="19"/>
  <c r="K90" i="19"/>
  <c r="K77" i="19"/>
  <c r="K97" i="19"/>
  <c r="K133" i="19"/>
  <c r="K131" i="19"/>
  <c r="K128" i="19"/>
  <c r="K85" i="19"/>
  <c r="K308" i="19"/>
  <c r="K5" i="19"/>
  <c r="L5" i="19" s="1"/>
  <c r="O5" i="19" s="1"/>
  <c r="K319" i="19"/>
  <c r="K28" i="19"/>
  <c r="K167" i="19"/>
  <c r="K23" i="19"/>
  <c r="K252" i="19"/>
  <c r="K179" i="19"/>
  <c r="K290" i="19"/>
  <c r="K197" i="19"/>
  <c r="K80" i="19"/>
  <c r="K286" i="19"/>
  <c r="K244" i="19"/>
  <c r="K191" i="19"/>
  <c r="K100" i="19"/>
  <c r="K293" i="19"/>
  <c r="K174" i="19"/>
  <c r="K234" i="19"/>
  <c r="K301" i="19"/>
  <c r="K26" i="19"/>
  <c r="K11" i="19"/>
  <c r="K140" i="19"/>
  <c r="K188" i="19"/>
  <c r="K86" i="19"/>
  <c r="K116" i="19"/>
  <c r="K138" i="19"/>
  <c r="K182" i="19"/>
  <c r="K200" i="19"/>
  <c r="K110" i="19"/>
  <c r="K246" i="19"/>
  <c r="K208" i="19"/>
  <c r="K168" i="19"/>
  <c r="K76" i="19"/>
  <c r="K292" i="19"/>
  <c r="K262" i="19"/>
  <c r="K312" i="19"/>
  <c r="K137" i="19"/>
  <c r="K239" i="19"/>
  <c r="K243" i="19"/>
  <c r="K62" i="19"/>
  <c r="K122" i="19"/>
  <c r="K38" i="19"/>
  <c r="K151" i="19"/>
  <c r="K311" i="19"/>
  <c r="K12" i="19"/>
  <c r="K260" i="19"/>
  <c r="K281" i="19"/>
  <c r="K206" i="19"/>
  <c r="K155" i="19"/>
  <c r="K47" i="19"/>
  <c r="K18" i="19"/>
  <c r="K150" i="19"/>
  <c r="K196" i="19"/>
  <c r="K49" i="19"/>
  <c r="K153" i="19"/>
  <c r="K55" i="19"/>
  <c r="K304" i="19"/>
  <c r="K288" i="19"/>
  <c r="K240" i="19"/>
  <c r="K144" i="19"/>
  <c r="K56" i="19"/>
  <c r="K84" i="19"/>
  <c r="K173" i="19"/>
  <c r="K101" i="19"/>
  <c r="K291" i="19"/>
  <c r="K247" i="19"/>
  <c r="K277" i="19"/>
  <c r="K69" i="19"/>
  <c r="K147" i="19"/>
  <c r="K119" i="19"/>
  <c r="K274" i="19"/>
  <c r="K225" i="19"/>
  <c r="K16" i="19"/>
  <c r="K54" i="19"/>
  <c r="K14" i="19"/>
  <c r="K87" i="19"/>
  <c r="K280" i="19"/>
  <c r="K228" i="19"/>
  <c r="K75" i="19"/>
  <c r="K219" i="19"/>
  <c r="K226" i="19"/>
  <c r="K65" i="19"/>
  <c r="K145" i="19"/>
  <c r="K201" i="19"/>
  <c r="K210" i="19"/>
  <c r="K152" i="19"/>
  <c r="K279" i="19"/>
  <c r="K21" i="19"/>
  <c r="K37" i="19"/>
  <c r="K164" i="19"/>
  <c r="K149" i="19"/>
  <c r="K44" i="19"/>
  <c r="K171" i="19"/>
  <c r="K261" i="19"/>
  <c r="K276" i="19"/>
  <c r="K117" i="19"/>
  <c r="K112" i="19"/>
  <c r="K20" i="19"/>
  <c r="K299" i="19"/>
  <c r="K19" i="19"/>
  <c r="K66" i="19"/>
  <c r="K289" i="19"/>
  <c r="K139" i="19"/>
  <c r="K297" i="19"/>
  <c r="K121" i="19"/>
  <c r="K7" i="19"/>
  <c r="K203" i="19"/>
  <c r="K105" i="19"/>
  <c r="K175" i="19"/>
  <c r="K73" i="19"/>
  <c r="K143" i="19"/>
  <c r="K287" i="19"/>
  <c r="K59" i="19"/>
  <c r="K103" i="19"/>
  <c r="K317" i="19"/>
  <c r="K211" i="19"/>
  <c r="K185" i="19"/>
  <c r="K214" i="19"/>
  <c r="K258" i="19"/>
  <c r="K142" i="19"/>
  <c r="K285" i="19"/>
  <c r="K190" i="19"/>
  <c r="K102" i="19"/>
  <c r="K71" i="19"/>
  <c r="K57" i="19"/>
  <c r="K296" i="19"/>
  <c r="K193" i="19"/>
  <c r="K271" i="19"/>
  <c r="K220" i="19"/>
  <c r="K283" i="19"/>
  <c r="K309" i="19"/>
  <c r="K34" i="19"/>
  <c r="K72" i="19"/>
  <c r="K135" i="19"/>
  <c r="K108" i="19"/>
  <c r="K170" i="19"/>
  <c r="K202" i="19"/>
  <c r="K10" i="19"/>
  <c r="K172" i="19"/>
  <c r="K307" i="19"/>
  <c r="K282" i="19"/>
  <c r="K265" i="19"/>
  <c r="K81" i="19"/>
  <c r="K218" i="19"/>
  <c r="K41" i="19"/>
  <c r="K169" i="19"/>
  <c r="K125" i="19"/>
  <c r="K156" i="19"/>
  <c r="K98" i="19"/>
  <c r="K213" i="19"/>
  <c r="K46" i="19"/>
  <c r="K141" i="19"/>
  <c r="K123" i="19"/>
  <c r="K320" i="19"/>
  <c r="K35" i="19"/>
  <c r="K4" i="19"/>
  <c r="L4" i="19" s="1"/>
  <c r="M4" i="19" s="1"/>
  <c r="K126" i="19"/>
  <c r="K300" i="19"/>
  <c r="K259" i="19"/>
  <c r="K189" i="19"/>
  <c r="K43" i="19"/>
  <c r="K113" i="19"/>
  <c r="K255" i="19"/>
  <c r="K146" i="19"/>
  <c r="K192" i="19"/>
  <c r="K245" i="19"/>
  <c r="K45" i="19"/>
  <c r="K186" i="19"/>
  <c r="K27" i="19"/>
  <c r="K94" i="19"/>
  <c r="K230" i="19"/>
  <c r="K115" i="19"/>
  <c r="K51" i="19"/>
  <c r="K70" i="19"/>
  <c r="K33" i="19"/>
  <c r="K17" i="19"/>
  <c r="K78" i="19"/>
  <c r="K136" i="19"/>
  <c r="K251" i="19"/>
  <c r="K298" i="19"/>
  <c r="K205" i="19"/>
  <c r="K313" i="19"/>
  <c r="K257" i="19"/>
  <c r="K204" i="19"/>
  <c r="K199" i="19"/>
  <c r="K306" i="19"/>
  <c r="K233" i="19"/>
  <c r="K305" i="19"/>
  <c r="K177" i="19"/>
  <c r="K184" i="19"/>
  <c r="K198" i="19"/>
  <c r="K209" i="19"/>
  <c r="K74" i="19"/>
  <c r="K160" i="19"/>
  <c r="K39" i="19"/>
  <c r="K212" i="19"/>
  <c r="K250" i="19"/>
  <c r="K111" i="19"/>
  <c r="K9" i="19"/>
  <c r="K254" i="19"/>
  <c r="K6" i="19"/>
  <c r="K266" i="19"/>
  <c r="K48" i="19"/>
  <c r="K270" i="19"/>
  <c r="K223" i="19"/>
  <c r="K31" i="19"/>
  <c r="K166" i="19"/>
  <c r="K194" i="19"/>
  <c r="K275" i="19"/>
  <c r="K130" i="19"/>
  <c r="K294" i="19"/>
  <c r="K165" i="19"/>
  <c r="K195" i="19"/>
  <c r="K24" i="19"/>
  <c r="K52" i="19"/>
  <c r="K91" i="19"/>
  <c r="K118" i="19"/>
  <c r="K93" i="19"/>
  <c r="K178" i="19"/>
  <c r="K318" i="19"/>
  <c r="K216" i="19"/>
  <c r="K158" i="19"/>
  <c r="K68" i="19"/>
  <c r="K180" i="19"/>
  <c r="K8" i="19"/>
  <c r="K50" i="19"/>
  <c r="K82" i="19"/>
  <c r="K241" i="19"/>
  <c r="K238" i="19"/>
  <c r="K13" i="19"/>
  <c r="K303" i="19"/>
  <c r="K248" i="19"/>
  <c r="K63" i="19"/>
  <c r="K263" i="19"/>
  <c r="K249" i="19"/>
  <c r="K22" i="19"/>
  <c r="K42" i="19"/>
  <c r="K183" i="19"/>
  <c r="K157" i="19"/>
  <c r="K264" i="19"/>
  <c r="K53" i="19"/>
  <c r="K114" i="19"/>
  <c r="K120" i="19"/>
  <c r="K161" i="19"/>
  <c r="K295" i="19"/>
  <c r="K236" i="19"/>
  <c r="K237" i="19"/>
  <c r="K104" i="19"/>
  <c r="K107" i="19"/>
  <c r="K95" i="19"/>
  <c r="K32" i="19"/>
  <c r="K67" i="19"/>
  <c r="K148" i="19"/>
  <c r="K207" i="19"/>
  <c r="K267" i="19"/>
  <c r="K310" i="19"/>
  <c r="K268" i="19"/>
  <c r="K256" i="19"/>
  <c r="K273" i="19"/>
  <c r="K278" i="19"/>
  <c r="K79" i="19"/>
  <c r="K61" i="19"/>
  <c r="K88" i="19"/>
  <c r="K92" i="19"/>
  <c r="K224" i="19"/>
  <c r="K217" i="19"/>
  <c r="K129" i="19"/>
  <c r="K269" i="19"/>
  <c r="K134" i="19"/>
  <c r="P5" i="19" l="1"/>
  <c r="M222" i="19"/>
  <c r="O222" i="19"/>
  <c r="M5" i="19"/>
  <c r="K3" i="19" a="1"/>
  <c r="K3" i="19" s="1"/>
  <c r="M231" i="19"/>
  <c r="M106" i="19"/>
  <c r="L273" i="19"/>
  <c r="L270" i="19"/>
  <c r="L249" i="19"/>
  <c r="L39" i="19"/>
  <c r="L255" i="19"/>
  <c r="L102" i="19"/>
  <c r="L299" i="19"/>
  <c r="L107" i="19"/>
  <c r="L53" i="19"/>
  <c r="L275" i="19"/>
  <c r="L199" i="19"/>
  <c r="L123" i="19"/>
  <c r="L202" i="19"/>
  <c r="L59" i="19"/>
  <c r="L112" i="19"/>
  <c r="L37" i="19"/>
  <c r="L291" i="19"/>
  <c r="L304" i="19"/>
  <c r="L155" i="19"/>
  <c r="L122" i="19"/>
  <c r="L76" i="19"/>
  <c r="L116" i="19"/>
  <c r="L174" i="19"/>
  <c r="L290" i="19"/>
  <c r="L308" i="19"/>
  <c r="L154" i="19"/>
  <c r="L163" i="19"/>
  <c r="L25" i="19"/>
  <c r="L89" i="19"/>
  <c r="L30" i="19"/>
  <c r="L88" i="19"/>
  <c r="L267" i="19"/>
  <c r="L237" i="19"/>
  <c r="L264" i="19"/>
  <c r="L248" i="19"/>
  <c r="L180" i="19"/>
  <c r="L91" i="19"/>
  <c r="L194" i="19"/>
  <c r="L254" i="19"/>
  <c r="L209" i="19"/>
  <c r="L204" i="19"/>
  <c r="L17" i="19"/>
  <c r="L186" i="19"/>
  <c r="L189" i="19"/>
  <c r="L141" i="19"/>
  <c r="L218" i="19"/>
  <c r="L170" i="19"/>
  <c r="L271" i="19"/>
  <c r="L142" i="19"/>
  <c r="L287" i="19"/>
  <c r="L297" i="19"/>
  <c r="L117" i="19"/>
  <c r="L21" i="19"/>
  <c r="L219" i="19"/>
  <c r="L225" i="19"/>
  <c r="L101" i="19"/>
  <c r="L55" i="19"/>
  <c r="L206" i="19"/>
  <c r="L62" i="19"/>
  <c r="L168" i="19"/>
  <c r="L86" i="19"/>
  <c r="L293" i="19"/>
  <c r="L179" i="19"/>
  <c r="L85" i="19"/>
  <c r="L221" i="19"/>
  <c r="L127" i="19"/>
  <c r="L316" i="19"/>
  <c r="L235" i="19"/>
  <c r="L232" i="19"/>
  <c r="L241" i="19"/>
  <c r="L115" i="19"/>
  <c r="L95" i="19"/>
  <c r="L294" i="19"/>
  <c r="L172" i="19"/>
  <c r="L277" i="19"/>
  <c r="L310" i="19"/>
  <c r="L8" i="19"/>
  <c r="L27" i="19"/>
  <c r="L121" i="19"/>
  <c r="L134" i="19"/>
  <c r="L52" i="19"/>
  <c r="L259" i="19"/>
  <c r="L143" i="19"/>
  <c r="L75" i="19"/>
  <c r="L173" i="19"/>
  <c r="L243" i="19"/>
  <c r="L208" i="19"/>
  <c r="L188" i="19"/>
  <c r="L100" i="19"/>
  <c r="L252" i="19"/>
  <c r="L128" i="19"/>
  <c r="L96" i="19"/>
  <c r="L64" i="19"/>
  <c r="L253" i="19"/>
  <c r="L40" i="19"/>
  <c r="L284" i="19"/>
  <c r="L22" i="19"/>
  <c r="L305" i="19"/>
  <c r="L217" i="19"/>
  <c r="L178" i="19"/>
  <c r="L35" i="19"/>
  <c r="L14" i="19"/>
  <c r="L92" i="19"/>
  <c r="L63" i="19"/>
  <c r="L6" i="19"/>
  <c r="L78" i="19"/>
  <c r="L41" i="19"/>
  <c r="L285" i="19"/>
  <c r="L16" i="19"/>
  <c r="L207" i="19"/>
  <c r="L157" i="19"/>
  <c r="L68" i="19"/>
  <c r="L9" i="19"/>
  <c r="L257" i="19"/>
  <c r="L45" i="19"/>
  <c r="L81" i="19"/>
  <c r="L258" i="19"/>
  <c r="L276" i="19"/>
  <c r="L274" i="19"/>
  <c r="L281" i="19"/>
  <c r="L148" i="19"/>
  <c r="L183" i="19"/>
  <c r="L158" i="19"/>
  <c r="L24" i="19"/>
  <c r="L31" i="19"/>
  <c r="L111" i="19"/>
  <c r="L184" i="19"/>
  <c r="L313" i="19"/>
  <c r="L70" i="19"/>
  <c r="L245" i="19"/>
  <c r="L300" i="19"/>
  <c r="L213" i="19"/>
  <c r="L265" i="19"/>
  <c r="L135" i="19"/>
  <c r="L296" i="19"/>
  <c r="L214" i="19"/>
  <c r="L73" i="19"/>
  <c r="L289" i="19"/>
  <c r="L261" i="19"/>
  <c r="L152" i="19"/>
  <c r="L228" i="19"/>
  <c r="L119" i="19"/>
  <c r="L84" i="19"/>
  <c r="L49" i="19"/>
  <c r="L260" i="19"/>
  <c r="L239" i="19"/>
  <c r="L246" i="19"/>
  <c r="L140" i="19"/>
  <c r="L191" i="19"/>
  <c r="L23" i="19"/>
  <c r="L131" i="19"/>
  <c r="L83" i="19"/>
  <c r="L242" i="19"/>
  <c r="L99" i="19"/>
  <c r="L36" i="19"/>
  <c r="L124" i="19"/>
  <c r="L129" i="19"/>
  <c r="L165" i="19"/>
  <c r="L156" i="19"/>
  <c r="L120" i="19"/>
  <c r="L48" i="19"/>
  <c r="L230" i="19"/>
  <c r="L309" i="19"/>
  <c r="L149" i="19"/>
  <c r="L268" i="19"/>
  <c r="L104" i="19"/>
  <c r="L118" i="19"/>
  <c r="L74" i="19"/>
  <c r="L43" i="19"/>
  <c r="L220" i="19"/>
  <c r="L226" i="19"/>
  <c r="L61" i="19"/>
  <c r="L236" i="19"/>
  <c r="L303" i="19"/>
  <c r="L166" i="19"/>
  <c r="L198" i="19"/>
  <c r="L33" i="19"/>
  <c r="L46" i="19"/>
  <c r="L108" i="19"/>
  <c r="L193" i="19"/>
  <c r="L139" i="19"/>
  <c r="L279" i="19"/>
  <c r="L153" i="19"/>
  <c r="L269" i="19"/>
  <c r="L79" i="19"/>
  <c r="L13" i="19"/>
  <c r="L278" i="19"/>
  <c r="L67" i="19"/>
  <c r="L295" i="19"/>
  <c r="L42" i="19"/>
  <c r="L238" i="19"/>
  <c r="L216" i="19"/>
  <c r="L195" i="19"/>
  <c r="L223" i="19"/>
  <c r="L250" i="19"/>
  <c r="L177" i="19"/>
  <c r="L205" i="19"/>
  <c r="L51" i="19"/>
  <c r="L192" i="19"/>
  <c r="L126" i="19"/>
  <c r="L98" i="19"/>
  <c r="L282" i="19"/>
  <c r="O282" i="19" s="1"/>
  <c r="L72" i="19"/>
  <c r="L57" i="19"/>
  <c r="L185" i="19"/>
  <c r="L175" i="19"/>
  <c r="L66" i="19"/>
  <c r="L171" i="19"/>
  <c r="L210" i="19"/>
  <c r="L280" i="19"/>
  <c r="L147" i="19"/>
  <c r="L56" i="19"/>
  <c r="L196" i="19"/>
  <c r="L12" i="19"/>
  <c r="L137" i="19"/>
  <c r="L110" i="19"/>
  <c r="L11" i="19"/>
  <c r="L244" i="19"/>
  <c r="L167" i="19"/>
  <c r="L133" i="19"/>
  <c r="L302" i="19"/>
  <c r="L159" i="19"/>
  <c r="L181" i="19"/>
  <c r="L132" i="19"/>
  <c r="L314" i="19"/>
  <c r="L161" i="19"/>
  <c r="L212" i="19"/>
  <c r="L146" i="19"/>
  <c r="L307" i="19"/>
  <c r="L34" i="19"/>
  <c r="L71" i="19"/>
  <c r="L211" i="19"/>
  <c r="L105" i="19"/>
  <c r="L19" i="19"/>
  <c r="L44" i="19"/>
  <c r="L201" i="19"/>
  <c r="L87" i="19"/>
  <c r="L69" i="19"/>
  <c r="L144" i="19"/>
  <c r="L150" i="19"/>
  <c r="L311" i="19"/>
  <c r="L312" i="19"/>
  <c r="L200" i="19"/>
  <c r="L26" i="19"/>
  <c r="L286" i="19"/>
  <c r="O286" i="19" s="1"/>
  <c r="L28" i="19"/>
  <c r="L97" i="19"/>
  <c r="L229" i="19"/>
  <c r="L187" i="19"/>
  <c r="L60" i="19"/>
  <c r="L176" i="19"/>
  <c r="L58" i="19"/>
  <c r="L32" i="19"/>
  <c r="L251" i="19"/>
  <c r="L317" i="19"/>
  <c r="L145" i="19"/>
  <c r="L240" i="19"/>
  <c r="L18" i="19"/>
  <c r="L151" i="19"/>
  <c r="L262" i="19"/>
  <c r="L182" i="19"/>
  <c r="L301" i="19"/>
  <c r="L80" i="19"/>
  <c r="L319" i="19"/>
  <c r="L77" i="19"/>
  <c r="L215" i="19"/>
  <c r="L227" i="19"/>
  <c r="L29" i="19"/>
  <c r="L272" i="19"/>
  <c r="L318" i="19"/>
  <c r="L298" i="19"/>
  <c r="L256" i="19"/>
  <c r="L82" i="19"/>
  <c r="L233" i="19"/>
  <c r="L125" i="19"/>
  <c r="L203" i="19"/>
  <c r="L224" i="19"/>
  <c r="L114" i="19"/>
  <c r="L263" i="19"/>
  <c r="L50" i="19"/>
  <c r="L93" i="19"/>
  <c r="L130" i="19"/>
  <c r="L266" i="19"/>
  <c r="L160" i="19"/>
  <c r="L306" i="19"/>
  <c r="L136" i="19"/>
  <c r="L94" i="19"/>
  <c r="L113" i="19"/>
  <c r="L320" i="19"/>
  <c r="L169" i="19"/>
  <c r="L10" i="19"/>
  <c r="L283" i="19"/>
  <c r="L190" i="19"/>
  <c r="L103" i="19"/>
  <c r="L7" i="19"/>
  <c r="L20" i="19"/>
  <c r="L164" i="19"/>
  <c r="L65" i="19"/>
  <c r="L54" i="19"/>
  <c r="L247" i="19"/>
  <c r="L288" i="19"/>
  <c r="L47" i="19"/>
  <c r="L38" i="19"/>
  <c r="L292" i="19"/>
  <c r="L138" i="19"/>
  <c r="L234" i="19"/>
  <c r="L197" i="19"/>
  <c r="L90" i="19"/>
  <c r="L15" i="19"/>
  <c r="L162" i="19"/>
  <c r="L315" i="19"/>
  <c r="L109" i="19"/>
  <c r="O77" i="19" l="1"/>
  <c r="P77" i="19" s="1"/>
  <c r="M32" i="19"/>
  <c r="O195" i="19"/>
  <c r="M260" i="19"/>
  <c r="M148" i="19"/>
  <c r="O148" i="19"/>
  <c r="M22" i="19"/>
  <c r="O22" i="19"/>
  <c r="M273" i="19"/>
  <c r="M109" i="19"/>
  <c r="O109" i="19"/>
  <c r="P109" i="19" s="1"/>
  <c r="M113" i="19"/>
  <c r="M150" i="19"/>
  <c r="O57" i="19"/>
  <c r="M124" i="19"/>
  <c r="M281" i="19"/>
  <c r="O281" i="19"/>
  <c r="P281" i="19" s="1"/>
  <c r="M284" i="19"/>
  <c r="O284" i="19"/>
  <c r="M315" i="19"/>
  <c r="M125" i="19"/>
  <c r="M144" i="19"/>
  <c r="M238" i="19"/>
  <c r="O238" i="19"/>
  <c r="M274" i="19"/>
  <c r="O274" i="19"/>
  <c r="M41" i="19"/>
  <c r="O41" i="19"/>
  <c r="M40" i="19"/>
  <c r="M136" i="19"/>
  <c r="O136" i="19"/>
  <c r="O60" i="19"/>
  <c r="M12" i="19"/>
  <c r="O12" i="19"/>
  <c r="P282" i="19"/>
  <c r="M46" i="19"/>
  <c r="M104" i="19"/>
  <c r="M99" i="19"/>
  <c r="M119" i="19"/>
  <c r="O119" i="19"/>
  <c r="M78" i="19"/>
  <c r="M206" i="19"/>
  <c r="M116" i="19"/>
  <c r="M275" i="19"/>
  <c r="M15" i="19"/>
  <c r="M164" i="19"/>
  <c r="O164" i="19"/>
  <c r="M306" i="19"/>
  <c r="M82" i="19"/>
  <c r="O82" i="19"/>
  <c r="M182" i="19"/>
  <c r="M187" i="19"/>
  <c r="O187" i="19"/>
  <c r="M314" i="19"/>
  <c r="O314" i="19"/>
  <c r="M196" i="19"/>
  <c r="O196" i="19"/>
  <c r="O98" i="19"/>
  <c r="M295" i="19"/>
  <c r="O295" i="19"/>
  <c r="M33" i="19"/>
  <c r="M268" i="19"/>
  <c r="O268" i="19"/>
  <c r="M242" i="19"/>
  <c r="O242" i="19"/>
  <c r="M228" i="19"/>
  <c r="O228" i="19"/>
  <c r="M70" i="19"/>
  <c r="M258" i="19"/>
  <c r="O258" i="19"/>
  <c r="M6" i="19"/>
  <c r="M64" i="19"/>
  <c r="O64" i="19"/>
  <c r="M52" i="19"/>
  <c r="M232" i="19"/>
  <c r="O232" i="19"/>
  <c r="M55" i="19"/>
  <c r="O55" i="19"/>
  <c r="M141" i="19"/>
  <c r="M237" i="19"/>
  <c r="M53" i="19"/>
  <c r="O53" i="19"/>
  <c r="M224" i="19"/>
  <c r="O224" i="19"/>
  <c r="M139" i="19"/>
  <c r="M86" i="19"/>
  <c r="O86" i="19"/>
  <c r="M58" i="19"/>
  <c r="M285" i="19"/>
  <c r="O285" i="19"/>
  <c r="M290" i="19"/>
  <c r="M174" i="19"/>
  <c r="O162" i="19"/>
  <c r="M161" i="19"/>
  <c r="O161" i="19"/>
  <c r="P161" i="19" s="1"/>
  <c r="M245" i="19"/>
  <c r="O245" i="19"/>
  <c r="M160" i="19"/>
  <c r="M262" i="19"/>
  <c r="O229" i="19"/>
  <c r="M201" i="19"/>
  <c r="O201" i="19"/>
  <c r="O132" i="19"/>
  <c r="M56" i="19"/>
  <c r="O56" i="19"/>
  <c r="M126" i="19"/>
  <c r="M67" i="19"/>
  <c r="O67" i="19"/>
  <c r="M198" i="19"/>
  <c r="M149" i="19"/>
  <c r="M83" i="19"/>
  <c r="O83" i="19"/>
  <c r="M152" i="19"/>
  <c r="O152" i="19"/>
  <c r="M81" i="19"/>
  <c r="M63" i="19"/>
  <c r="O63" i="19"/>
  <c r="M96" i="19"/>
  <c r="O96" i="19"/>
  <c r="M134" i="19"/>
  <c r="O134" i="19"/>
  <c r="M235" i="19"/>
  <c r="O235" i="19"/>
  <c r="M101" i="19"/>
  <c r="O101" i="19"/>
  <c r="P101" i="19" s="1"/>
  <c r="O189" i="19"/>
  <c r="M267" i="19"/>
  <c r="M122" i="19"/>
  <c r="O122" i="19"/>
  <c r="M107" i="19"/>
  <c r="P222" i="19"/>
  <c r="M311" i="19"/>
  <c r="M265" i="19"/>
  <c r="M173" i="19"/>
  <c r="M319" i="19"/>
  <c r="O319" i="19"/>
  <c r="O213" i="19"/>
  <c r="M123" i="19"/>
  <c r="M212" i="19"/>
  <c r="M300" i="19"/>
  <c r="O300" i="19"/>
  <c r="M233" i="19"/>
  <c r="O233" i="19"/>
  <c r="M241" i="19"/>
  <c r="M7" i="19"/>
  <c r="M97" i="19"/>
  <c r="O97" i="19"/>
  <c r="M44" i="19"/>
  <c r="O44" i="19"/>
  <c r="M181" i="19"/>
  <c r="O181" i="19"/>
  <c r="M147" i="19"/>
  <c r="O147" i="19"/>
  <c r="M192" i="19"/>
  <c r="O192" i="19"/>
  <c r="M278" i="19"/>
  <c r="O278" i="19"/>
  <c r="M166" i="19"/>
  <c r="O166" i="19"/>
  <c r="M309" i="19"/>
  <c r="M131" i="19"/>
  <c r="M261" i="19"/>
  <c r="M184" i="19"/>
  <c r="O184" i="19"/>
  <c r="M45" i="19"/>
  <c r="O45" i="19"/>
  <c r="M92" i="19"/>
  <c r="O92" i="19"/>
  <c r="M128" i="19"/>
  <c r="M121" i="19"/>
  <c r="O121" i="19"/>
  <c r="M316" i="19"/>
  <c r="M225" i="19"/>
  <c r="O225" i="19"/>
  <c r="M186" i="19"/>
  <c r="O186" i="19"/>
  <c r="M88" i="19"/>
  <c r="O88" i="19"/>
  <c r="M155" i="19"/>
  <c r="M299" i="19"/>
  <c r="O299" i="19"/>
  <c r="M129" i="19"/>
  <c r="M308" i="19"/>
  <c r="O308" i="19"/>
  <c r="M146" i="19"/>
  <c r="O146" i="19"/>
  <c r="M49" i="19"/>
  <c r="M95" i="19"/>
  <c r="M118" i="19"/>
  <c r="O118" i="19"/>
  <c r="M199" i="19"/>
  <c r="O199" i="19"/>
  <c r="M69" i="19"/>
  <c r="O69" i="19"/>
  <c r="M276" i="19"/>
  <c r="O276" i="19"/>
  <c r="M103" i="19"/>
  <c r="O28" i="19"/>
  <c r="M19" i="19"/>
  <c r="M159" i="19"/>
  <c r="O280" i="19"/>
  <c r="M51" i="19"/>
  <c r="M13" i="19"/>
  <c r="O13" i="19"/>
  <c r="O303" i="19"/>
  <c r="M230" i="19"/>
  <c r="O230" i="19"/>
  <c r="M23" i="19"/>
  <c r="O23" i="19"/>
  <c r="M111" i="19"/>
  <c r="M257" i="19"/>
  <c r="M14" i="19"/>
  <c r="O14" i="19"/>
  <c r="M252" i="19"/>
  <c r="M27" i="19"/>
  <c r="M127" i="19"/>
  <c r="M219" i="19"/>
  <c r="M17" i="19"/>
  <c r="O17" i="19"/>
  <c r="M30" i="19"/>
  <c r="O30" i="19"/>
  <c r="M102" i="19"/>
  <c r="O102" i="19"/>
  <c r="M11" i="19"/>
  <c r="O11" i="19"/>
  <c r="P11" i="19" s="1"/>
  <c r="M16" i="19"/>
  <c r="M142" i="19"/>
  <c r="M110" i="19"/>
  <c r="M180" i="19"/>
  <c r="O180" i="19"/>
  <c r="M94" i="19"/>
  <c r="O94" i="19"/>
  <c r="M72" i="19"/>
  <c r="M143" i="19"/>
  <c r="M264" i="19"/>
  <c r="O264" i="19"/>
  <c r="O190" i="19"/>
  <c r="M272" i="19"/>
  <c r="M240" i="19"/>
  <c r="P286" i="19"/>
  <c r="M105" i="19"/>
  <c r="O105" i="19"/>
  <c r="O302" i="19"/>
  <c r="M210" i="19"/>
  <c r="M205" i="19"/>
  <c r="O205" i="19"/>
  <c r="M79" i="19"/>
  <c r="O79" i="19"/>
  <c r="M236" i="19"/>
  <c r="M48" i="19"/>
  <c r="O48" i="19"/>
  <c r="M191" i="19"/>
  <c r="O191" i="19"/>
  <c r="O73" i="19"/>
  <c r="P73" i="19" s="1"/>
  <c r="M31" i="19"/>
  <c r="M9" i="19"/>
  <c r="O9" i="19"/>
  <c r="M35" i="19"/>
  <c r="M100" i="19"/>
  <c r="O100" i="19"/>
  <c r="M8" i="19"/>
  <c r="M221" i="19"/>
  <c r="M21" i="19"/>
  <c r="O21" i="19"/>
  <c r="M204" i="19"/>
  <c r="O204" i="19"/>
  <c r="M89" i="19"/>
  <c r="O89" i="19"/>
  <c r="P89" i="19" s="1"/>
  <c r="M291" i="19"/>
  <c r="O291" i="19"/>
  <c r="M255" i="19"/>
  <c r="M307" i="19"/>
  <c r="O307" i="19"/>
  <c r="M202" i="19"/>
  <c r="O202" i="19"/>
  <c r="M216" i="19"/>
  <c r="O216" i="19"/>
  <c r="O108" i="19"/>
  <c r="M248" i="19"/>
  <c r="M65" i="19"/>
  <c r="M259" i="19"/>
  <c r="M20" i="19"/>
  <c r="M266" i="19"/>
  <c r="O266" i="19"/>
  <c r="M130" i="19"/>
  <c r="M138" i="19"/>
  <c r="O138" i="19"/>
  <c r="M283" i="19"/>
  <c r="M133" i="19"/>
  <c r="O133" i="19"/>
  <c r="P133" i="19" s="1"/>
  <c r="M171" i="19"/>
  <c r="O171" i="19"/>
  <c r="M269" i="19"/>
  <c r="M61" i="19"/>
  <c r="O61" i="19"/>
  <c r="O140" i="19"/>
  <c r="O214" i="19"/>
  <c r="O24" i="19"/>
  <c r="M68" i="19"/>
  <c r="M178" i="19"/>
  <c r="O178" i="19"/>
  <c r="M188" i="19"/>
  <c r="M310" i="19"/>
  <c r="M85" i="19"/>
  <c r="O85" i="19"/>
  <c r="M117" i="19"/>
  <c r="O117" i="19"/>
  <c r="M209" i="19"/>
  <c r="O209" i="19"/>
  <c r="M25" i="19"/>
  <c r="O25" i="19"/>
  <c r="M37" i="19"/>
  <c r="M39" i="19"/>
  <c r="O39" i="19"/>
  <c r="M320" i="19"/>
  <c r="O320" i="19"/>
  <c r="M43" i="19"/>
  <c r="O43" i="19"/>
  <c r="M294" i="19"/>
  <c r="M193" i="19"/>
  <c r="O193" i="19"/>
  <c r="M75" i="19"/>
  <c r="O75" i="19"/>
  <c r="M80" i="19"/>
  <c r="O80" i="19"/>
  <c r="M36" i="19"/>
  <c r="O36" i="19"/>
  <c r="P36" i="19" s="1"/>
  <c r="M170" i="19"/>
  <c r="O170" i="19"/>
  <c r="M218" i="19"/>
  <c r="M18" i="19"/>
  <c r="O18" i="19"/>
  <c r="M292" i="19"/>
  <c r="O292" i="19"/>
  <c r="M29" i="19"/>
  <c r="O29" i="19"/>
  <c r="M211" i="19"/>
  <c r="M38" i="19"/>
  <c r="O38" i="19"/>
  <c r="M10" i="19"/>
  <c r="O227" i="19"/>
  <c r="M317" i="19"/>
  <c r="M200" i="19"/>
  <c r="O200" i="19"/>
  <c r="P200" i="19" s="1"/>
  <c r="M71" i="19"/>
  <c r="O71" i="19"/>
  <c r="M167" i="19"/>
  <c r="M66" i="19"/>
  <c r="O66" i="19"/>
  <c r="M250" i="19"/>
  <c r="M153" i="19"/>
  <c r="O153" i="19"/>
  <c r="M226" i="19"/>
  <c r="M156" i="19"/>
  <c r="O156" i="19"/>
  <c r="M246" i="19"/>
  <c r="M296" i="19"/>
  <c r="O296" i="19"/>
  <c r="O158" i="19"/>
  <c r="M157" i="19"/>
  <c r="M217" i="19"/>
  <c r="O217" i="19"/>
  <c r="O208" i="19"/>
  <c r="P208" i="19" s="1"/>
  <c r="M277" i="19"/>
  <c r="M179" i="19"/>
  <c r="M297" i="19"/>
  <c r="O163" i="19"/>
  <c r="M112" i="19"/>
  <c r="M249" i="19"/>
  <c r="O249" i="19"/>
  <c r="M203" i="19"/>
  <c r="M271" i="19"/>
  <c r="O271" i="19"/>
  <c r="M176" i="19"/>
  <c r="M84" i="19"/>
  <c r="O84" i="19"/>
  <c r="M62" i="19"/>
  <c r="M301" i="19"/>
  <c r="O301" i="19"/>
  <c r="M253" i="19"/>
  <c r="O253" i="19"/>
  <c r="M90" i="19"/>
  <c r="O197" i="19"/>
  <c r="M234" i="19"/>
  <c r="O234" i="19"/>
  <c r="M93" i="19"/>
  <c r="M50" i="19"/>
  <c r="M26" i="19"/>
  <c r="O26" i="19"/>
  <c r="M47" i="19"/>
  <c r="O47" i="19"/>
  <c r="M169" i="19"/>
  <c r="M114" i="19"/>
  <c r="M215" i="19"/>
  <c r="O312" i="19"/>
  <c r="M34" i="19"/>
  <c r="O244" i="19"/>
  <c r="M175" i="19"/>
  <c r="O175" i="19"/>
  <c r="M223" i="19"/>
  <c r="M279" i="19"/>
  <c r="O279" i="19"/>
  <c r="M220" i="19"/>
  <c r="M165" i="19"/>
  <c r="O165" i="19"/>
  <c r="M239" i="19"/>
  <c r="O135" i="19"/>
  <c r="M183" i="19"/>
  <c r="O183" i="19"/>
  <c r="M207" i="19"/>
  <c r="O207" i="19"/>
  <c r="P207" i="19" s="1"/>
  <c r="M305" i="19"/>
  <c r="M243" i="19"/>
  <c r="M172" i="19"/>
  <c r="O172" i="19"/>
  <c r="M293" i="19"/>
  <c r="M287" i="19"/>
  <c r="O287" i="19"/>
  <c r="M194" i="19"/>
  <c r="O194" i="19"/>
  <c r="M154" i="19"/>
  <c r="M59" i="19"/>
  <c r="O59" i="19"/>
  <c r="M270" i="19"/>
  <c r="O270" i="19"/>
  <c r="L3" i="19" a="1"/>
  <c r="L3" i="19" s="1"/>
  <c r="M189" i="19"/>
  <c r="M304" i="19"/>
  <c r="M24" i="19"/>
  <c r="M140" i="19"/>
  <c r="M163" i="19"/>
  <c r="M158" i="19"/>
  <c r="M135" i="19"/>
  <c r="M91" i="19"/>
  <c r="M76" i="19"/>
  <c r="M73" i="19"/>
  <c r="M168" i="19"/>
  <c r="M214" i="19"/>
  <c r="M74" i="19"/>
  <c r="M247" i="19"/>
  <c r="M57" i="19"/>
  <c r="M303" i="19"/>
  <c r="M177" i="19"/>
  <c r="M282" i="19"/>
  <c r="M312" i="19"/>
  <c r="M60" i="19"/>
  <c r="M313" i="19"/>
  <c r="M244" i="19"/>
  <c r="M289" i="19"/>
  <c r="M28" i="19"/>
  <c r="M256" i="19"/>
  <c r="M195" i="19"/>
  <c r="M145" i="19"/>
  <c r="M77" i="19"/>
  <c r="M151" i="19"/>
  <c r="M298" i="19"/>
  <c r="M115" i="19"/>
  <c r="M254" i="19"/>
  <c r="M208" i="19"/>
  <c r="M132" i="19"/>
  <c r="M185" i="19"/>
  <c r="M318" i="19"/>
  <c r="M288" i="19"/>
  <c r="M213" i="19"/>
  <c r="M42" i="19"/>
  <c r="M227" i="19"/>
  <c r="M54" i="19"/>
  <c r="M162" i="19"/>
  <c r="M137" i="19"/>
  <c r="M108" i="19"/>
  <c r="M302" i="19"/>
  <c r="M286" i="19"/>
  <c r="M98" i="19"/>
  <c r="M120" i="19"/>
  <c r="M197" i="19"/>
  <c r="M229" i="19"/>
  <c r="M87" i="19"/>
  <c r="M251" i="19"/>
  <c r="M190" i="19"/>
  <c r="M280" i="19"/>
  <c r="M263" i="19"/>
  <c r="P29" i="19" l="1"/>
  <c r="P121" i="19"/>
  <c r="P172" i="19"/>
  <c r="P100" i="19"/>
  <c r="P75" i="19"/>
  <c r="P279" i="19"/>
  <c r="P253" i="19"/>
  <c r="P193" i="19"/>
  <c r="P249" i="19"/>
  <c r="P88" i="19"/>
  <c r="P132" i="19"/>
  <c r="P183" i="19"/>
  <c r="P204" i="19"/>
  <c r="P245" i="19"/>
  <c r="P301" i="19"/>
  <c r="P122" i="19"/>
  <c r="P23" i="19"/>
  <c r="P60" i="19"/>
  <c r="P238" i="19"/>
  <c r="P202" i="19"/>
  <c r="P79" i="19"/>
  <c r="P17" i="19"/>
  <c r="P181" i="19"/>
  <c r="P235" i="19"/>
  <c r="P227" i="19"/>
  <c r="P320" i="19"/>
  <c r="P117" i="19"/>
  <c r="P178" i="19"/>
  <c r="P266" i="19"/>
  <c r="P264" i="19"/>
  <c r="P180" i="19"/>
  <c r="P118" i="19"/>
  <c r="P308" i="19"/>
  <c r="P184" i="19"/>
  <c r="P166" i="19"/>
  <c r="P284" i="19"/>
  <c r="P148" i="19"/>
  <c r="P228" i="19"/>
  <c r="P295" i="19"/>
  <c r="P164" i="19"/>
  <c r="P135" i="19"/>
  <c r="P271" i="19"/>
  <c r="P158" i="19"/>
  <c r="P71" i="19"/>
  <c r="P170" i="19"/>
  <c r="P61" i="19"/>
  <c r="P108" i="19"/>
  <c r="P307" i="19"/>
  <c r="P191" i="19"/>
  <c r="P205" i="19"/>
  <c r="P14" i="19"/>
  <c r="P280" i="19"/>
  <c r="P44" i="19"/>
  <c r="P134" i="19"/>
  <c r="P64" i="19"/>
  <c r="P187" i="19"/>
  <c r="P312" i="19"/>
  <c r="P47" i="19"/>
  <c r="P153" i="19"/>
  <c r="P39" i="19"/>
  <c r="P102" i="19"/>
  <c r="P276" i="19"/>
  <c r="P278" i="19"/>
  <c r="P201" i="19"/>
  <c r="P224" i="19"/>
  <c r="P136" i="19"/>
  <c r="P292" i="19"/>
  <c r="P85" i="19"/>
  <c r="P152" i="19"/>
  <c r="P285" i="19"/>
  <c r="P48" i="19"/>
  <c r="P69" i="19"/>
  <c r="P96" i="19"/>
  <c r="P53" i="19"/>
  <c r="P55" i="19"/>
  <c r="P119" i="19"/>
  <c r="P195" i="19"/>
  <c r="P296" i="19"/>
  <c r="P21" i="19"/>
  <c r="P98" i="19"/>
  <c r="P26" i="19"/>
  <c r="P24" i="19"/>
  <c r="P138" i="19"/>
  <c r="P9" i="19"/>
  <c r="P92" i="19"/>
  <c r="P192" i="19"/>
  <c r="P97" i="19"/>
  <c r="P213" i="19"/>
  <c r="P83" i="19"/>
  <c r="P229" i="19"/>
  <c r="P196" i="19"/>
  <c r="P194" i="19"/>
  <c r="P230" i="19"/>
  <c r="P186" i="19"/>
  <c r="P233" i="19"/>
  <c r="P270" i="19"/>
  <c r="P287" i="19"/>
  <c r="P165" i="19"/>
  <c r="P175" i="19"/>
  <c r="P197" i="19"/>
  <c r="P163" i="19"/>
  <c r="P38" i="19"/>
  <c r="P18" i="19"/>
  <c r="P303" i="19"/>
  <c r="P299" i="19"/>
  <c r="P225" i="19"/>
  <c r="P319" i="19"/>
  <c r="P189" i="19"/>
  <c r="P162" i="19"/>
  <c r="P258" i="19"/>
  <c r="P268" i="19"/>
  <c r="P84" i="19"/>
  <c r="P80" i="19"/>
  <c r="P25" i="19"/>
  <c r="P214" i="19"/>
  <c r="P216" i="19"/>
  <c r="P291" i="19"/>
  <c r="P302" i="19"/>
  <c r="P30" i="19"/>
  <c r="P13" i="19"/>
  <c r="P147" i="19"/>
  <c r="P63" i="19"/>
  <c r="P232" i="19"/>
  <c r="P82" i="19"/>
  <c r="P41" i="19"/>
  <c r="P59" i="19"/>
  <c r="P217" i="19"/>
  <c r="P66" i="19"/>
  <c r="P43" i="19"/>
  <c r="P171" i="19"/>
  <c r="P190" i="19"/>
  <c r="P94" i="19"/>
  <c r="P199" i="19"/>
  <c r="P146" i="19"/>
  <c r="P45" i="19"/>
  <c r="P300" i="19"/>
  <c r="P86" i="19"/>
  <c r="P314" i="19"/>
  <c r="P57" i="19"/>
  <c r="P22" i="19"/>
  <c r="P234" i="19"/>
  <c r="P67" i="19"/>
  <c r="P242" i="19"/>
  <c r="P244" i="19"/>
  <c r="P156" i="19"/>
  <c r="P209" i="19"/>
  <c r="P140" i="19"/>
  <c r="P105" i="19"/>
  <c r="P28" i="19"/>
  <c r="P56" i="19"/>
  <c r="P12" i="19"/>
  <c r="P274" i="19"/>
  <c r="M3" i="19" a="1"/>
  <c r="M3" i="19" s="1"/>
  <c r="N4" i="19" s="1"/>
  <c r="Q4" i="19" l="1"/>
  <c r="T4" i="19" s="1"/>
  <c r="W4" i="19" s="1"/>
  <c r="O4" i="19"/>
  <c r="N5" i="19"/>
  <c r="Q5" i="19" s="1"/>
  <c r="N106" i="19"/>
  <c r="N231" i="19"/>
  <c r="O231" i="19" s="1"/>
  <c r="P231" i="19" s="1"/>
  <c r="N232" i="19"/>
  <c r="Q232" i="19" s="1"/>
  <c r="N251" i="19"/>
  <c r="N193" i="19"/>
  <c r="Q193" i="19" s="1"/>
  <c r="N38" i="19"/>
  <c r="Q38" i="19" s="1"/>
  <c r="N204" i="19"/>
  <c r="Q204" i="19" s="1"/>
  <c r="N178" i="19"/>
  <c r="Q178" i="19" s="1"/>
  <c r="N293" i="19"/>
  <c r="N196" i="19"/>
  <c r="Q196" i="19" s="1"/>
  <c r="N314" i="19"/>
  <c r="Q314" i="19" s="1"/>
  <c r="N240" i="19"/>
  <c r="N27" i="19"/>
  <c r="N121" i="19"/>
  <c r="Q121" i="19" s="1"/>
  <c r="N282" i="19"/>
  <c r="Q282" i="19" s="1"/>
  <c r="N194" i="19"/>
  <c r="Q194" i="19" s="1"/>
  <c r="N210" i="19"/>
  <c r="N78" i="19"/>
  <c r="N100" i="19"/>
  <c r="Q100" i="19" s="1"/>
  <c r="N158" i="19"/>
  <c r="Q158" i="19" s="1"/>
  <c r="N213" i="19"/>
  <c r="Q213" i="19" s="1"/>
  <c r="N224" i="19"/>
  <c r="Q224" i="19" s="1"/>
  <c r="N301" i="19"/>
  <c r="Q301" i="19" s="1"/>
  <c r="N126" i="19"/>
  <c r="N9" i="19"/>
  <c r="Q9" i="19" s="1"/>
  <c r="N36" i="19"/>
  <c r="Q36" i="19" s="1"/>
  <c r="N30" i="19"/>
  <c r="Q30" i="19" s="1"/>
  <c r="N48" i="19"/>
  <c r="Q48" i="19" s="1"/>
  <c r="N195" i="19"/>
  <c r="Q195" i="19" s="1"/>
  <c r="N143" i="19"/>
  <c r="N186" i="19"/>
  <c r="Q186" i="19" s="1"/>
  <c r="N75" i="19"/>
  <c r="Q75" i="19" s="1"/>
  <c r="N269" i="19"/>
  <c r="N320" i="19"/>
  <c r="Q320" i="19" s="1"/>
  <c r="N104" i="19"/>
  <c r="N280" i="19"/>
  <c r="Q280" i="19" s="1"/>
  <c r="N179" i="19"/>
  <c r="N175" i="19"/>
  <c r="Q175" i="19" s="1"/>
  <c r="N202" i="19"/>
  <c r="Q202" i="19" s="1"/>
  <c r="N313" i="19"/>
  <c r="N223" i="19"/>
  <c r="N174" i="19"/>
  <c r="N229" i="19"/>
  <c r="Q229" i="19" s="1"/>
  <c r="N37" i="19"/>
  <c r="N149" i="19"/>
  <c r="N63" i="19"/>
  <c r="Q63" i="19" s="1"/>
  <c r="N221" i="19"/>
  <c r="N132" i="19"/>
  <c r="Q132" i="19" s="1"/>
  <c r="N256" i="19"/>
  <c r="N316" i="19"/>
  <c r="N12" i="19"/>
  <c r="Q12" i="19" s="1"/>
  <c r="N299" i="19"/>
  <c r="Q299" i="19" s="1"/>
  <c r="N73" i="19"/>
  <c r="Q73" i="19" s="1"/>
  <c r="N91" i="19"/>
  <c r="N99" i="19"/>
  <c r="N150" i="19"/>
  <c r="N288" i="19"/>
  <c r="N129" i="19"/>
  <c r="N68" i="19"/>
  <c r="N146" i="19"/>
  <c r="Q146" i="19" s="1"/>
  <c r="N160" i="19"/>
  <c r="N261" i="19"/>
  <c r="N69" i="19"/>
  <c r="Q69" i="19" s="1"/>
  <c r="N44" i="19"/>
  <c r="Q44" i="19" s="1"/>
  <c r="N267" i="19"/>
  <c r="N88" i="19"/>
  <c r="Q88" i="19" s="1"/>
  <c r="N6" i="19"/>
  <c r="O6" i="19" s="1"/>
  <c r="P6" i="19" s="1"/>
  <c r="N13" i="19"/>
  <c r="Q13" i="19" s="1"/>
  <c r="N25" i="19"/>
  <c r="Q25" i="19" s="1"/>
  <c r="N156" i="19"/>
  <c r="Q156" i="19" s="1"/>
  <c r="N74" i="19"/>
  <c r="N85" i="19"/>
  <c r="Q85" i="19" s="1"/>
  <c r="N272" i="19"/>
  <c r="N89" i="19"/>
  <c r="Q89" i="19" s="1"/>
  <c r="N249" i="19"/>
  <c r="Q249" i="19" s="1"/>
  <c r="N15" i="19"/>
  <c r="O15" i="19" s="1"/>
  <c r="P15" i="19" s="1"/>
  <c r="N61" i="19"/>
  <c r="Q61" i="19" s="1"/>
  <c r="N247" i="19"/>
  <c r="N163" i="19"/>
  <c r="Q163" i="19" s="1"/>
  <c r="N265" i="19"/>
  <c r="N241" i="19"/>
  <c r="N266" i="19"/>
  <c r="Q266" i="19" s="1"/>
  <c r="N199" i="19"/>
  <c r="Q199" i="19" s="1"/>
  <c r="N43" i="19"/>
  <c r="Q43" i="19" s="1"/>
  <c r="N148" i="19"/>
  <c r="Q148" i="19" s="1"/>
  <c r="N268" i="19"/>
  <c r="Q268" i="19" s="1"/>
  <c r="N318" i="19"/>
  <c r="N58" i="19"/>
  <c r="O58" i="19" s="1"/>
  <c r="P58" i="19" s="1"/>
  <c r="N71" i="19"/>
  <c r="Q71" i="19" s="1"/>
  <c r="N35" i="19"/>
  <c r="N24" i="19"/>
  <c r="Q24" i="19" s="1"/>
  <c r="N257" i="19"/>
  <c r="N108" i="19"/>
  <c r="Q108" i="19" s="1"/>
  <c r="N151" i="19"/>
  <c r="N169" i="19"/>
  <c r="N46" i="19"/>
  <c r="N14" i="19"/>
  <c r="Q14" i="19" s="1"/>
  <c r="N198" i="19"/>
  <c r="N51" i="19"/>
  <c r="N312" i="19"/>
  <c r="Q312" i="19" s="1"/>
  <c r="N276" i="19"/>
  <c r="Q276" i="19" s="1"/>
  <c r="N112" i="19"/>
  <c r="N262" i="19"/>
  <c r="O262" i="19" s="1"/>
  <c r="P262" i="19" s="1"/>
  <c r="N233" i="19"/>
  <c r="Q233" i="19" s="1"/>
  <c r="N227" i="19"/>
  <c r="Q227" i="19" s="1"/>
  <c r="N7" i="19"/>
  <c r="N302" i="19"/>
  <c r="Q302" i="19" s="1"/>
  <c r="N177" i="19"/>
  <c r="N10" i="19"/>
  <c r="N220" i="19"/>
  <c r="N226" i="19"/>
  <c r="N292" i="19"/>
  <c r="Q292" i="19" s="1"/>
  <c r="N138" i="19"/>
  <c r="Q138" i="19" s="1"/>
  <c r="N11" i="19"/>
  <c r="Q11" i="19" s="1"/>
  <c r="N214" i="19"/>
  <c r="Q214" i="19" s="1"/>
  <c r="N114" i="19"/>
  <c r="N20" i="19"/>
  <c r="N286" i="19"/>
  <c r="Q286" i="19" s="1"/>
  <c r="N170" i="19"/>
  <c r="Q170" i="19" s="1"/>
  <c r="N246" i="19"/>
  <c r="N144" i="19"/>
  <c r="N184" i="19"/>
  <c r="Q184" i="19" s="1"/>
  <c r="N137" i="19"/>
  <c r="N154" i="19"/>
  <c r="N161" i="19"/>
  <c r="Q161" i="19" s="1"/>
  <c r="N228" i="19"/>
  <c r="Q228" i="19" s="1"/>
  <c r="N97" i="19"/>
  <c r="Q97" i="19" s="1"/>
  <c r="N253" i="19"/>
  <c r="Q253" i="19" s="1"/>
  <c r="N42" i="19"/>
  <c r="N21" i="19"/>
  <c r="Q21" i="19" s="1"/>
  <c r="N290" i="19"/>
  <c r="N165" i="19"/>
  <c r="Q165" i="19" s="1"/>
  <c r="N291" i="19"/>
  <c r="Q291" i="19" s="1"/>
  <c r="N273" i="19"/>
  <c r="N124" i="19"/>
  <c r="N41" i="19"/>
  <c r="Q41" i="19" s="1"/>
  <c r="N191" i="19"/>
  <c r="Q191" i="19" s="1"/>
  <c r="N119" i="19"/>
  <c r="Q119" i="19" s="1"/>
  <c r="N166" i="19"/>
  <c r="Q166" i="19" s="1"/>
  <c r="N306" i="19"/>
  <c r="N242" i="19"/>
  <c r="Q242" i="19" s="1"/>
  <c r="N279" i="19"/>
  <c r="Q279" i="19" s="1"/>
  <c r="N244" i="19"/>
  <c r="Q244" i="19" s="1"/>
  <c r="N111" i="19"/>
  <c r="N212" i="19"/>
  <c r="N209" i="19"/>
  <c r="Q209" i="19" s="1"/>
  <c r="N259" i="19"/>
  <c r="N80" i="19"/>
  <c r="Q80" i="19" s="1"/>
  <c r="N57" i="19"/>
  <c r="Q57" i="19" s="1"/>
  <c r="N34" i="19"/>
  <c r="N200" i="19"/>
  <c r="Q200" i="19" s="1"/>
  <c r="N162" i="19"/>
  <c r="Q162" i="19" s="1"/>
  <c r="N270" i="19"/>
  <c r="Q270" i="19" s="1"/>
  <c r="N217" i="19"/>
  <c r="Q217" i="19" s="1"/>
  <c r="N248" i="19"/>
  <c r="N205" i="19"/>
  <c r="Q205" i="19" s="1"/>
  <c r="N264" i="19"/>
  <c r="Q264" i="19" s="1"/>
  <c r="N208" i="19"/>
  <c r="Q208" i="19" s="1"/>
  <c r="N136" i="19"/>
  <c r="Q136" i="19" s="1"/>
  <c r="N180" i="19"/>
  <c r="Q180" i="19" s="1"/>
  <c r="N17" i="19"/>
  <c r="Q17" i="19" s="1"/>
  <c r="N133" i="19"/>
  <c r="Q133" i="19" s="1"/>
  <c r="N243" i="19"/>
  <c r="O243" i="19" s="1"/>
  <c r="P243" i="19" s="1"/>
  <c r="N206" i="19"/>
  <c r="N225" i="19"/>
  <c r="Q225" i="19" s="1"/>
  <c r="N23" i="19"/>
  <c r="Q23" i="19" s="1"/>
  <c r="N187" i="19"/>
  <c r="Q187" i="19" s="1"/>
  <c r="N82" i="19"/>
  <c r="Q82" i="19" s="1"/>
  <c r="N109" i="19"/>
  <c r="Q109" i="19" s="1"/>
  <c r="N134" i="19"/>
  <c r="Q134" i="19" s="1"/>
  <c r="N182" i="19"/>
  <c r="N8" i="19"/>
  <c r="N281" i="19"/>
  <c r="Q281" i="19" s="1"/>
  <c r="N120" i="19"/>
  <c r="N185" i="19"/>
  <c r="N173" i="19"/>
  <c r="N33" i="19"/>
  <c r="N130" i="19"/>
  <c r="N219" i="19"/>
  <c r="N181" i="19"/>
  <c r="Q181" i="19" s="1"/>
  <c r="N172" i="19"/>
  <c r="Q172" i="19" s="1"/>
  <c r="N295" i="19"/>
  <c r="Q295" i="19" s="1"/>
  <c r="N62" i="19"/>
  <c r="N95" i="19"/>
  <c r="N309" i="19"/>
  <c r="N197" i="19"/>
  <c r="Q197" i="19" s="1"/>
  <c r="N315" i="19"/>
  <c r="N245" i="19"/>
  <c r="Q245" i="19" s="1"/>
  <c r="N93" i="19"/>
  <c r="N317" i="19"/>
  <c r="N19" i="19"/>
  <c r="N90" i="19"/>
  <c r="N234" i="19"/>
  <c r="Q234" i="19" s="1"/>
  <c r="N98" i="19"/>
  <c r="Q98" i="19" s="1"/>
  <c r="N147" i="19"/>
  <c r="Q147" i="19" s="1"/>
  <c r="N16" i="19"/>
  <c r="N52" i="19"/>
  <c r="N297" i="19"/>
  <c r="N113" i="19"/>
  <c r="N271" i="19"/>
  <c r="Q271" i="19" s="1"/>
  <c r="N254" i="19"/>
  <c r="N139" i="19"/>
  <c r="N117" i="19"/>
  <c r="Q117" i="19" s="1"/>
  <c r="N159" i="19"/>
  <c r="N70" i="19"/>
  <c r="N168" i="19"/>
  <c r="N84" i="19"/>
  <c r="Q84" i="19" s="1"/>
  <c r="N18" i="19"/>
  <c r="Q18" i="19" s="1"/>
  <c r="N87" i="19"/>
  <c r="N192" i="19"/>
  <c r="Q192" i="19" s="1"/>
  <c r="N164" i="19"/>
  <c r="Q164" i="19" s="1"/>
  <c r="N135" i="19"/>
  <c r="Q135" i="19" s="1"/>
  <c r="N50" i="19"/>
  <c r="N157" i="19"/>
  <c r="O157" i="19" s="1"/>
  <c r="P157" i="19" s="1"/>
  <c r="N92" i="19"/>
  <c r="Q92" i="19" s="1"/>
  <c r="N31" i="19"/>
  <c r="N39" i="19"/>
  <c r="Q39" i="19" s="1"/>
  <c r="N285" i="19"/>
  <c r="Q285" i="19" s="1"/>
  <c r="N263" i="19"/>
  <c r="N183" i="19"/>
  <c r="Q183" i="19" s="1"/>
  <c r="N131" i="19"/>
  <c r="N56" i="19"/>
  <c r="Q56" i="19" s="1"/>
  <c r="N222" i="19"/>
  <c r="Q222" i="19" s="1"/>
  <c r="N236" i="19"/>
  <c r="N103" i="19"/>
  <c r="N188" i="19"/>
  <c r="N28" i="19"/>
  <c r="Q28" i="19" s="1"/>
  <c r="N122" i="19"/>
  <c r="Q122" i="19" s="1"/>
  <c r="N102" i="19"/>
  <c r="Q102" i="19" s="1"/>
  <c r="N45" i="19"/>
  <c r="Q45" i="19" s="1"/>
  <c r="N284" i="19"/>
  <c r="Q284" i="19" s="1"/>
  <c r="N55" i="19"/>
  <c r="Q55" i="19" s="1"/>
  <c r="N47" i="19"/>
  <c r="Q47" i="19" s="1"/>
  <c r="N67" i="19"/>
  <c r="Q67" i="19" s="1"/>
  <c r="N60" i="19"/>
  <c r="Q60" i="19" s="1"/>
  <c r="N296" i="19"/>
  <c r="Q296" i="19" s="1"/>
  <c r="N308" i="19"/>
  <c r="Q308" i="19" s="1"/>
  <c r="N215" i="19"/>
  <c r="N252" i="19"/>
  <c r="N140" i="19"/>
  <c r="Q140" i="19" s="1"/>
  <c r="N83" i="19"/>
  <c r="Q83" i="19" s="1"/>
  <c r="N258" i="19"/>
  <c r="Q258" i="19" s="1"/>
  <c r="N311" i="19"/>
  <c r="N211" i="19"/>
  <c r="N125" i="19"/>
  <c r="N171" i="19"/>
  <c r="Q171" i="19" s="1"/>
  <c r="N274" i="19"/>
  <c r="Q274" i="19" s="1"/>
  <c r="N167" i="19"/>
  <c r="N207" i="19"/>
  <c r="Q207" i="19" s="1"/>
  <c r="N310" i="19"/>
  <c r="N26" i="19"/>
  <c r="Q26" i="19" s="1"/>
  <c r="N250" i="19"/>
  <c r="N53" i="19"/>
  <c r="Q53" i="19" s="1"/>
  <c r="N118" i="19"/>
  <c r="Q118" i="19" s="1"/>
  <c r="N303" i="19"/>
  <c r="Q303" i="19" s="1"/>
  <c r="N218" i="19"/>
  <c r="N96" i="19"/>
  <c r="Q96" i="19" s="1"/>
  <c r="N155" i="19"/>
  <c r="N66" i="19"/>
  <c r="Q66" i="19" s="1"/>
  <c r="N201" i="19"/>
  <c r="Q201" i="19" s="1"/>
  <c r="N94" i="19"/>
  <c r="Q94" i="19" s="1"/>
  <c r="N277" i="19"/>
  <c r="N105" i="19"/>
  <c r="Q105" i="19" s="1"/>
  <c r="N110" i="19"/>
  <c r="N79" i="19"/>
  <c r="Q79" i="19" s="1"/>
  <c r="N304" i="19"/>
  <c r="N123" i="19"/>
  <c r="N152" i="19"/>
  <c r="Q152" i="19" s="1"/>
  <c r="N283" i="19"/>
  <c r="N141" i="19"/>
  <c r="N49" i="19"/>
  <c r="N76" i="19"/>
  <c r="N230" i="19"/>
  <c r="Q230" i="19" s="1"/>
  <c r="N29" i="19"/>
  <c r="Q29" i="19" s="1"/>
  <c r="N54" i="19"/>
  <c r="N235" i="19"/>
  <c r="Q235" i="19" s="1"/>
  <c r="N86" i="19"/>
  <c r="Q86" i="19" s="1"/>
  <c r="N238" i="19"/>
  <c r="Q238" i="19" s="1"/>
  <c r="N237" i="19"/>
  <c r="N116" i="19"/>
  <c r="N307" i="19"/>
  <c r="Q307" i="19" s="1"/>
  <c r="N77" i="19"/>
  <c r="Q77" i="19" s="1"/>
  <c r="N189" i="19"/>
  <c r="Q189" i="19" s="1"/>
  <c r="N289" i="19"/>
  <c r="N81" i="19"/>
  <c r="N22" i="19"/>
  <c r="Q22" i="19" s="1"/>
  <c r="N176" i="19"/>
  <c r="N203" i="19"/>
  <c r="N216" i="19"/>
  <c r="Q216" i="19" s="1"/>
  <c r="N101" i="19"/>
  <c r="Q101" i="19" s="1"/>
  <c r="N59" i="19"/>
  <c r="Q59" i="19" s="1"/>
  <c r="N72" i="19"/>
  <c r="N32" i="19"/>
  <c r="N294" i="19"/>
  <c r="N65" i="19"/>
  <c r="N153" i="19"/>
  <c r="Q153" i="19" s="1"/>
  <c r="N287" i="19"/>
  <c r="Q287" i="19" s="1"/>
  <c r="N278" i="19"/>
  <c r="Q278" i="19" s="1"/>
  <c r="N319" i="19"/>
  <c r="Q319" i="19" s="1"/>
  <c r="N190" i="19"/>
  <c r="Q190" i="19" s="1"/>
  <c r="N298" i="19"/>
  <c r="N142" i="19"/>
  <c r="N260" i="19"/>
  <c r="O260" i="19" s="1"/>
  <c r="P260" i="19" s="1"/>
  <c r="N305" i="19"/>
  <c r="N40" i="19"/>
  <c r="N107" i="19"/>
  <c r="N255" i="19"/>
  <c r="N145" i="19"/>
  <c r="N128" i="19"/>
  <c r="O128" i="19" s="1"/>
  <c r="P128" i="19" s="1"/>
  <c r="N64" i="19"/>
  <c r="Q64" i="19" s="1"/>
  <c r="N239" i="19"/>
  <c r="N275" i="19"/>
  <c r="N115" i="19"/>
  <c r="N300" i="19"/>
  <c r="Q300" i="19" s="1"/>
  <c r="N127" i="19"/>
  <c r="Q103" i="19" l="1"/>
  <c r="T103" i="19" s="1"/>
  <c r="W103" i="19" s="1"/>
  <c r="O103" i="19"/>
  <c r="T242" i="19"/>
  <c r="W242" i="19" s="1"/>
  <c r="R242" i="19"/>
  <c r="T227" i="19"/>
  <c r="W227" i="19" s="1"/>
  <c r="R227" i="19"/>
  <c r="T108" i="19"/>
  <c r="W108" i="19" s="1"/>
  <c r="R108" i="19"/>
  <c r="Q241" i="19"/>
  <c r="T241" i="19" s="1"/>
  <c r="W241" i="19" s="1"/>
  <c r="O241" i="19"/>
  <c r="T25" i="19"/>
  <c r="W25" i="19" s="1"/>
  <c r="R25" i="19"/>
  <c r="Q288" i="19"/>
  <c r="T288" i="19" s="1"/>
  <c r="W288" i="19" s="1"/>
  <c r="O288" i="19"/>
  <c r="Q149" i="19"/>
  <c r="T149" i="19" s="1"/>
  <c r="W149" i="19" s="1"/>
  <c r="O149" i="19"/>
  <c r="Q269" i="19"/>
  <c r="O269" i="19"/>
  <c r="T213" i="19"/>
  <c r="W213" i="19" s="1"/>
  <c r="R213" i="19"/>
  <c r="Q293" i="19"/>
  <c r="O293" i="19"/>
  <c r="Q145" i="19"/>
  <c r="O145" i="19"/>
  <c r="P145" i="19" s="1"/>
  <c r="T153" i="19"/>
  <c r="W153" i="19" s="1"/>
  <c r="R153" i="19"/>
  <c r="Q289" i="19"/>
  <c r="T289" i="19" s="1"/>
  <c r="W289" i="19" s="1"/>
  <c r="O289" i="19"/>
  <c r="Q76" i="19"/>
  <c r="O76" i="19"/>
  <c r="T201" i="19"/>
  <c r="W201" i="19" s="1"/>
  <c r="R201" i="19"/>
  <c r="Q167" i="19"/>
  <c r="T167" i="19" s="1"/>
  <c r="W167" i="19" s="1"/>
  <c r="O167" i="19"/>
  <c r="T296" i="19"/>
  <c r="W296" i="19" s="1"/>
  <c r="R296" i="19"/>
  <c r="Q236" i="19"/>
  <c r="T236" i="19" s="1"/>
  <c r="W236" i="19" s="1"/>
  <c r="O236" i="19"/>
  <c r="T135" i="19"/>
  <c r="W135" i="19" s="1"/>
  <c r="R135" i="19"/>
  <c r="T271" i="19"/>
  <c r="W271" i="19" s="1"/>
  <c r="R271" i="19"/>
  <c r="T245" i="19"/>
  <c r="W245" i="19" s="1"/>
  <c r="R245" i="19"/>
  <c r="Q173" i="19"/>
  <c r="O173" i="19"/>
  <c r="Q206" i="19"/>
  <c r="T206" i="19" s="1"/>
  <c r="W206" i="19" s="1"/>
  <c r="O206" i="19"/>
  <c r="T162" i="19"/>
  <c r="W162" i="19" s="1"/>
  <c r="R162" i="19"/>
  <c r="Q306" i="19"/>
  <c r="T306" i="19" s="1"/>
  <c r="W306" i="19" s="1"/>
  <c r="O306" i="19"/>
  <c r="T253" i="19"/>
  <c r="W253" i="19" s="1"/>
  <c r="R253" i="19"/>
  <c r="Q114" i="19"/>
  <c r="T114" i="19" s="1"/>
  <c r="W114" i="19" s="1"/>
  <c r="X114" i="19" s="1"/>
  <c r="O114" i="19"/>
  <c r="T233" i="19"/>
  <c r="W233" i="19" s="1"/>
  <c r="R233" i="19"/>
  <c r="Q257" i="19"/>
  <c r="T257" i="19" s="1"/>
  <c r="W257" i="19" s="1"/>
  <c r="O257" i="19"/>
  <c r="Q265" i="19"/>
  <c r="T265" i="19" s="1"/>
  <c r="W265" i="19" s="1"/>
  <c r="O265" i="19"/>
  <c r="T13" i="19"/>
  <c r="W13" i="19" s="1"/>
  <c r="R13" i="19"/>
  <c r="Q150" i="19"/>
  <c r="T150" i="19" s="1"/>
  <c r="W150" i="19" s="1"/>
  <c r="O150" i="19"/>
  <c r="Q37" i="19"/>
  <c r="T37" i="19" s="1"/>
  <c r="W37" i="19" s="1"/>
  <c r="O37" i="19"/>
  <c r="T75" i="19"/>
  <c r="W75" i="19" s="1"/>
  <c r="X75" i="19" s="1"/>
  <c r="R75" i="19"/>
  <c r="T158" i="19"/>
  <c r="W158" i="19" s="1"/>
  <c r="R158" i="19"/>
  <c r="T178" i="19"/>
  <c r="W178" i="19" s="1"/>
  <c r="R178" i="19"/>
  <c r="T230" i="19"/>
  <c r="W230" i="19" s="1"/>
  <c r="R230" i="19"/>
  <c r="T270" i="19"/>
  <c r="W270" i="19" s="1"/>
  <c r="R270" i="19"/>
  <c r="T229" i="19"/>
  <c r="W229" i="19" s="1"/>
  <c r="R229" i="19"/>
  <c r="Q294" i="19"/>
  <c r="T294" i="19" s="1"/>
  <c r="W294" i="19" s="1"/>
  <c r="O294" i="19"/>
  <c r="Q297" i="19"/>
  <c r="T297" i="19" s="1"/>
  <c r="W297" i="19" s="1"/>
  <c r="O297" i="19"/>
  <c r="T228" i="19"/>
  <c r="W228" i="19" s="1"/>
  <c r="R228" i="19"/>
  <c r="R11" i="19"/>
  <c r="T11" i="19"/>
  <c r="W11" i="19" s="1"/>
  <c r="Q35" i="19"/>
  <c r="T35" i="19" s="1"/>
  <c r="W35" i="19" s="1"/>
  <c r="O35" i="19"/>
  <c r="Q283" i="19"/>
  <c r="T283" i="19" s="1"/>
  <c r="W283" i="19" s="1"/>
  <c r="X283" i="19" s="1"/>
  <c r="O283" i="19"/>
  <c r="T47" i="19"/>
  <c r="W47" i="19" s="1"/>
  <c r="R47" i="19"/>
  <c r="Q131" i="19"/>
  <c r="T131" i="19" s="1"/>
  <c r="W131" i="19" s="1"/>
  <c r="O131" i="19"/>
  <c r="Q87" i="19"/>
  <c r="T87" i="19" s="1"/>
  <c r="W87" i="19" s="1"/>
  <c r="O87" i="19"/>
  <c r="Q52" i="19"/>
  <c r="T52" i="19" s="1"/>
  <c r="W52" i="19" s="1"/>
  <c r="O52" i="19"/>
  <c r="Q309" i="19"/>
  <c r="T309" i="19" s="1"/>
  <c r="W309" i="19" s="1"/>
  <c r="O309" i="19"/>
  <c r="R281" i="19"/>
  <c r="T281" i="19"/>
  <c r="W281" i="19" s="1"/>
  <c r="T17" i="19"/>
  <c r="W17" i="19" s="1"/>
  <c r="X17" i="19" s="1"/>
  <c r="R17" i="19"/>
  <c r="T57" i="19"/>
  <c r="W57" i="19" s="1"/>
  <c r="R57" i="19"/>
  <c r="T191" i="19"/>
  <c r="W191" i="19" s="1"/>
  <c r="R191" i="19"/>
  <c r="R161" i="19"/>
  <c r="T161" i="19"/>
  <c r="W161" i="19" s="1"/>
  <c r="T138" i="19"/>
  <c r="W138" i="19" s="1"/>
  <c r="R138" i="19"/>
  <c r="T276" i="19"/>
  <c r="W276" i="19" s="1"/>
  <c r="R276" i="19"/>
  <c r="T71" i="19"/>
  <c r="W71" i="19" s="1"/>
  <c r="X71" i="19" s="1"/>
  <c r="R71" i="19"/>
  <c r="T61" i="19"/>
  <c r="W61" i="19" s="1"/>
  <c r="R61" i="19"/>
  <c r="Q267" i="19"/>
  <c r="T267" i="19" s="1"/>
  <c r="W267" i="19" s="1"/>
  <c r="O267" i="19"/>
  <c r="R73" i="19"/>
  <c r="T73" i="19"/>
  <c r="W73" i="19" s="1"/>
  <c r="Q223" i="19"/>
  <c r="T223" i="19" s="1"/>
  <c r="W223" i="19" s="1"/>
  <c r="O223" i="19"/>
  <c r="T195" i="19"/>
  <c r="W195" i="19" s="1"/>
  <c r="R195" i="19"/>
  <c r="Q210" i="19"/>
  <c r="T210" i="19" s="1"/>
  <c r="W210" i="19" s="1"/>
  <c r="O210" i="19"/>
  <c r="T193" i="19"/>
  <c r="R193" i="19"/>
  <c r="S193" i="19" s="1"/>
  <c r="Q93" i="19"/>
  <c r="T93" i="19" s="1"/>
  <c r="W93" i="19" s="1"/>
  <c r="O93" i="19"/>
  <c r="T66" i="19"/>
  <c r="W66" i="19" s="1"/>
  <c r="R66" i="19"/>
  <c r="T166" i="19"/>
  <c r="W166" i="19" s="1"/>
  <c r="R166" i="19"/>
  <c r="T186" i="19"/>
  <c r="W186" i="19" s="1"/>
  <c r="R186" i="19"/>
  <c r="R77" i="19"/>
  <c r="T77" i="19"/>
  <c r="W77" i="19" s="1"/>
  <c r="T197" i="19"/>
  <c r="W197" i="19" s="1"/>
  <c r="R197" i="19"/>
  <c r="Q91" i="19"/>
  <c r="T91" i="19" s="1"/>
  <c r="W91" i="19" s="1"/>
  <c r="O91" i="19"/>
  <c r="Q40" i="19"/>
  <c r="T40" i="19" s="1"/>
  <c r="W40" i="19" s="1"/>
  <c r="O40" i="19"/>
  <c r="Q116" i="19"/>
  <c r="T116" i="19" s="1"/>
  <c r="W116" i="19" s="1"/>
  <c r="O116" i="19"/>
  <c r="Q218" i="19"/>
  <c r="T218" i="19" s="1"/>
  <c r="W218" i="19" s="1"/>
  <c r="X218" i="19" s="1"/>
  <c r="O218" i="19"/>
  <c r="Q211" i="19"/>
  <c r="T211" i="19" s="1"/>
  <c r="W211" i="19" s="1"/>
  <c r="O211" i="19"/>
  <c r="T55" i="19"/>
  <c r="W55" i="19" s="1"/>
  <c r="R55" i="19"/>
  <c r="T183" i="19"/>
  <c r="W183" i="19" s="1"/>
  <c r="R183" i="19"/>
  <c r="T18" i="19"/>
  <c r="W18" i="19" s="1"/>
  <c r="R18" i="19"/>
  <c r="Q16" i="19"/>
  <c r="T16" i="19" s="1"/>
  <c r="W16" i="19" s="1"/>
  <c r="O16" i="19"/>
  <c r="Q95" i="19"/>
  <c r="T95" i="19" s="1"/>
  <c r="W95" i="19" s="1"/>
  <c r="O95" i="19"/>
  <c r="Q8" i="19"/>
  <c r="T8" i="19" s="1"/>
  <c r="W8" i="19" s="1"/>
  <c r="X8" i="19" s="1"/>
  <c r="O8" i="19"/>
  <c r="T180" i="19"/>
  <c r="W180" i="19" s="1"/>
  <c r="R180" i="19"/>
  <c r="T80" i="19"/>
  <c r="W80" i="19" s="1"/>
  <c r="R80" i="19"/>
  <c r="T41" i="19"/>
  <c r="W41" i="19" s="1"/>
  <c r="R41" i="19"/>
  <c r="Q154" i="19"/>
  <c r="T154" i="19" s="1"/>
  <c r="W154" i="19" s="1"/>
  <c r="O154" i="19"/>
  <c r="T292" i="19"/>
  <c r="W292" i="19" s="1"/>
  <c r="X292" i="19" s="1"/>
  <c r="R292" i="19"/>
  <c r="T312" i="19"/>
  <c r="W312" i="19" s="1"/>
  <c r="R312" i="19"/>
  <c r="T44" i="19"/>
  <c r="W44" i="19" s="1"/>
  <c r="R44" i="19"/>
  <c r="T299" i="19"/>
  <c r="W299" i="19" s="1"/>
  <c r="R299" i="19"/>
  <c r="Q313" i="19"/>
  <c r="T313" i="19" s="1"/>
  <c r="W313" i="19" s="1"/>
  <c r="O313" i="19"/>
  <c r="T48" i="19"/>
  <c r="W48" i="19" s="1"/>
  <c r="R48" i="19"/>
  <c r="T194" i="19"/>
  <c r="W194" i="19" s="1"/>
  <c r="X194" i="19" s="1"/>
  <c r="R194" i="19"/>
  <c r="Q251" i="19"/>
  <c r="T251" i="19" s="1"/>
  <c r="W251" i="19" s="1"/>
  <c r="O251" i="19"/>
  <c r="Q50" i="19"/>
  <c r="T50" i="19" s="1"/>
  <c r="W50" i="19" s="1"/>
  <c r="O50" i="19"/>
  <c r="T189" i="19"/>
  <c r="W189" i="19" s="1"/>
  <c r="R189" i="19"/>
  <c r="Q113" i="19"/>
  <c r="O113" i="19"/>
  <c r="T192" i="19"/>
  <c r="W192" i="19" s="1"/>
  <c r="R192" i="19"/>
  <c r="Q174" i="19"/>
  <c r="T174" i="19" s="1"/>
  <c r="W174" i="19" s="1"/>
  <c r="O174" i="19"/>
  <c r="T307" i="19"/>
  <c r="W307" i="19" s="1"/>
  <c r="X307" i="19" s="1"/>
  <c r="R307" i="19"/>
  <c r="Q123" i="19"/>
  <c r="T123" i="19" s="1"/>
  <c r="W123" i="19" s="1"/>
  <c r="O123" i="19"/>
  <c r="T303" i="19"/>
  <c r="W303" i="19" s="1"/>
  <c r="R303" i="19"/>
  <c r="Q311" i="19"/>
  <c r="T311" i="19" s="1"/>
  <c r="W311" i="19" s="1"/>
  <c r="O311" i="19"/>
  <c r="T284" i="19"/>
  <c r="W284" i="19" s="1"/>
  <c r="R284" i="19"/>
  <c r="Q263" i="19"/>
  <c r="T263" i="19" s="1"/>
  <c r="W263" i="19" s="1"/>
  <c r="O263" i="19"/>
  <c r="T84" i="19"/>
  <c r="W84" i="19" s="1"/>
  <c r="R84" i="19"/>
  <c r="T147" i="19"/>
  <c r="W147" i="19" s="1"/>
  <c r="R147" i="19"/>
  <c r="Q62" i="19"/>
  <c r="T62" i="19" s="1"/>
  <c r="W62" i="19" s="1"/>
  <c r="O62" i="19"/>
  <c r="Q182" i="19"/>
  <c r="T182" i="19" s="1"/>
  <c r="W182" i="19" s="1"/>
  <c r="O182" i="19"/>
  <c r="T136" i="19"/>
  <c r="W136" i="19" s="1"/>
  <c r="R136" i="19"/>
  <c r="Q259" i="19"/>
  <c r="T259" i="19" s="1"/>
  <c r="W259" i="19" s="1"/>
  <c r="O259" i="19"/>
  <c r="Q124" i="19"/>
  <c r="T124" i="19" s="1"/>
  <c r="W124" i="19" s="1"/>
  <c r="X124" i="19" s="1"/>
  <c r="O124" i="19"/>
  <c r="Q137" i="19"/>
  <c r="T137" i="19" s="1"/>
  <c r="W137" i="19" s="1"/>
  <c r="O137" i="19"/>
  <c r="Q226" i="19"/>
  <c r="T226" i="19" s="1"/>
  <c r="W226" i="19" s="1"/>
  <c r="O226" i="19"/>
  <c r="Q51" i="19"/>
  <c r="T51" i="19" s="1"/>
  <c r="W51" i="19" s="1"/>
  <c r="O51" i="19"/>
  <c r="Q318" i="19"/>
  <c r="T318" i="19" s="1"/>
  <c r="W318" i="19" s="1"/>
  <c r="O318" i="19"/>
  <c r="R249" i="19"/>
  <c r="T249" i="19"/>
  <c r="W249" i="19" s="1"/>
  <c r="T69" i="19"/>
  <c r="W69" i="19" s="1"/>
  <c r="X69" i="19" s="1"/>
  <c r="R69" i="19"/>
  <c r="T12" i="19"/>
  <c r="W12" i="19" s="1"/>
  <c r="R12" i="19"/>
  <c r="T202" i="19"/>
  <c r="W202" i="19" s="1"/>
  <c r="R202" i="19"/>
  <c r="T30" i="19"/>
  <c r="W30" i="19" s="1"/>
  <c r="R30" i="19"/>
  <c r="T282" i="19"/>
  <c r="W282" i="19" s="1"/>
  <c r="R282" i="19"/>
  <c r="T232" i="19"/>
  <c r="W232" i="19" s="1"/>
  <c r="X232" i="19" s="1"/>
  <c r="R232" i="19"/>
  <c r="R207" i="19"/>
  <c r="T207" i="19"/>
  <c r="W207" i="19" s="1"/>
  <c r="Q42" i="19"/>
  <c r="T42" i="19" s="1"/>
  <c r="W42" i="19" s="1"/>
  <c r="O42" i="19"/>
  <c r="T60" i="19"/>
  <c r="W60" i="19" s="1"/>
  <c r="R60" i="19"/>
  <c r="R200" i="19"/>
  <c r="T200" i="19"/>
  <c r="W200" i="19" s="1"/>
  <c r="T24" i="19"/>
  <c r="W24" i="19" s="1"/>
  <c r="R24" i="19"/>
  <c r="T67" i="19"/>
  <c r="W67" i="19" s="1"/>
  <c r="R67" i="19"/>
  <c r="T38" i="19"/>
  <c r="W38" i="19" s="1"/>
  <c r="R38" i="19"/>
  <c r="Q72" i="19"/>
  <c r="T72" i="19" s="1"/>
  <c r="W72" i="19" s="1"/>
  <c r="O72" i="19"/>
  <c r="T238" i="19"/>
  <c r="W238" i="19" s="1"/>
  <c r="R238" i="19"/>
  <c r="T258" i="19"/>
  <c r="W258" i="19" s="1"/>
  <c r="R258" i="19"/>
  <c r="T45" i="19"/>
  <c r="W45" i="19" s="1"/>
  <c r="R45" i="19"/>
  <c r="T285" i="19"/>
  <c r="W285" i="19" s="1"/>
  <c r="R285" i="19"/>
  <c r="Q168" i="19"/>
  <c r="O168" i="19"/>
  <c r="T98" i="19"/>
  <c r="W98" i="19" s="1"/>
  <c r="R98" i="19"/>
  <c r="T295" i="19"/>
  <c r="W295" i="19" s="1"/>
  <c r="R295" i="19"/>
  <c r="T134" i="19"/>
  <c r="W134" i="19" s="1"/>
  <c r="R134" i="19"/>
  <c r="R208" i="19"/>
  <c r="T208" i="19"/>
  <c r="W208" i="19" s="1"/>
  <c r="T209" i="19"/>
  <c r="W209" i="19" s="1"/>
  <c r="R209" i="19"/>
  <c r="Q273" i="19"/>
  <c r="T273" i="19" s="1"/>
  <c r="W273" i="19" s="1"/>
  <c r="X273" i="19" s="1"/>
  <c r="O273" i="19"/>
  <c r="T184" i="19"/>
  <c r="W184" i="19" s="1"/>
  <c r="R184" i="19"/>
  <c r="Q220" i="19"/>
  <c r="T220" i="19" s="1"/>
  <c r="W220" i="19" s="1"/>
  <c r="O220" i="19"/>
  <c r="Q198" i="19"/>
  <c r="T198" i="19" s="1"/>
  <c r="W198" i="19" s="1"/>
  <c r="O198" i="19"/>
  <c r="T268" i="19"/>
  <c r="W268" i="19" s="1"/>
  <c r="R268" i="19"/>
  <c r="R89" i="19"/>
  <c r="T89" i="19"/>
  <c r="W89" i="19" s="1"/>
  <c r="X89" i="19" s="1"/>
  <c r="Q261" i="19"/>
  <c r="O261" i="19"/>
  <c r="Q316" i="19"/>
  <c r="T316" i="19" s="1"/>
  <c r="W316" i="19" s="1"/>
  <c r="O316" i="19"/>
  <c r="T175" i="19"/>
  <c r="W175" i="19" s="1"/>
  <c r="R175" i="19"/>
  <c r="R36" i="19"/>
  <c r="T36" i="19"/>
  <c r="W36" i="19" s="1"/>
  <c r="T121" i="19"/>
  <c r="W121" i="19" s="1"/>
  <c r="R121" i="19"/>
  <c r="T94" i="19"/>
  <c r="W94" i="19" s="1"/>
  <c r="X94" i="19" s="1"/>
  <c r="R94" i="19"/>
  <c r="Q33" i="19"/>
  <c r="T33" i="19" s="1"/>
  <c r="W33" i="19" s="1"/>
  <c r="X33" i="19" s="1"/>
  <c r="O33" i="19"/>
  <c r="Q49" i="19"/>
  <c r="T49" i="19" s="1"/>
  <c r="W49" i="19" s="1"/>
  <c r="O49" i="19"/>
  <c r="T164" i="19"/>
  <c r="W164" i="19" s="1"/>
  <c r="R164" i="19"/>
  <c r="T214" i="19"/>
  <c r="W214" i="19" s="1"/>
  <c r="R214" i="19"/>
  <c r="T163" i="19"/>
  <c r="W163" i="19" s="1"/>
  <c r="R163" i="19"/>
  <c r="Q155" i="19"/>
  <c r="T155" i="19" s="1"/>
  <c r="W155" i="19" s="1"/>
  <c r="O155" i="19"/>
  <c r="T119" i="19"/>
  <c r="W119" i="19" s="1"/>
  <c r="R119" i="19"/>
  <c r="Q78" i="19"/>
  <c r="T78" i="19" s="1"/>
  <c r="W78" i="19" s="1"/>
  <c r="O78" i="19"/>
  <c r="T152" i="19"/>
  <c r="W152" i="19" s="1"/>
  <c r="R152" i="19"/>
  <c r="T300" i="19"/>
  <c r="W300" i="19" s="1"/>
  <c r="R300" i="19"/>
  <c r="T216" i="19"/>
  <c r="W216" i="19" s="1"/>
  <c r="R216" i="19"/>
  <c r="T53" i="19"/>
  <c r="W53" i="19" s="1"/>
  <c r="R53" i="19"/>
  <c r="T83" i="19"/>
  <c r="W83" i="19" s="1"/>
  <c r="X83" i="19" s="1"/>
  <c r="R83" i="19"/>
  <c r="T102" i="19"/>
  <c r="W102" i="19" s="1"/>
  <c r="R102" i="19"/>
  <c r="T39" i="19"/>
  <c r="W39" i="19" s="1"/>
  <c r="R39" i="19"/>
  <c r="Q70" i="19"/>
  <c r="T70" i="19" s="1"/>
  <c r="W70" i="19" s="1"/>
  <c r="O70" i="19"/>
  <c r="T234" i="19"/>
  <c r="W234" i="19" s="1"/>
  <c r="R234" i="19"/>
  <c r="T172" i="19"/>
  <c r="W172" i="19" s="1"/>
  <c r="R172" i="19"/>
  <c r="R109" i="19"/>
  <c r="T109" i="19"/>
  <c r="W109" i="19" s="1"/>
  <c r="X109" i="19" s="1"/>
  <c r="T264" i="19"/>
  <c r="W264" i="19" s="1"/>
  <c r="R264" i="19"/>
  <c r="Q212" i="19"/>
  <c r="T212" i="19" s="1"/>
  <c r="W212" i="19" s="1"/>
  <c r="O212" i="19"/>
  <c r="T291" i="19"/>
  <c r="W291" i="19" s="1"/>
  <c r="R291" i="19"/>
  <c r="Q144" i="19"/>
  <c r="T144" i="19" s="1"/>
  <c r="W144" i="19" s="1"/>
  <c r="O144" i="19"/>
  <c r="Q10" i="19"/>
  <c r="T10" i="19" s="1"/>
  <c r="W10" i="19" s="1"/>
  <c r="O10" i="19"/>
  <c r="T14" i="19"/>
  <c r="W14" i="19" s="1"/>
  <c r="R14" i="19"/>
  <c r="T148" i="19"/>
  <c r="W148" i="19" s="1"/>
  <c r="R148" i="19"/>
  <c r="Q272" i="19"/>
  <c r="T272" i="19" s="1"/>
  <c r="W272" i="19" s="1"/>
  <c r="O272" i="19"/>
  <c r="Q160" i="19"/>
  <c r="T160" i="19" s="1"/>
  <c r="W160" i="19" s="1"/>
  <c r="O160" i="19"/>
  <c r="Q256" i="19"/>
  <c r="T256" i="19" s="1"/>
  <c r="W256" i="19" s="1"/>
  <c r="O256" i="19"/>
  <c r="Q179" i="19"/>
  <c r="T179" i="19" s="1"/>
  <c r="W179" i="19" s="1"/>
  <c r="X179" i="19" s="1"/>
  <c r="O179" i="19"/>
  <c r="T9" i="19"/>
  <c r="W9" i="19" s="1"/>
  <c r="X9" i="19" s="1"/>
  <c r="R9" i="19"/>
  <c r="Q27" i="19"/>
  <c r="T27" i="19" s="1"/>
  <c r="W27" i="19" s="1"/>
  <c r="O27" i="19"/>
  <c r="Q106" i="19"/>
  <c r="T106" i="19" s="1"/>
  <c r="W106" i="19" s="1"/>
  <c r="O106" i="19"/>
  <c r="T287" i="19"/>
  <c r="W287" i="19" s="1"/>
  <c r="R287" i="19"/>
  <c r="T225" i="19"/>
  <c r="W225" i="19" s="1"/>
  <c r="R225" i="19"/>
  <c r="Q65" i="19"/>
  <c r="O65" i="19"/>
  <c r="P65" i="19" s="1"/>
  <c r="Q315" i="19"/>
  <c r="T315" i="19" s="1"/>
  <c r="W315" i="19" s="1"/>
  <c r="X315" i="19" s="1"/>
  <c r="O315" i="19"/>
  <c r="T204" i="19"/>
  <c r="W204" i="19" s="1"/>
  <c r="R204" i="19"/>
  <c r="T56" i="19"/>
  <c r="W56" i="19" s="1"/>
  <c r="R56" i="19"/>
  <c r="Q34" i="19"/>
  <c r="T34" i="19" s="1"/>
  <c r="W34" i="19" s="1"/>
  <c r="X34" i="19" s="1"/>
  <c r="O34" i="19"/>
  <c r="Q112" i="19"/>
  <c r="T112" i="19" s="1"/>
  <c r="W112" i="19" s="1"/>
  <c r="O112" i="19"/>
  <c r="Q247" i="19"/>
  <c r="T247" i="19" s="1"/>
  <c r="W247" i="19" s="1"/>
  <c r="O247" i="19"/>
  <c r="Q125" i="19"/>
  <c r="O125" i="19"/>
  <c r="P125" i="19" s="1"/>
  <c r="Q127" i="19"/>
  <c r="T127" i="19" s="1"/>
  <c r="W127" i="19" s="1"/>
  <c r="O127" i="19"/>
  <c r="R101" i="19"/>
  <c r="T101" i="19"/>
  <c r="W101" i="19" s="1"/>
  <c r="Q115" i="19"/>
  <c r="T115" i="19" s="1"/>
  <c r="W115" i="19" s="1"/>
  <c r="O115" i="19"/>
  <c r="Q110" i="19"/>
  <c r="T110" i="19" s="1"/>
  <c r="W110" i="19" s="1"/>
  <c r="O110" i="19"/>
  <c r="T122" i="19"/>
  <c r="W122" i="19" s="1"/>
  <c r="X122" i="19" s="1"/>
  <c r="R122" i="19"/>
  <c r="Q31" i="19"/>
  <c r="T31" i="19" s="1"/>
  <c r="W31" i="19" s="1"/>
  <c r="O31" i="19"/>
  <c r="Q159" i="19"/>
  <c r="T159" i="19" s="1"/>
  <c r="W159" i="19" s="1"/>
  <c r="O159" i="19"/>
  <c r="Q90" i="19"/>
  <c r="T90" i="19" s="1"/>
  <c r="W90" i="19" s="1"/>
  <c r="O90" i="19"/>
  <c r="T181" i="19"/>
  <c r="W181" i="19" s="1"/>
  <c r="R181" i="19"/>
  <c r="T82" i="19"/>
  <c r="W82" i="19" s="1"/>
  <c r="R82" i="19"/>
  <c r="T205" i="19"/>
  <c r="W205" i="19" s="1"/>
  <c r="R205" i="19"/>
  <c r="Q111" i="19"/>
  <c r="T111" i="19" s="1"/>
  <c r="W111" i="19" s="1"/>
  <c r="O111" i="19"/>
  <c r="T165" i="19"/>
  <c r="W165" i="19" s="1"/>
  <c r="R165" i="19"/>
  <c r="Q246" i="19"/>
  <c r="T246" i="19" s="1"/>
  <c r="W246" i="19" s="1"/>
  <c r="O246" i="19"/>
  <c r="Q177" i="19"/>
  <c r="O177" i="19"/>
  <c r="P177" i="19" s="1"/>
  <c r="Q46" i="19"/>
  <c r="T46" i="19" s="1"/>
  <c r="W46" i="19" s="1"/>
  <c r="O46" i="19"/>
  <c r="T43" i="19"/>
  <c r="W43" i="19" s="1"/>
  <c r="R43" i="19"/>
  <c r="T85" i="19"/>
  <c r="W85" i="19" s="1"/>
  <c r="R85" i="19"/>
  <c r="T146" i="19"/>
  <c r="W146" i="19" s="1"/>
  <c r="R146" i="19"/>
  <c r="T132" i="19"/>
  <c r="W132" i="19" s="1"/>
  <c r="R132" i="19"/>
  <c r="T280" i="19"/>
  <c r="W280" i="19" s="1"/>
  <c r="R280" i="19"/>
  <c r="Q126" i="19"/>
  <c r="T126" i="19" s="1"/>
  <c r="W126" i="19" s="1"/>
  <c r="O126" i="19"/>
  <c r="Q240" i="19"/>
  <c r="T240" i="19" s="1"/>
  <c r="W240" i="19" s="1"/>
  <c r="X240" i="19" s="1"/>
  <c r="O240" i="19"/>
  <c r="T5" i="19"/>
  <c r="W5" i="19" s="1"/>
  <c r="R5" i="19"/>
  <c r="Q254" i="19"/>
  <c r="T254" i="19" s="1"/>
  <c r="W254" i="19" s="1"/>
  <c r="O254" i="19"/>
  <c r="Q255" i="19"/>
  <c r="T255" i="19" s="1"/>
  <c r="W255" i="19" s="1"/>
  <c r="O255" i="19"/>
  <c r="T222" i="19"/>
  <c r="W222" i="19" s="1"/>
  <c r="R222" i="19"/>
  <c r="T97" i="19"/>
  <c r="W97" i="19" s="1"/>
  <c r="R97" i="19"/>
  <c r="Q99" i="19"/>
  <c r="T99" i="19" s="1"/>
  <c r="W99" i="19" s="1"/>
  <c r="X99" i="19" s="1"/>
  <c r="O99" i="19"/>
  <c r="Q141" i="19"/>
  <c r="T141" i="19" s="1"/>
  <c r="W141" i="19" s="1"/>
  <c r="X141" i="19" s="1"/>
  <c r="O141" i="19"/>
  <c r="R133" i="19"/>
  <c r="S133" i="19" s="1"/>
  <c r="T133" i="19"/>
  <c r="T88" i="19"/>
  <c r="W88" i="19" s="1"/>
  <c r="R88" i="19"/>
  <c r="T96" i="19"/>
  <c r="W96" i="19" s="1"/>
  <c r="R96" i="19"/>
  <c r="T59" i="19"/>
  <c r="W59" i="19" s="1"/>
  <c r="R59" i="19"/>
  <c r="Q142" i="19"/>
  <c r="T142" i="19" s="1"/>
  <c r="W142" i="19" s="1"/>
  <c r="X142" i="19" s="1"/>
  <c r="O142" i="19"/>
  <c r="T86" i="19"/>
  <c r="W86" i="19" s="1"/>
  <c r="R86" i="19"/>
  <c r="Q275" i="19"/>
  <c r="T275" i="19" s="1"/>
  <c r="W275" i="19" s="1"/>
  <c r="O275" i="19"/>
  <c r="T319" i="19"/>
  <c r="W319" i="19" s="1"/>
  <c r="R319" i="19"/>
  <c r="T26" i="19"/>
  <c r="W26" i="19" s="1"/>
  <c r="R26" i="19"/>
  <c r="T92" i="19"/>
  <c r="W92" i="19" s="1"/>
  <c r="R92" i="19"/>
  <c r="Q219" i="19"/>
  <c r="T219" i="19" s="1"/>
  <c r="W219" i="19" s="1"/>
  <c r="X219" i="19" s="1"/>
  <c r="O219" i="19"/>
  <c r="Q248" i="19"/>
  <c r="T248" i="19" s="1"/>
  <c r="W248" i="19" s="1"/>
  <c r="X248" i="19" s="1"/>
  <c r="O248" i="19"/>
  <c r="T244" i="19"/>
  <c r="W244" i="19" s="1"/>
  <c r="R244" i="19"/>
  <c r="Q290" i="19"/>
  <c r="T290" i="19" s="1"/>
  <c r="W290" i="19" s="1"/>
  <c r="O290" i="19"/>
  <c r="T170" i="19"/>
  <c r="W170" i="19" s="1"/>
  <c r="R170" i="19"/>
  <c r="T302" i="19"/>
  <c r="W302" i="19" s="1"/>
  <c r="R302" i="19"/>
  <c r="Q169" i="19"/>
  <c r="T169" i="19" s="1"/>
  <c r="W169" i="19" s="1"/>
  <c r="X169" i="19" s="1"/>
  <c r="O169" i="19"/>
  <c r="T199" i="19"/>
  <c r="W199" i="19" s="1"/>
  <c r="R199" i="19"/>
  <c r="Q74" i="19"/>
  <c r="T74" i="19" s="1"/>
  <c r="O74" i="19"/>
  <c r="Q68" i="19"/>
  <c r="T68" i="19" s="1"/>
  <c r="W68" i="19" s="1"/>
  <c r="O68" i="19"/>
  <c r="Q221" i="19"/>
  <c r="T221" i="19" s="1"/>
  <c r="W221" i="19" s="1"/>
  <c r="O221" i="19"/>
  <c r="Q104" i="19"/>
  <c r="T104" i="19" s="1"/>
  <c r="W104" i="19" s="1"/>
  <c r="O104" i="19"/>
  <c r="T301" i="19"/>
  <c r="W301" i="19" s="1"/>
  <c r="R301" i="19"/>
  <c r="T314" i="19"/>
  <c r="W314" i="19" s="1"/>
  <c r="R314" i="19"/>
  <c r="Q81" i="19"/>
  <c r="T81" i="19" s="1"/>
  <c r="W81" i="19" s="1"/>
  <c r="O81" i="19"/>
  <c r="T308" i="19"/>
  <c r="W308" i="19" s="1"/>
  <c r="R308" i="19"/>
  <c r="Q20" i="19"/>
  <c r="T20" i="19" s="1"/>
  <c r="W20" i="19" s="1"/>
  <c r="O20" i="19"/>
  <c r="T274" i="19"/>
  <c r="W274" i="19" s="1"/>
  <c r="R274" i="19"/>
  <c r="Q185" i="19"/>
  <c r="T185" i="19" s="1"/>
  <c r="W185" i="19" s="1"/>
  <c r="O185" i="19"/>
  <c r="T100" i="19"/>
  <c r="W100" i="19" s="1"/>
  <c r="X100" i="19" s="1"/>
  <c r="R100" i="19"/>
  <c r="Q107" i="19"/>
  <c r="T107" i="19" s="1"/>
  <c r="W107" i="19" s="1"/>
  <c r="O107" i="19"/>
  <c r="T171" i="19"/>
  <c r="W171" i="19" s="1"/>
  <c r="R171" i="19"/>
  <c r="Q120" i="19"/>
  <c r="T120" i="19" s="1"/>
  <c r="W120" i="19" s="1"/>
  <c r="O120" i="19"/>
  <c r="Q143" i="19"/>
  <c r="T143" i="19" s="1"/>
  <c r="W143" i="19" s="1"/>
  <c r="O143" i="19"/>
  <c r="Q32" i="19"/>
  <c r="T32" i="19" s="1"/>
  <c r="W32" i="19" s="1"/>
  <c r="X32" i="19" s="1"/>
  <c r="O32" i="19"/>
  <c r="Q305" i="19"/>
  <c r="O305" i="19"/>
  <c r="Q237" i="19"/>
  <c r="O237" i="19"/>
  <c r="Q304" i="19"/>
  <c r="T304" i="19" s="1"/>
  <c r="W304" i="19" s="1"/>
  <c r="O304" i="19"/>
  <c r="T118" i="19"/>
  <c r="W118" i="19" s="1"/>
  <c r="R118" i="19"/>
  <c r="Q298" i="19"/>
  <c r="T298" i="19" s="1"/>
  <c r="W298" i="19" s="1"/>
  <c r="O298" i="19"/>
  <c r="T79" i="19"/>
  <c r="W79" i="19" s="1"/>
  <c r="R79" i="19"/>
  <c r="T190" i="19"/>
  <c r="W190" i="19" s="1"/>
  <c r="R190" i="19"/>
  <c r="Q203" i="19"/>
  <c r="T203" i="19" s="1"/>
  <c r="W203" i="19" s="1"/>
  <c r="O203" i="19"/>
  <c r="T235" i="19"/>
  <c r="W235" i="19" s="1"/>
  <c r="R235" i="19"/>
  <c r="Q250" i="19"/>
  <c r="T250" i="19" s="1"/>
  <c r="W250" i="19" s="1"/>
  <c r="O250" i="19"/>
  <c r="T140" i="19"/>
  <c r="W140" i="19" s="1"/>
  <c r="R140" i="19"/>
  <c r="Q239" i="19"/>
  <c r="T239" i="19" s="1"/>
  <c r="W239" i="19" s="1"/>
  <c r="X239" i="19" s="1"/>
  <c r="O239" i="19"/>
  <c r="Q176" i="19"/>
  <c r="T176" i="19" s="1"/>
  <c r="W176" i="19" s="1"/>
  <c r="O176" i="19"/>
  <c r="Q54" i="19"/>
  <c r="T54" i="19" s="1"/>
  <c r="W54" i="19" s="1"/>
  <c r="O54" i="19"/>
  <c r="T105" i="19"/>
  <c r="W105" i="19" s="1"/>
  <c r="R105" i="19"/>
  <c r="Q252" i="19"/>
  <c r="T252" i="19" s="1"/>
  <c r="W252" i="19" s="1"/>
  <c r="O252" i="19"/>
  <c r="T28" i="19"/>
  <c r="W28" i="19" s="1"/>
  <c r="R28" i="19"/>
  <c r="T117" i="19"/>
  <c r="W117" i="19" s="1"/>
  <c r="R117" i="19"/>
  <c r="Q19" i="19"/>
  <c r="T19" i="19" s="1"/>
  <c r="W19" i="19" s="1"/>
  <c r="X19" i="19" s="1"/>
  <c r="O19" i="19"/>
  <c r="T187" i="19"/>
  <c r="W187" i="19" s="1"/>
  <c r="R187" i="19"/>
  <c r="T64" i="19"/>
  <c r="W64" i="19" s="1"/>
  <c r="R64" i="19"/>
  <c r="T278" i="19"/>
  <c r="W278" i="19" s="1"/>
  <c r="R278" i="19"/>
  <c r="T22" i="19"/>
  <c r="W22" i="19" s="1"/>
  <c r="R22" i="19"/>
  <c r="T29" i="19"/>
  <c r="W29" i="19" s="1"/>
  <c r="R29" i="19"/>
  <c r="Q277" i="19"/>
  <c r="T277" i="19" s="1"/>
  <c r="W277" i="19" s="1"/>
  <c r="X277" i="19" s="1"/>
  <c r="O277" i="19"/>
  <c r="Q310" i="19"/>
  <c r="T310" i="19" s="1"/>
  <c r="W310" i="19" s="1"/>
  <c r="O310" i="19"/>
  <c r="Q215" i="19"/>
  <c r="T215" i="19" s="1"/>
  <c r="W215" i="19" s="1"/>
  <c r="O215" i="19"/>
  <c r="Q188" i="19"/>
  <c r="T188" i="19" s="1"/>
  <c r="W188" i="19" s="1"/>
  <c r="O188" i="19"/>
  <c r="Q139" i="19"/>
  <c r="T139" i="19" s="1"/>
  <c r="W139" i="19" s="1"/>
  <c r="O139" i="19"/>
  <c r="Q317" i="19"/>
  <c r="T317" i="19" s="1"/>
  <c r="W317" i="19" s="1"/>
  <c r="O317" i="19"/>
  <c r="Q130" i="19"/>
  <c r="T130" i="19" s="1"/>
  <c r="W130" i="19" s="1"/>
  <c r="X130" i="19" s="1"/>
  <c r="O130" i="19"/>
  <c r="T23" i="19"/>
  <c r="W23" i="19" s="1"/>
  <c r="R23" i="19"/>
  <c r="T217" i="19"/>
  <c r="W217" i="19" s="1"/>
  <c r="R217" i="19"/>
  <c r="T279" i="19"/>
  <c r="W279" i="19" s="1"/>
  <c r="R279" i="19"/>
  <c r="T21" i="19"/>
  <c r="W21" i="19" s="1"/>
  <c r="R21" i="19"/>
  <c r="T286" i="19"/>
  <c r="W286" i="19" s="1"/>
  <c r="R286" i="19"/>
  <c r="Q7" i="19"/>
  <c r="T7" i="19" s="1"/>
  <c r="W7" i="19" s="1"/>
  <c r="O7" i="19"/>
  <c r="Q151" i="19"/>
  <c r="T151" i="19" s="1"/>
  <c r="W151" i="19" s="1"/>
  <c r="O151" i="19"/>
  <c r="T266" i="19"/>
  <c r="W266" i="19" s="1"/>
  <c r="R266" i="19"/>
  <c r="T156" i="19"/>
  <c r="W156" i="19" s="1"/>
  <c r="R156" i="19"/>
  <c r="Q129" i="19"/>
  <c r="T129" i="19" s="1"/>
  <c r="W129" i="19" s="1"/>
  <c r="O129" i="19"/>
  <c r="T63" i="19"/>
  <c r="W63" i="19" s="1"/>
  <c r="R63" i="19"/>
  <c r="T320" i="19"/>
  <c r="W320" i="19" s="1"/>
  <c r="R320" i="19"/>
  <c r="T224" i="19"/>
  <c r="W224" i="19" s="1"/>
  <c r="R224" i="19"/>
  <c r="T196" i="19"/>
  <c r="W196" i="19" s="1"/>
  <c r="R196" i="19"/>
  <c r="R4" i="19"/>
  <c r="U4" i="19" s="1"/>
  <c r="V4" i="19" s="1"/>
  <c r="P4" i="19"/>
  <c r="X103" i="19"/>
  <c r="X93" i="19"/>
  <c r="X156" i="19"/>
  <c r="X301" i="19"/>
  <c r="X287" i="19"/>
  <c r="X296" i="19"/>
  <c r="X271" i="19"/>
  <c r="X225" i="19"/>
  <c r="X270" i="19"/>
  <c r="X242" i="19"/>
  <c r="X20" i="19"/>
  <c r="X25" i="19"/>
  <c r="X149" i="19"/>
  <c r="X22" i="19"/>
  <c r="X230" i="19"/>
  <c r="X66" i="19"/>
  <c r="X222" i="19"/>
  <c r="X164" i="19"/>
  <c r="X206" i="19"/>
  <c r="X306" i="19"/>
  <c r="X253" i="19"/>
  <c r="X257" i="19"/>
  <c r="X150" i="19"/>
  <c r="X178" i="19"/>
  <c r="X308" i="19"/>
  <c r="X107" i="19"/>
  <c r="X171" i="19"/>
  <c r="X297" i="19"/>
  <c r="X200" i="19"/>
  <c r="X278" i="19"/>
  <c r="X40" i="19"/>
  <c r="X131" i="19"/>
  <c r="X228" i="19"/>
  <c r="X11" i="19"/>
  <c r="X112" i="19"/>
  <c r="X35" i="19"/>
  <c r="X143" i="19"/>
  <c r="X78" i="19"/>
  <c r="X188" i="19"/>
  <c r="X116" i="19"/>
  <c r="X152" i="19"/>
  <c r="X309" i="19"/>
  <c r="X191" i="19"/>
  <c r="X276" i="19"/>
  <c r="X267" i="19"/>
  <c r="X223" i="19"/>
  <c r="X215" i="19"/>
  <c r="X59" i="19"/>
  <c r="X123" i="19"/>
  <c r="X311" i="19"/>
  <c r="X284" i="19"/>
  <c r="X95" i="19"/>
  <c r="X180" i="19"/>
  <c r="X80" i="19"/>
  <c r="X154" i="19"/>
  <c r="X44" i="19"/>
  <c r="X299" i="19"/>
  <c r="X48" i="19"/>
  <c r="X300" i="19"/>
  <c r="X101" i="19"/>
  <c r="X118" i="19"/>
  <c r="X285" i="19"/>
  <c r="X62" i="19"/>
  <c r="X182" i="19"/>
  <c r="X51" i="19"/>
  <c r="X12" i="19"/>
  <c r="X202" i="19"/>
  <c r="X64" i="19"/>
  <c r="X72" i="19"/>
  <c r="X134" i="19"/>
  <c r="X184" i="19"/>
  <c r="X220" i="19"/>
  <c r="X316" i="19"/>
  <c r="X175" i="19"/>
  <c r="X36" i="19"/>
  <c r="X121" i="19"/>
  <c r="X275" i="19"/>
  <c r="X110" i="19"/>
  <c r="X172" i="19"/>
  <c r="X144" i="19"/>
  <c r="X160" i="19"/>
  <c r="X27" i="19"/>
  <c r="X127" i="19"/>
  <c r="X235" i="19"/>
  <c r="X319" i="19"/>
  <c r="X105" i="19"/>
  <c r="X82" i="19"/>
  <c r="X246" i="19"/>
  <c r="X146" i="19"/>
  <c r="N3" i="19" a="1"/>
  <c r="N3" i="19" s="1"/>
  <c r="U224" i="19" l="1"/>
  <c r="V224" i="19" s="1"/>
  <c r="S224" i="19"/>
  <c r="P151" i="19"/>
  <c r="R151" i="19"/>
  <c r="U151" i="19" s="1"/>
  <c r="V151" i="19" s="1"/>
  <c r="U23" i="19"/>
  <c r="V23" i="19" s="1"/>
  <c r="S23" i="19"/>
  <c r="R310" i="19"/>
  <c r="P310" i="19"/>
  <c r="U187" i="19"/>
  <c r="V187" i="19" s="1"/>
  <c r="S187" i="19"/>
  <c r="R54" i="19"/>
  <c r="U54" i="19" s="1"/>
  <c r="V54" i="19" s="1"/>
  <c r="P54" i="19"/>
  <c r="R203" i="19"/>
  <c r="U203" i="19" s="1"/>
  <c r="V203" i="19" s="1"/>
  <c r="P203" i="19"/>
  <c r="S203" i="19"/>
  <c r="P237" i="19"/>
  <c r="R107" i="19"/>
  <c r="U107" i="19" s="1"/>
  <c r="V107" i="19" s="1"/>
  <c r="P107" i="19"/>
  <c r="S107" i="19"/>
  <c r="R81" i="19"/>
  <c r="U81" i="19" s="1"/>
  <c r="V81" i="19" s="1"/>
  <c r="P81" i="19"/>
  <c r="R74" i="19"/>
  <c r="S74" i="19" s="1"/>
  <c r="P74" i="19"/>
  <c r="U244" i="19"/>
  <c r="V244" i="19" s="1"/>
  <c r="S244" i="19"/>
  <c r="P275" i="19"/>
  <c r="R275" i="19"/>
  <c r="U275" i="19" s="1"/>
  <c r="V275" i="19" s="1"/>
  <c r="S275" i="19"/>
  <c r="U133" i="19"/>
  <c r="V133" i="19" s="1"/>
  <c r="W133" i="19"/>
  <c r="X133" i="19" s="1"/>
  <c r="R254" i="19"/>
  <c r="U254" i="19" s="1"/>
  <c r="V254" i="19" s="1"/>
  <c r="P254" i="19"/>
  <c r="U146" i="19"/>
  <c r="V146" i="19" s="1"/>
  <c r="S146" i="19"/>
  <c r="U165" i="19"/>
  <c r="V165" i="19" s="1"/>
  <c r="S165" i="19"/>
  <c r="P159" i="19"/>
  <c r="R159" i="19"/>
  <c r="U159" i="19" s="1"/>
  <c r="V159" i="19" s="1"/>
  <c r="P127" i="19"/>
  <c r="R127" i="19"/>
  <c r="U127" i="19" s="1"/>
  <c r="V127" i="19" s="1"/>
  <c r="S127" i="19"/>
  <c r="U204" i="19"/>
  <c r="V204" i="19" s="1"/>
  <c r="S204" i="19"/>
  <c r="P27" i="19"/>
  <c r="R27" i="19"/>
  <c r="U27" i="19" s="1"/>
  <c r="V27" i="19" s="1"/>
  <c r="S148" i="19"/>
  <c r="U148" i="19"/>
  <c r="V148" i="19" s="1"/>
  <c r="U264" i="19"/>
  <c r="V264" i="19" s="1"/>
  <c r="S264" i="19"/>
  <c r="U102" i="19"/>
  <c r="V102" i="19" s="1"/>
  <c r="S102" i="19"/>
  <c r="R78" i="19"/>
  <c r="U78" i="19" s="1"/>
  <c r="V78" i="19" s="1"/>
  <c r="P78" i="19"/>
  <c r="P49" i="19"/>
  <c r="R49" i="19"/>
  <c r="U49" i="19" s="1"/>
  <c r="V49" i="19" s="1"/>
  <c r="S49" i="19"/>
  <c r="P316" i="19"/>
  <c r="R316" i="19"/>
  <c r="U316" i="19" s="1"/>
  <c r="V316" i="19" s="1"/>
  <c r="U184" i="19"/>
  <c r="V184" i="19" s="1"/>
  <c r="S184" i="19"/>
  <c r="U98" i="19"/>
  <c r="V98" i="19" s="1"/>
  <c r="S98" i="19"/>
  <c r="P72" i="19"/>
  <c r="R72" i="19"/>
  <c r="U72" i="19" s="1"/>
  <c r="V72" i="19" s="1"/>
  <c r="S72" i="19"/>
  <c r="R42" i="19"/>
  <c r="U42" i="19" s="1"/>
  <c r="V42" i="19" s="1"/>
  <c r="P42" i="19"/>
  <c r="U12" i="19"/>
  <c r="V12" i="19" s="1"/>
  <c r="S12" i="19"/>
  <c r="R137" i="19"/>
  <c r="U137" i="19" s="1"/>
  <c r="V137" i="19" s="1"/>
  <c r="P137" i="19"/>
  <c r="U147" i="19"/>
  <c r="V147" i="19" s="1"/>
  <c r="S147" i="19"/>
  <c r="P123" i="19"/>
  <c r="R123" i="19"/>
  <c r="U123" i="19" s="1"/>
  <c r="V123" i="19" s="1"/>
  <c r="S123" i="19"/>
  <c r="P50" i="19"/>
  <c r="R50" i="19"/>
  <c r="U50" i="19" s="1"/>
  <c r="V50" i="19" s="1"/>
  <c r="S50" i="19"/>
  <c r="U44" i="19"/>
  <c r="V44" i="19" s="1"/>
  <c r="S44" i="19"/>
  <c r="U180" i="19"/>
  <c r="V180" i="19" s="1"/>
  <c r="S180" i="19"/>
  <c r="U55" i="19"/>
  <c r="V55" i="19" s="1"/>
  <c r="S55" i="19"/>
  <c r="U197" i="19"/>
  <c r="V197" i="19" s="1"/>
  <c r="S197" i="19"/>
  <c r="U61" i="19"/>
  <c r="V61" i="19" s="1"/>
  <c r="S61" i="19"/>
  <c r="U57" i="19"/>
  <c r="V57" i="19" s="1"/>
  <c r="S57" i="19"/>
  <c r="R131" i="19"/>
  <c r="U131" i="19" s="1"/>
  <c r="V131" i="19" s="1"/>
  <c r="P131" i="19"/>
  <c r="S131" i="19"/>
  <c r="P297" i="19"/>
  <c r="R297" i="19"/>
  <c r="U297" i="19" s="1"/>
  <c r="V297" i="19" s="1"/>
  <c r="U158" i="19"/>
  <c r="V158" i="19" s="1"/>
  <c r="S158" i="19"/>
  <c r="R257" i="19"/>
  <c r="U257" i="19" s="1"/>
  <c r="V257" i="19" s="1"/>
  <c r="P257" i="19"/>
  <c r="S257" i="19"/>
  <c r="R206" i="19"/>
  <c r="U206" i="19" s="1"/>
  <c r="V206" i="19" s="1"/>
  <c r="P206" i="19"/>
  <c r="U296" i="19"/>
  <c r="V296" i="19" s="1"/>
  <c r="S296" i="19"/>
  <c r="S25" i="19"/>
  <c r="U25" i="19"/>
  <c r="V25" i="19" s="1"/>
  <c r="R237" i="19"/>
  <c r="U237" i="19" s="1"/>
  <c r="V237" i="19" s="1"/>
  <c r="T237" i="19"/>
  <c r="W237" i="19" s="1"/>
  <c r="W74" i="19"/>
  <c r="X74" i="19" s="1"/>
  <c r="U193" i="19"/>
  <c r="V193" i="19" s="1"/>
  <c r="W193" i="19"/>
  <c r="R145" i="19"/>
  <c r="S145" i="19" s="1"/>
  <c r="T145" i="19"/>
  <c r="P130" i="19"/>
  <c r="R130" i="19"/>
  <c r="U130" i="19" s="1"/>
  <c r="V130" i="19" s="1"/>
  <c r="S130" i="19"/>
  <c r="U100" i="19"/>
  <c r="V100" i="19" s="1"/>
  <c r="S100" i="19"/>
  <c r="P141" i="19"/>
  <c r="R141" i="19"/>
  <c r="U141" i="19" s="1"/>
  <c r="V141" i="19" s="1"/>
  <c r="U69" i="19"/>
  <c r="V69" i="19" s="1"/>
  <c r="S69" i="19"/>
  <c r="P173" i="19"/>
  <c r="R305" i="19"/>
  <c r="T305" i="19"/>
  <c r="W305" i="19" s="1"/>
  <c r="R261" i="19"/>
  <c r="T261" i="19"/>
  <c r="W261" i="19" s="1"/>
  <c r="X261" i="19" s="1"/>
  <c r="U77" i="19"/>
  <c r="V77" i="19" s="1"/>
  <c r="S77" i="19"/>
  <c r="R293" i="19"/>
  <c r="S293" i="19" s="1"/>
  <c r="T293" i="19"/>
  <c r="W293" i="19" s="1"/>
  <c r="X293" i="19" s="1"/>
  <c r="U63" i="19"/>
  <c r="V63" i="19" s="1"/>
  <c r="S63" i="19"/>
  <c r="S286" i="19"/>
  <c r="U286" i="19"/>
  <c r="V286" i="19" s="1"/>
  <c r="P317" i="19"/>
  <c r="R317" i="19"/>
  <c r="U317" i="19" s="1"/>
  <c r="V317" i="19" s="1"/>
  <c r="U29" i="19"/>
  <c r="V29" i="19" s="1"/>
  <c r="S29" i="19"/>
  <c r="U117" i="19"/>
  <c r="V117" i="19" s="1"/>
  <c r="S117" i="19"/>
  <c r="P239" i="19"/>
  <c r="R239" i="19"/>
  <c r="U239" i="19" s="1"/>
  <c r="V239" i="19" s="1"/>
  <c r="U79" i="19"/>
  <c r="V79" i="19" s="1"/>
  <c r="S79" i="19"/>
  <c r="P32" i="19"/>
  <c r="R32" i="19"/>
  <c r="U32" i="19" s="1"/>
  <c r="V32" i="19" s="1"/>
  <c r="S32" i="19"/>
  <c r="R185" i="19"/>
  <c r="U185" i="19" s="1"/>
  <c r="V185" i="19" s="1"/>
  <c r="P185" i="19"/>
  <c r="S185" i="19"/>
  <c r="U301" i="19"/>
  <c r="V301" i="19" s="1"/>
  <c r="S301" i="19"/>
  <c r="P169" i="19"/>
  <c r="R169" i="19"/>
  <c r="P219" i="19"/>
  <c r="R219" i="19"/>
  <c r="U219" i="19" s="1"/>
  <c r="V219" i="19" s="1"/>
  <c r="S219" i="19"/>
  <c r="R142" i="19"/>
  <c r="U142" i="19" s="1"/>
  <c r="V142" i="19" s="1"/>
  <c r="P142" i="19"/>
  <c r="R99" i="19"/>
  <c r="U99" i="19" s="1"/>
  <c r="V99" i="19" s="1"/>
  <c r="P99" i="19"/>
  <c r="S99" i="19"/>
  <c r="R240" i="19"/>
  <c r="U240" i="19" s="1"/>
  <c r="V240" i="19" s="1"/>
  <c r="P240" i="19"/>
  <c r="U43" i="19"/>
  <c r="V43" i="19" s="1"/>
  <c r="S43" i="19"/>
  <c r="U205" i="19"/>
  <c r="V205" i="19" s="1"/>
  <c r="S205" i="19"/>
  <c r="U122" i="19"/>
  <c r="V122" i="19" s="1"/>
  <c r="S122" i="19"/>
  <c r="P247" i="19"/>
  <c r="R247" i="19"/>
  <c r="U247" i="19" s="1"/>
  <c r="V247" i="19" s="1"/>
  <c r="P179" i="19"/>
  <c r="R179" i="19"/>
  <c r="U179" i="19" s="1"/>
  <c r="V179" i="19" s="1"/>
  <c r="R10" i="19"/>
  <c r="U10" i="19" s="1"/>
  <c r="V10" i="19" s="1"/>
  <c r="P10" i="19"/>
  <c r="U172" i="19"/>
  <c r="V172" i="19" s="1"/>
  <c r="S172" i="19"/>
  <c r="U53" i="19"/>
  <c r="V53" i="19" s="1"/>
  <c r="S53" i="19"/>
  <c r="R155" i="19"/>
  <c r="U155" i="19" s="1"/>
  <c r="V155" i="19" s="1"/>
  <c r="P155" i="19"/>
  <c r="U94" i="19"/>
  <c r="V94" i="19" s="1"/>
  <c r="S94" i="19"/>
  <c r="S209" i="19"/>
  <c r="U209" i="19"/>
  <c r="V209" i="19" s="1"/>
  <c r="S285" i="19"/>
  <c r="U285" i="19"/>
  <c r="V285" i="19" s="1"/>
  <c r="U67" i="19"/>
  <c r="V67" i="19" s="1"/>
  <c r="S67" i="19"/>
  <c r="U232" i="19"/>
  <c r="V232" i="19" s="1"/>
  <c r="S232" i="19"/>
  <c r="P259" i="19"/>
  <c r="R259" i="19"/>
  <c r="U259" i="19" s="1"/>
  <c r="V259" i="19" s="1"/>
  <c r="S259" i="19"/>
  <c r="P263" i="19"/>
  <c r="R263" i="19"/>
  <c r="U263" i="19" s="1"/>
  <c r="V263" i="19" s="1"/>
  <c r="P174" i="19"/>
  <c r="R174" i="19"/>
  <c r="U174" i="19" s="1"/>
  <c r="V174" i="19" s="1"/>
  <c r="S174" i="19"/>
  <c r="U194" i="19"/>
  <c r="V194" i="19" s="1"/>
  <c r="S194" i="19"/>
  <c r="U292" i="19"/>
  <c r="V292" i="19" s="1"/>
  <c r="S292" i="19"/>
  <c r="R95" i="19"/>
  <c r="U95" i="19" s="1"/>
  <c r="V95" i="19" s="1"/>
  <c r="P95" i="19"/>
  <c r="R218" i="19"/>
  <c r="P218" i="19"/>
  <c r="U186" i="19"/>
  <c r="V186" i="19" s="1"/>
  <c r="S186" i="19"/>
  <c r="U195" i="19"/>
  <c r="V195" i="19" s="1"/>
  <c r="S195" i="19"/>
  <c r="U276" i="19"/>
  <c r="V276" i="19" s="1"/>
  <c r="S276" i="19"/>
  <c r="P283" i="19"/>
  <c r="R283" i="19"/>
  <c r="U283" i="19" s="1"/>
  <c r="V283" i="19" s="1"/>
  <c r="U229" i="19"/>
  <c r="V229" i="19" s="1"/>
  <c r="S229" i="19"/>
  <c r="P37" i="19"/>
  <c r="R37" i="19"/>
  <c r="U37" i="19" s="1"/>
  <c r="V37" i="19" s="1"/>
  <c r="R114" i="19"/>
  <c r="U114" i="19" s="1"/>
  <c r="V114" i="19" s="1"/>
  <c r="P114" i="19"/>
  <c r="U245" i="19"/>
  <c r="V245" i="19" s="1"/>
  <c r="S245" i="19"/>
  <c r="U201" i="19"/>
  <c r="V201" i="19" s="1"/>
  <c r="S201" i="19"/>
  <c r="U213" i="19"/>
  <c r="V213" i="19" s="1"/>
  <c r="S213" i="19"/>
  <c r="U108" i="19"/>
  <c r="V108" i="19" s="1"/>
  <c r="S108" i="19"/>
  <c r="U320" i="19"/>
  <c r="V320" i="19" s="1"/>
  <c r="S320" i="19"/>
  <c r="P305" i="19"/>
  <c r="P111" i="19"/>
  <c r="R111" i="19"/>
  <c r="U111" i="19" s="1"/>
  <c r="V111" i="19" s="1"/>
  <c r="P33" i="19"/>
  <c r="R33" i="19"/>
  <c r="U33" i="19" s="1"/>
  <c r="V33" i="19" s="1"/>
  <c r="U307" i="19"/>
  <c r="V307" i="19" s="1"/>
  <c r="S307" i="19"/>
  <c r="P293" i="19"/>
  <c r="R65" i="19"/>
  <c r="T65" i="19"/>
  <c r="W65" i="19" s="1"/>
  <c r="X65" i="19" s="1"/>
  <c r="S89" i="19"/>
  <c r="U89" i="19"/>
  <c r="V89" i="19" s="1"/>
  <c r="U249" i="19"/>
  <c r="V249" i="19" s="1"/>
  <c r="S249" i="19"/>
  <c r="U281" i="19"/>
  <c r="V281" i="19" s="1"/>
  <c r="S281" i="19"/>
  <c r="P129" i="19"/>
  <c r="R129" i="19"/>
  <c r="U21" i="19"/>
  <c r="V21" i="19" s="1"/>
  <c r="S21" i="19"/>
  <c r="R139" i="19"/>
  <c r="U139" i="19" s="1"/>
  <c r="V139" i="19" s="1"/>
  <c r="P139" i="19"/>
  <c r="U22" i="19"/>
  <c r="V22" i="19" s="1"/>
  <c r="S22" i="19"/>
  <c r="U28" i="19"/>
  <c r="V28" i="19" s="1"/>
  <c r="S28" i="19"/>
  <c r="U140" i="19"/>
  <c r="V140" i="19" s="1"/>
  <c r="S140" i="19"/>
  <c r="R298" i="19"/>
  <c r="P298" i="19"/>
  <c r="R143" i="19"/>
  <c r="U143" i="19" s="1"/>
  <c r="V143" i="19" s="1"/>
  <c r="P143" i="19"/>
  <c r="S274" i="19"/>
  <c r="U274" i="19"/>
  <c r="V274" i="19" s="1"/>
  <c r="P104" i="19"/>
  <c r="R104" i="19"/>
  <c r="U104" i="19" s="1"/>
  <c r="V104" i="19" s="1"/>
  <c r="U302" i="19"/>
  <c r="V302" i="19" s="1"/>
  <c r="S302" i="19"/>
  <c r="U92" i="19"/>
  <c r="V92" i="19" s="1"/>
  <c r="S92" i="19"/>
  <c r="U59" i="19"/>
  <c r="V59" i="19" s="1"/>
  <c r="S59" i="19"/>
  <c r="U97" i="19"/>
  <c r="V97" i="19" s="1"/>
  <c r="S97" i="19"/>
  <c r="R126" i="19"/>
  <c r="U126" i="19" s="1"/>
  <c r="V126" i="19" s="1"/>
  <c r="P126" i="19"/>
  <c r="R46" i="19"/>
  <c r="U46" i="19" s="1"/>
  <c r="V46" i="19" s="1"/>
  <c r="P46" i="19"/>
  <c r="U82" i="19"/>
  <c r="V82" i="19" s="1"/>
  <c r="S82" i="19"/>
  <c r="R110" i="19"/>
  <c r="U110" i="19" s="1"/>
  <c r="V110" i="19" s="1"/>
  <c r="P110" i="19"/>
  <c r="R112" i="19"/>
  <c r="U112" i="19" s="1"/>
  <c r="V112" i="19" s="1"/>
  <c r="P112" i="19"/>
  <c r="S112" i="19"/>
  <c r="U225" i="19"/>
  <c r="V225" i="19" s="1"/>
  <c r="S225" i="19"/>
  <c r="R256" i="19"/>
  <c r="U256" i="19" s="1"/>
  <c r="V256" i="19" s="1"/>
  <c r="P256" i="19"/>
  <c r="P144" i="19"/>
  <c r="R144" i="19"/>
  <c r="U144" i="19" s="1"/>
  <c r="V144" i="19" s="1"/>
  <c r="U234" i="19"/>
  <c r="V234" i="19" s="1"/>
  <c r="S234" i="19"/>
  <c r="U216" i="19"/>
  <c r="V216" i="19" s="1"/>
  <c r="S216" i="19"/>
  <c r="U163" i="19"/>
  <c r="V163" i="19" s="1"/>
  <c r="S163" i="19"/>
  <c r="U121" i="19"/>
  <c r="V121" i="19" s="1"/>
  <c r="S121" i="19"/>
  <c r="U268" i="19"/>
  <c r="V268" i="19" s="1"/>
  <c r="S268" i="19"/>
  <c r="U45" i="19"/>
  <c r="V45" i="19" s="1"/>
  <c r="S45" i="19"/>
  <c r="U24" i="19"/>
  <c r="V24" i="19" s="1"/>
  <c r="S24" i="19"/>
  <c r="S282" i="19"/>
  <c r="U282" i="19"/>
  <c r="V282" i="19" s="1"/>
  <c r="P318" i="19"/>
  <c r="R318" i="19"/>
  <c r="U318" i="19" s="1"/>
  <c r="V318" i="19" s="1"/>
  <c r="U136" i="19"/>
  <c r="V136" i="19" s="1"/>
  <c r="S136" i="19"/>
  <c r="U284" i="19"/>
  <c r="V284" i="19" s="1"/>
  <c r="S284" i="19"/>
  <c r="U192" i="19"/>
  <c r="V192" i="19" s="1"/>
  <c r="S192" i="19"/>
  <c r="U48" i="19"/>
  <c r="V48" i="19" s="1"/>
  <c r="S48" i="19"/>
  <c r="P154" i="19"/>
  <c r="R154" i="19"/>
  <c r="U154" i="19" s="1"/>
  <c r="V154" i="19" s="1"/>
  <c r="P16" i="19"/>
  <c r="R16" i="19"/>
  <c r="U16" i="19" s="1"/>
  <c r="V16" i="19" s="1"/>
  <c r="P116" i="19"/>
  <c r="R116" i="19"/>
  <c r="U116" i="19" s="1"/>
  <c r="V116" i="19" s="1"/>
  <c r="U166" i="19"/>
  <c r="V166" i="19" s="1"/>
  <c r="S166" i="19"/>
  <c r="P223" i="19"/>
  <c r="R223" i="19"/>
  <c r="U223" i="19" s="1"/>
  <c r="V223" i="19" s="1"/>
  <c r="U138" i="19"/>
  <c r="V138" i="19" s="1"/>
  <c r="S138" i="19"/>
  <c r="P309" i="19"/>
  <c r="R309" i="19"/>
  <c r="U309" i="19" s="1"/>
  <c r="V309" i="19" s="1"/>
  <c r="P35" i="19"/>
  <c r="R35" i="19"/>
  <c r="U35" i="19" s="1"/>
  <c r="V35" i="19" s="1"/>
  <c r="S270" i="19"/>
  <c r="U270" i="19"/>
  <c r="V270" i="19" s="1"/>
  <c r="P150" i="19"/>
  <c r="R150" i="19"/>
  <c r="U150" i="19" s="1"/>
  <c r="V150" i="19" s="1"/>
  <c r="S253" i="19"/>
  <c r="U253" i="19"/>
  <c r="V253" i="19" s="1"/>
  <c r="U271" i="19"/>
  <c r="V271" i="19" s="1"/>
  <c r="S271" i="19"/>
  <c r="P76" i="19"/>
  <c r="P269" i="19"/>
  <c r="U227" i="19"/>
  <c r="V227" i="19" s="1"/>
  <c r="S227" i="19"/>
  <c r="P277" i="19"/>
  <c r="R277" i="19"/>
  <c r="U277" i="19" s="1"/>
  <c r="V277" i="19" s="1"/>
  <c r="S277" i="19"/>
  <c r="S5" i="19"/>
  <c r="U5" i="19"/>
  <c r="V5" i="19" s="1"/>
  <c r="U119" i="19"/>
  <c r="V119" i="19" s="1"/>
  <c r="S119" i="19"/>
  <c r="U84" i="19"/>
  <c r="V84" i="19" s="1"/>
  <c r="S84" i="19"/>
  <c r="R241" i="19"/>
  <c r="P241" i="19"/>
  <c r="R125" i="19"/>
  <c r="T125" i="19"/>
  <c r="W125" i="19" s="1"/>
  <c r="X125" i="19" s="1"/>
  <c r="U208" i="19"/>
  <c r="V208" i="19" s="1"/>
  <c r="S208" i="19"/>
  <c r="R76" i="19"/>
  <c r="T76" i="19"/>
  <c r="W76" i="19" s="1"/>
  <c r="X76" i="19" s="1"/>
  <c r="R269" i="19"/>
  <c r="T269" i="19"/>
  <c r="W269" i="19" s="1"/>
  <c r="X269" i="19" s="1"/>
  <c r="P19" i="19"/>
  <c r="R19" i="19"/>
  <c r="U19" i="19" s="1"/>
  <c r="V19" i="19" s="1"/>
  <c r="U199" i="19"/>
  <c r="V199" i="19" s="1"/>
  <c r="S199" i="19"/>
  <c r="U85" i="19"/>
  <c r="V85" i="19" s="1"/>
  <c r="S85" i="19"/>
  <c r="S9" i="19"/>
  <c r="U9" i="19"/>
  <c r="V9" i="19" s="1"/>
  <c r="P168" i="19"/>
  <c r="P8" i="19"/>
  <c r="R8" i="19"/>
  <c r="U8" i="19" s="1"/>
  <c r="V8" i="19" s="1"/>
  <c r="S8" i="19"/>
  <c r="U75" i="19"/>
  <c r="V75" i="19" s="1"/>
  <c r="S75" i="19"/>
  <c r="U109" i="19"/>
  <c r="V109" i="19" s="1"/>
  <c r="S109" i="19"/>
  <c r="S207" i="19"/>
  <c r="U207" i="19"/>
  <c r="V207" i="19" s="1"/>
  <c r="U156" i="19"/>
  <c r="V156" i="19" s="1"/>
  <c r="S156" i="19"/>
  <c r="U279" i="19"/>
  <c r="V279" i="19" s="1"/>
  <c r="S279" i="19"/>
  <c r="R188" i="19"/>
  <c r="U188" i="19" s="1"/>
  <c r="V188" i="19" s="1"/>
  <c r="P188" i="19"/>
  <c r="U278" i="19"/>
  <c r="V278" i="19" s="1"/>
  <c r="S278" i="19"/>
  <c r="R252" i="19"/>
  <c r="U252" i="19" s="1"/>
  <c r="V252" i="19" s="1"/>
  <c r="P252" i="19"/>
  <c r="R250" i="19"/>
  <c r="U250" i="19" s="1"/>
  <c r="V250" i="19" s="1"/>
  <c r="P250" i="19"/>
  <c r="U118" i="19"/>
  <c r="V118" i="19" s="1"/>
  <c r="S118" i="19"/>
  <c r="P120" i="19"/>
  <c r="R120" i="19"/>
  <c r="U120" i="19" s="1"/>
  <c r="V120" i="19" s="1"/>
  <c r="R20" i="19"/>
  <c r="U20" i="19" s="1"/>
  <c r="V20" i="19" s="1"/>
  <c r="P20" i="19"/>
  <c r="P221" i="19"/>
  <c r="R221" i="19"/>
  <c r="U221" i="19" s="1"/>
  <c r="V221" i="19" s="1"/>
  <c r="U170" i="19"/>
  <c r="V170" i="19" s="1"/>
  <c r="S170" i="19"/>
  <c r="U26" i="19"/>
  <c r="V26" i="19" s="1"/>
  <c r="S26" i="19"/>
  <c r="U96" i="19"/>
  <c r="V96" i="19" s="1"/>
  <c r="S96" i="19"/>
  <c r="U222" i="19"/>
  <c r="V222" i="19" s="1"/>
  <c r="S222" i="19"/>
  <c r="U280" i="19"/>
  <c r="V280" i="19" s="1"/>
  <c r="S280" i="19"/>
  <c r="U181" i="19"/>
  <c r="V181" i="19" s="1"/>
  <c r="S181" i="19"/>
  <c r="R115" i="19"/>
  <c r="U115" i="19" s="1"/>
  <c r="V115" i="19" s="1"/>
  <c r="P115" i="19"/>
  <c r="R34" i="19"/>
  <c r="U34" i="19" s="1"/>
  <c r="V34" i="19" s="1"/>
  <c r="P34" i="19"/>
  <c r="S34" i="19"/>
  <c r="U287" i="19"/>
  <c r="V287" i="19" s="1"/>
  <c r="S287" i="19"/>
  <c r="R160" i="19"/>
  <c r="U160" i="19" s="1"/>
  <c r="V160" i="19" s="1"/>
  <c r="P160" i="19"/>
  <c r="U291" i="19"/>
  <c r="V291" i="19" s="1"/>
  <c r="S291" i="19"/>
  <c r="R70" i="19"/>
  <c r="U70" i="19" s="1"/>
  <c r="V70" i="19" s="1"/>
  <c r="P70" i="19"/>
  <c r="U300" i="19"/>
  <c r="V300" i="19" s="1"/>
  <c r="S300" i="19"/>
  <c r="U214" i="19"/>
  <c r="V214" i="19" s="1"/>
  <c r="S214" i="19"/>
  <c r="R198" i="19"/>
  <c r="U198" i="19" s="1"/>
  <c r="V198" i="19" s="1"/>
  <c r="P198" i="19"/>
  <c r="U134" i="19"/>
  <c r="V134" i="19" s="1"/>
  <c r="S134" i="19"/>
  <c r="U258" i="19"/>
  <c r="V258" i="19" s="1"/>
  <c r="S258" i="19"/>
  <c r="U30" i="19"/>
  <c r="V30" i="19" s="1"/>
  <c r="S30" i="19"/>
  <c r="R51" i="19"/>
  <c r="U51" i="19" s="1"/>
  <c r="V51" i="19" s="1"/>
  <c r="P51" i="19"/>
  <c r="R182" i="19"/>
  <c r="U182" i="19" s="1"/>
  <c r="V182" i="19" s="1"/>
  <c r="P182" i="19"/>
  <c r="P311" i="19"/>
  <c r="R311" i="19"/>
  <c r="U311" i="19" s="1"/>
  <c r="V311" i="19" s="1"/>
  <c r="P113" i="19"/>
  <c r="P313" i="19"/>
  <c r="R313" i="19"/>
  <c r="U313" i="19" s="1"/>
  <c r="V313" i="19" s="1"/>
  <c r="U41" i="19"/>
  <c r="V41" i="19" s="1"/>
  <c r="S41" i="19"/>
  <c r="U18" i="19"/>
  <c r="V18" i="19" s="1"/>
  <c r="S18" i="19"/>
  <c r="P40" i="19"/>
  <c r="R40" i="19"/>
  <c r="U66" i="19"/>
  <c r="V66" i="19" s="1"/>
  <c r="S66" i="19"/>
  <c r="P52" i="19"/>
  <c r="R52" i="19"/>
  <c r="U52" i="19" s="1"/>
  <c r="V52" i="19" s="1"/>
  <c r="U230" i="19"/>
  <c r="V230" i="19" s="1"/>
  <c r="S230" i="19"/>
  <c r="S13" i="19"/>
  <c r="U13" i="19"/>
  <c r="V13" i="19" s="1"/>
  <c r="R306" i="19"/>
  <c r="P306" i="19"/>
  <c r="U135" i="19"/>
  <c r="V135" i="19" s="1"/>
  <c r="S135" i="19"/>
  <c r="R289" i="19"/>
  <c r="U289" i="19" s="1"/>
  <c r="V289" i="19" s="1"/>
  <c r="P289" i="19"/>
  <c r="S289" i="19"/>
  <c r="P149" i="19"/>
  <c r="R149" i="19"/>
  <c r="U149" i="19" s="1"/>
  <c r="V149" i="19" s="1"/>
  <c r="U242" i="19"/>
  <c r="V242" i="19" s="1"/>
  <c r="S242" i="19"/>
  <c r="U190" i="19"/>
  <c r="V190" i="19" s="1"/>
  <c r="S190" i="19"/>
  <c r="U86" i="19"/>
  <c r="V86" i="19" s="1"/>
  <c r="S86" i="19"/>
  <c r="P315" i="19"/>
  <c r="R315" i="19"/>
  <c r="U315" i="19" s="1"/>
  <c r="V315" i="19" s="1"/>
  <c r="U38" i="19"/>
  <c r="V38" i="19" s="1"/>
  <c r="S38" i="19"/>
  <c r="R167" i="19"/>
  <c r="U167" i="19" s="1"/>
  <c r="V167" i="19" s="1"/>
  <c r="P167" i="19"/>
  <c r="R168" i="19"/>
  <c r="S168" i="19" s="1"/>
  <c r="T168" i="19"/>
  <c r="W168" i="19" s="1"/>
  <c r="X168" i="19" s="1"/>
  <c r="R177" i="19"/>
  <c r="T177" i="19"/>
  <c r="W177" i="19" s="1"/>
  <c r="X177" i="19" s="1"/>
  <c r="U36" i="19"/>
  <c r="V36" i="19" s="1"/>
  <c r="S36" i="19"/>
  <c r="U200" i="19"/>
  <c r="V200" i="19" s="1"/>
  <c r="S200" i="19"/>
  <c r="R113" i="19"/>
  <c r="T113" i="19"/>
  <c r="W113" i="19" s="1"/>
  <c r="X113" i="19" s="1"/>
  <c r="U73" i="19"/>
  <c r="V73" i="19" s="1"/>
  <c r="S73" i="19"/>
  <c r="U161" i="19"/>
  <c r="V161" i="19" s="1"/>
  <c r="S161" i="19"/>
  <c r="U11" i="19"/>
  <c r="V11" i="19" s="1"/>
  <c r="S11" i="19"/>
  <c r="P7" i="19"/>
  <c r="R7" i="19"/>
  <c r="U7" i="19" s="1"/>
  <c r="V7" i="19" s="1"/>
  <c r="U314" i="19"/>
  <c r="V314" i="19" s="1"/>
  <c r="S314" i="19"/>
  <c r="P31" i="19"/>
  <c r="R31" i="19"/>
  <c r="U31" i="19" s="1"/>
  <c r="V31" i="19" s="1"/>
  <c r="P261" i="19"/>
  <c r="S261" i="19"/>
  <c r="P251" i="19"/>
  <c r="R251" i="19"/>
  <c r="U251" i="19" s="1"/>
  <c r="V251" i="19" s="1"/>
  <c r="U233" i="19"/>
  <c r="V233" i="19" s="1"/>
  <c r="S233" i="19"/>
  <c r="R173" i="19"/>
  <c r="S173" i="19" s="1"/>
  <c r="T173" i="19"/>
  <c r="W173" i="19" s="1"/>
  <c r="X173" i="19" s="1"/>
  <c r="U196" i="19"/>
  <c r="V196" i="19" s="1"/>
  <c r="S196" i="19"/>
  <c r="U266" i="19"/>
  <c r="V266" i="19" s="1"/>
  <c r="S266" i="19"/>
  <c r="S217" i="19"/>
  <c r="U217" i="19"/>
  <c r="V217" i="19" s="1"/>
  <c r="P215" i="19"/>
  <c r="R215" i="19"/>
  <c r="U215" i="19" s="1"/>
  <c r="V215" i="19" s="1"/>
  <c r="U64" i="19"/>
  <c r="V64" i="19" s="1"/>
  <c r="S64" i="19"/>
  <c r="U105" i="19"/>
  <c r="V105" i="19" s="1"/>
  <c r="S105" i="19"/>
  <c r="U235" i="19"/>
  <c r="V235" i="19" s="1"/>
  <c r="S235" i="19"/>
  <c r="P304" i="19"/>
  <c r="R304" i="19"/>
  <c r="U304" i="19" s="1"/>
  <c r="V304" i="19" s="1"/>
  <c r="U171" i="19"/>
  <c r="V171" i="19" s="1"/>
  <c r="S171" i="19"/>
  <c r="U308" i="19"/>
  <c r="V308" i="19" s="1"/>
  <c r="S308" i="19"/>
  <c r="P68" i="19"/>
  <c r="R68" i="19"/>
  <c r="U68" i="19" s="1"/>
  <c r="V68" i="19" s="1"/>
  <c r="R290" i="19"/>
  <c r="U290" i="19" s="1"/>
  <c r="V290" i="19" s="1"/>
  <c r="P290" i="19"/>
  <c r="S319" i="19"/>
  <c r="U319" i="19"/>
  <c r="V319" i="19" s="1"/>
  <c r="U88" i="19"/>
  <c r="V88" i="19" s="1"/>
  <c r="S88" i="19"/>
  <c r="P255" i="19"/>
  <c r="R255" i="19"/>
  <c r="U255" i="19" s="1"/>
  <c r="V255" i="19" s="1"/>
  <c r="S255" i="19"/>
  <c r="U132" i="19"/>
  <c r="V132" i="19" s="1"/>
  <c r="S132" i="19"/>
  <c r="R246" i="19"/>
  <c r="U246" i="19" s="1"/>
  <c r="V246" i="19" s="1"/>
  <c r="P246" i="19"/>
  <c r="R90" i="19"/>
  <c r="U90" i="19" s="1"/>
  <c r="V90" i="19" s="1"/>
  <c r="P90" i="19"/>
  <c r="S90" i="19"/>
  <c r="U56" i="19"/>
  <c r="V56" i="19" s="1"/>
  <c r="S56" i="19"/>
  <c r="R106" i="19"/>
  <c r="U106" i="19" s="1"/>
  <c r="V106" i="19" s="1"/>
  <c r="P106" i="19"/>
  <c r="S106" i="19"/>
  <c r="R272" i="19"/>
  <c r="U272" i="19" s="1"/>
  <c r="V272" i="19" s="1"/>
  <c r="P272" i="19"/>
  <c r="S272" i="19"/>
  <c r="R212" i="19"/>
  <c r="U212" i="19" s="1"/>
  <c r="V212" i="19" s="1"/>
  <c r="P212" i="19"/>
  <c r="U39" i="19"/>
  <c r="V39" i="19" s="1"/>
  <c r="S39" i="19"/>
  <c r="U152" i="19"/>
  <c r="V152" i="19" s="1"/>
  <c r="S152" i="19"/>
  <c r="U164" i="19"/>
  <c r="V164" i="19" s="1"/>
  <c r="S164" i="19"/>
  <c r="U175" i="19"/>
  <c r="V175" i="19" s="1"/>
  <c r="S175" i="19"/>
  <c r="P220" i="19"/>
  <c r="R220" i="19"/>
  <c r="U220" i="19" s="1"/>
  <c r="V220" i="19" s="1"/>
  <c r="U295" i="19"/>
  <c r="V295" i="19" s="1"/>
  <c r="S295" i="19"/>
  <c r="U238" i="19"/>
  <c r="V238" i="19" s="1"/>
  <c r="S238" i="19"/>
  <c r="U60" i="19"/>
  <c r="V60" i="19" s="1"/>
  <c r="S60" i="19"/>
  <c r="U202" i="19"/>
  <c r="V202" i="19" s="1"/>
  <c r="S202" i="19"/>
  <c r="P226" i="19"/>
  <c r="R226" i="19"/>
  <c r="U226" i="19" s="1"/>
  <c r="V226" i="19" s="1"/>
  <c r="R62" i="19"/>
  <c r="U62" i="19" s="1"/>
  <c r="V62" i="19" s="1"/>
  <c r="P62" i="19"/>
  <c r="S62" i="19"/>
  <c r="U303" i="19"/>
  <c r="V303" i="19" s="1"/>
  <c r="S303" i="19"/>
  <c r="U189" i="19"/>
  <c r="V189" i="19" s="1"/>
  <c r="S189" i="19"/>
  <c r="U299" i="19"/>
  <c r="V299" i="19" s="1"/>
  <c r="S299" i="19"/>
  <c r="U80" i="19"/>
  <c r="V80" i="19" s="1"/>
  <c r="S80" i="19"/>
  <c r="U183" i="19"/>
  <c r="V183" i="19" s="1"/>
  <c r="S183" i="19"/>
  <c r="P91" i="19"/>
  <c r="R91" i="19"/>
  <c r="U91" i="19" s="1"/>
  <c r="V91" i="19" s="1"/>
  <c r="P93" i="19"/>
  <c r="R93" i="19"/>
  <c r="P267" i="19"/>
  <c r="R267" i="19"/>
  <c r="U267" i="19" s="1"/>
  <c r="V267" i="19" s="1"/>
  <c r="U191" i="19"/>
  <c r="V191" i="19" s="1"/>
  <c r="S191" i="19"/>
  <c r="P87" i="19"/>
  <c r="R87" i="19"/>
  <c r="U87" i="19" s="1"/>
  <c r="V87" i="19" s="1"/>
  <c r="U228" i="19"/>
  <c r="V228" i="19" s="1"/>
  <c r="S228" i="19"/>
  <c r="U178" i="19"/>
  <c r="V178" i="19" s="1"/>
  <c r="S178" i="19"/>
  <c r="P265" i="19"/>
  <c r="R265" i="19"/>
  <c r="U265" i="19" s="1"/>
  <c r="V265" i="19" s="1"/>
  <c r="U162" i="19"/>
  <c r="V162" i="19" s="1"/>
  <c r="S162" i="19"/>
  <c r="R236" i="19"/>
  <c r="U236" i="19" s="1"/>
  <c r="V236" i="19" s="1"/>
  <c r="P236" i="19"/>
  <c r="S153" i="19"/>
  <c r="U153" i="19"/>
  <c r="V153" i="19" s="1"/>
  <c r="R288" i="19"/>
  <c r="U288" i="19" s="1"/>
  <c r="V288" i="19" s="1"/>
  <c r="P288" i="19"/>
  <c r="S288" i="19"/>
  <c r="P103" i="19"/>
  <c r="R103" i="19"/>
  <c r="U103" i="19" s="1"/>
  <c r="V103" i="19" s="1"/>
  <c r="S103" i="19"/>
  <c r="P176" i="19"/>
  <c r="R176" i="19"/>
  <c r="U176" i="19" s="1"/>
  <c r="V176" i="19" s="1"/>
  <c r="S176" i="19"/>
  <c r="R248" i="19"/>
  <c r="U248" i="19" s="1"/>
  <c r="V248" i="19" s="1"/>
  <c r="P248" i="19"/>
  <c r="U14" i="19"/>
  <c r="V14" i="19" s="1"/>
  <c r="S14" i="19"/>
  <c r="U83" i="19"/>
  <c r="V83" i="19" s="1"/>
  <c r="S83" i="19"/>
  <c r="P273" i="19"/>
  <c r="R273" i="19"/>
  <c r="P124" i="19"/>
  <c r="R124" i="19"/>
  <c r="U124" i="19" s="1"/>
  <c r="V124" i="19" s="1"/>
  <c r="U312" i="19"/>
  <c r="V312" i="19" s="1"/>
  <c r="S312" i="19"/>
  <c r="P211" i="19"/>
  <c r="R211" i="19"/>
  <c r="U211" i="19" s="1"/>
  <c r="V211" i="19" s="1"/>
  <c r="R210" i="19"/>
  <c r="U210" i="19" s="1"/>
  <c r="V210" i="19" s="1"/>
  <c r="P210" i="19"/>
  <c r="U71" i="19"/>
  <c r="V71" i="19" s="1"/>
  <c r="S71" i="19"/>
  <c r="U17" i="19"/>
  <c r="V17" i="19" s="1"/>
  <c r="S17" i="19"/>
  <c r="U47" i="19"/>
  <c r="V47" i="19" s="1"/>
  <c r="S47" i="19"/>
  <c r="R294" i="19"/>
  <c r="P294" i="19"/>
  <c r="S101" i="19"/>
  <c r="U101" i="19"/>
  <c r="V101" i="19" s="1"/>
  <c r="S4" i="19"/>
  <c r="X201" i="19"/>
  <c r="X106" i="19"/>
  <c r="X212" i="19"/>
  <c r="X238" i="19"/>
  <c r="X138" i="19"/>
  <c r="X198" i="19"/>
  <c r="X224" i="19"/>
  <c r="X137" i="19"/>
  <c r="X120" i="19"/>
  <c r="X115" i="19"/>
  <c r="X92" i="19"/>
  <c r="X140" i="19"/>
  <c r="X282" i="19"/>
  <c r="X161" i="19"/>
  <c r="X192" i="19"/>
  <c r="X274" i="19"/>
  <c r="X14" i="19"/>
  <c r="X174" i="19"/>
  <c r="X139" i="19"/>
  <c r="X119" i="19"/>
  <c r="X98" i="19"/>
  <c r="X60" i="19"/>
  <c r="X73" i="19"/>
  <c r="X52" i="19"/>
  <c r="X132" i="19"/>
  <c r="X68" i="19"/>
  <c r="X61" i="19"/>
  <c r="X46" i="19"/>
  <c r="X256" i="19"/>
  <c r="X272" i="19"/>
  <c r="X50" i="19"/>
  <c r="X236" i="19"/>
  <c r="X310" i="19"/>
  <c r="X5" i="19"/>
  <c r="X63" i="19"/>
  <c r="X87" i="19"/>
  <c r="X28" i="19"/>
  <c r="X302" i="19"/>
  <c r="X135" i="19"/>
  <c r="X57" i="19"/>
  <c r="X56" i="19"/>
  <c r="X305" i="19"/>
  <c r="X217" i="19"/>
  <c r="X90" i="19"/>
  <c r="X254" i="19"/>
  <c r="X258" i="19"/>
  <c r="X54" i="19"/>
  <c r="X281" i="19"/>
  <c r="X204" i="19"/>
  <c r="X265" i="19"/>
  <c r="X147" i="19"/>
  <c r="X166" i="19"/>
  <c r="X21" i="19"/>
  <c r="X136" i="19"/>
  <c r="X31" i="19"/>
  <c r="X55" i="19"/>
  <c r="X211" i="19"/>
  <c r="X186" i="19"/>
  <c r="X209" i="19"/>
  <c r="X291" i="19"/>
  <c r="X298" i="19"/>
  <c r="X251" i="19"/>
  <c r="X288" i="19"/>
  <c r="X53" i="19"/>
  <c r="X268" i="19"/>
  <c r="X312" i="19"/>
  <c r="X38" i="19"/>
  <c r="X67" i="19"/>
  <c r="X314" i="19"/>
  <c r="X13" i="19"/>
  <c r="X304" i="19"/>
  <c r="X189" i="19"/>
  <c r="X183" i="19"/>
  <c r="X221" i="19"/>
  <c r="X41" i="19"/>
  <c r="X213" i="19"/>
  <c r="X97" i="19"/>
  <c r="X129" i="19"/>
  <c r="X7" i="19"/>
  <c r="X241" i="19"/>
  <c r="X81" i="19"/>
  <c r="X96" i="19"/>
  <c r="X37" i="19"/>
  <c r="X10" i="19"/>
  <c r="X313" i="19"/>
  <c r="X42" i="19"/>
  <c r="X85" i="19"/>
  <c r="X216" i="19"/>
  <c r="X208" i="19"/>
  <c r="X84" i="19"/>
  <c r="X47" i="19"/>
  <c r="X77" i="19"/>
  <c r="X294" i="19"/>
  <c r="X207" i="19"/>
  <c r="X102" i="19"/>
  <c r="X290" i="19"/>
  <c r="X16" i="19"/>
  <c r="X153" i="19"/>
  <c r="X229" i="19"/>
  <c r="X280" i="19"/>
  <c r="X255" i="19"/>
  <c r="X250" i="19"/>
  <c r="X163" i="19"/>
  <c r="X162" i="19"/>
  <c r="X104" i="19"/>
  <c r="X86" i="19"/>
  <c r="X181" i="19"/>
  <c r="X170" i="19"/>
  <c r="X266" i="19"/>
  <c r="X45" i="19"/>
  <c r="X18" i="19"/>
  <c r="X49" i="19"/>
  <c r="X70" i="19"/>
  <c r="X23" i="19"/>
  <c r="X155" i="19"/>
  <c r="X117" i="19"/>
  <c r="X263" i="19"/>
  <c r="X289" i="19"/>
  <c r="X244" i="19"/>
  <c r="X79" i="19"/>
  <c r="X303" i="19"/>
  <c r="X29" i="19"/>
  <c r="X158" i="19"/>
  <c r="X320" i="19"/>
  <c r="X196" i="19"/>
  <c r="X214" i="19"/>
  <c r="X165" i="19"/>
  <c r="X190" i="19"/>
  <c r="X185" i="19"/>
  <c r="X252" i="19"/>
  <c r="X249" i="19"/>
  <c r="X317" i="19"/>
  <c r="X279" i="19"/>
  <c r="X197" i="19"/>
  <c r="X234" i="19"/>
  <c r="X245" i="19"/>
  <c r="X226" i="19"/>
  <c r="X203" i="19"/>
  <c r="X286" i="19"/>
  <c r="X39" i="19"/>
  <c r="X159" i="19"/>
  <c r="X126" i="19"/>
  <c r="X259" i="19"/>
  <c r="X199" i="19"/>
  <c r="X295" i="19"/>
  <c r="X318" i="19"/>
  <c r="X91" i="19"/>
  <c r="X151" i="19"/>
  <c r="X205" i="19"/>
  <c r="X148" i="19"/>
  <c r="X108" i="19"/>
  <c r="X195" i="19"/>
  <c r="X24" i="19"/>
  <c r="X233" i="19"/>
  <c r="O3" i="19" a="1"/>
  <c r="O3" i="19" s="1"/>
  <c r="S252" i="19" l="1"/>
  <c r="S240" i="19"/>
  <c r="S124" i="19"/>
  <c r="S31" i="19"/>
  <c r="S167" i="19"/>
  <c r="S221" i="19"/>
  <c r="S318" i="19"/>
  <c r="S263" i="19"/>
  <c r="U113" i="19"/>
  <c r="V113" i="19" s="1"/>
  <c r="S52" i="19"/>
  <c r="S7" i="19"/>
  <c r="S315" i="19"/>
  <c r="S223" i="19"/>
  <c r="S215" i="19"/>
  <c r="S33" i="19"/>
  <c r="S256" i="19"/>
  <c r="S46" i="19"/>
  <c r="U74" i="19"/>
  <c r="V74" i="19" s="1"/>
  <c r="S104" i="19"/>
  <c r="S10" i="19"/>
  <c r="S182" i="19"/>
  <c r="S120" i="19"/>
  <c r="S188" i="19"/>
  <c r="S139" i="19"/>
  <c r="S220" i="19"/>
  <c r="S246" i="19"/>
  <c r="S290" i="19"/>
  <c r="S313" i="19"/>
  <c r="U293" i="19"/>
  <c r="V293" i="19" s="1"/>
  <c r="S226" i="19"/>
  <c r="S283" i="19"/>
  <c r="S155" i="19"/>
  <c r="S247" i="19"/>
  <c r="S159" i="19"/>
  <c r="S151" i="19"/>
  <c r="S91" i="19"/>
  <c r="S311" i="19"/>
  <c r="S35" i="19"/>
  <c r="S317" i="19"/>
  <c r="U261" i="19"/>
  <c r="V261" i="19" s="1"/>
  <c r="S316" i="19"/>
  <c r="S160" i="19"/>
  <c r="S198" i="19"/>
  <c r="S16" i="19"/>
  <c r="S111" i="19"/>
  <c r="U305" i="19"/>
  <c r="V305" i="19" s="1"/>
  <c r="S206" i="19"/>
  <c r="S27" i="19"/>
  <c r="S236" i="19"/>
  <c r="S87" i="19"/>
  <c r="S212" i="19"/>
  <c r="S304" i="19"/>
  <c r="S177" i="19"/>
  <c r="U177" i="19"/>
  <c r="V177" i="19" s="1"/>
  <c r="S40" i="19"/>
  <c r="U40" i="19"/>
  <c r="V40" i="19" s="1"/>
  <c r="S250" i="19"/>
  <c r="U269" i="19"/>
  <c r="V269" i="19" s="1"/>
  <c r="S309" i="19"/>
  <c r="S37" i="19"/>
  <c r="S137" i="19"/>
  <c r="S218" i="19"/>
  <c r="U218" i="19"/>
  <c r="V218" i="19" s="1"/>
  <c r="S310" i="19"/>
  <c r="U310" i="19"/>
  <c r="V310" i="19" s="1"/>
  <c r="S129" i="19"/>
  <c r="U129" i="19"/>
  <c r="V129" i="19" s="1"/>
  <c r="S273" i="19"/>
  <c r="U273" i="19"/>
  <c r="V273" i="19" s="1"/>
  <c r="S20" i="19"/>
  <c r="S150" i="19"/>
  <c r="S154" i="19"/>
  <c r="S95" i="19"/>
  <c r="S179" i="19"/>
  <c r="S169" i="19"/>
  <c r="U169" i="19"/>
  <c r="V169" i="19" s="1"/>
  <c r="S239" i="19"/>
  <c r="S237" i="19"/>
  <c r="U168" i="19"/>
  <c r="V168" i="19" s="1"/>
  <c r="S210" i="19"/>
  <c r="S265" i="19"/>
  <c r="S267" i="19"/>
  <c r="S68" i="19"/>
  <c r="S149" i="19"/>
  <c r="S51" i="19"/>
  <c r="S126" i="19"/>
  <c r="S42" i="19"/>
  <c r="S125" i="19"/>
  <c r="U125" i="19"/>
  <c r="V125" i="19" s="1"/>
  <c r="S141" i="19"/>
  <c r="S298" i="19"/>
  <c r="U298" i="19"/>
  <c r="V298" i="19" s="1"/>
  <c r="U76" i="19"/>
  <c r="V76" i="19" s="1"/>
  <c r="U173" i="19"/>
  <c r="V173" i="19" s="1"/>
  <c r="U145" i="19"/>
  <c r="V145" i="19" s="1"/>
  <c r="W145" i="19"/>
  <c r="X145" i="19" s="1"/>
  <c r="S211" i="19"/>
  <c r="S93" i="19"/>
  <c r="U93" i="19"/>
  <c r="V93" i="19" s="1"/>
  <c r="S19" i="19"/>
  <c r="S241" i="19"/>
  <c r="U241" i="19"/>
  <c r="V241" i="19" s="1"/>
  <c r="S269" i="19"/>
  <c r="S113" i="19"/>
  <c r="S70" i="19"/>
  <c r="S110" i="19"/>
  <c r="S143" i="19"/>
  <c r="S305" i="19"/>
  <c r="S114" i="19"/>
  <c r="S78" i="19"/>
  <c r="S254" i="19"/>
  <c r="S54" i="19"/>
  <c r="S306" i="19"/>
  <c r="U306" i="19"/>
  <c r="V306" i="19" s="1"/>
  <c r="S294" i="19"/>
  <c r="U294" i="19"/>
  <c r="V294" i="19" s="1"/>
  <c r="S248" i="19"/>
  <c r="S251" i="19"/>
  <c r="S115" i="19"/>
  <c r="S76" i="19"/>
  <c r="S116" i="19"/>
  <c r="S144" i="19"/>
  <c r="S65" i="19"/>
  <c r="U65" i="19"/>
  <c r="V65" i="19" s="1"/>
  <c r="S142" i="19"/>
  <c r="S297" i="19"/>
  <c r="S81" i="19"/>
  <c r="C19" i="41"/>
  <c r="C18" i="41" s="1"/>
  <c r="X193" i="19"/>
  <c r="X30" i="19"/>
  <c r="X176" i="19"/>
  <c r="X227" i="19"/>
  <c r="X264" i="19"/>
  <c r="X26" i="19"/>
  <c r="X167" i="19"/>
  <c r="X43" i="19"/>
  <c r="P3" i="19" a="1"/>
  <c r="P3" i="19" s="1"/>
  <c r="X4" i="19"/>
  <c r="Q58" i="19" l="1"/>
  <c r="R58" i="19" s="1"/>
  <c r="Q260" i="19"/>
  <c r="R260" i="19" s="1"/>
  <c r="Q231" i="19"/>
  <c r="R231" i="19" s="1"/>
  <c r="Q157" i="19"/>
  <c r="R157" i="19" s="1"/>
  <c r="Q243" i="19"/>
  <c r="R243" i="19" s="1"/>
  <c r="Q262" i="19"/>
  <c r="R262" i="19" s="1"/>
  <c r="Q128" i="19"/>
  <c r="R128" i="19" s="1"/>
  <c r="Q15" i="19"/>
  <c r="R15" i="19" s="1"/>
  <c r="Q6" i="19"/>
  <c r="R6" i="19" s="1"/>
  <c r="X111" i="19"/>
  <c r="S243" i="19" l="1"/>
  <c r="S157" i="19"/>
  <c r="S231" i="19"/>
  <c r="S262" i="19"/>
  <c r="S260" i="19"/>
  <c r="S128" i="19"/>
  <c r="S58" i="19"/>
  <c r="S6" i="19"/>
  <c r="S15" i="19"/>
  <c r="Q3" i="19" a="1"/>
  <c r="Q3" i="19" s="1"/>
  <c r="R3" i="19" l="1" a="1"/>
  <c r="R3" i="19" s="1"/>
  <c r="S3" i="19" l="1" a="1"/>
  <c r="S3" i="19" s="1"/>
  <c r="T157" i="19" l="1"/>
  <c r="T128" i="19"/>
  <c r="T262" i="19"/>
  <c r="T243" i="19"/>
  <c r="T58" i="19"/>
  <c r="T231" i="19"/>
  <c r="T260" i="19"/>
  <c r="T15" i="19"/>
  <c r="T6" i="19"/>
  <c r="X210" i="19"/>
  <c r="U231" i="19" l="1"/>
  <c r="V231" i="19" s="1"/>
  <c r="U262" i="19"/>
  <c r="V262" i="19" s="1"/>
  <c r="U243" i="19"/>
  <c r="V243" i="19" s="1"/>
  <c r="U128" i="19"/>
  <c r="V128" i="19" s="1"/>
  <c r="U260" i="19"/>
  <c r="V260" i="19" s="1"/>
  <c r="U58" i="19"/>
  <c r="V58" i="19" s="1"/>
  <c r="U157" i="19"/>
  <c r="V157" i="19" s="1"/>
  <c r="U6" i="19"/>
  <c r="V6" i="19" s="1"/>
  <c r="U15" i="19"/>
  <c r="V15" i="19" s="1"/>
  <c r="X88" i="19"/>
  <c r="T3" i="19" a="1"/>
  <c r="T3" i="19" s="1"/>
  <c r="X247" i="19"/>
  <c r="U3" i="19" l="1" a="1"/>
  <c r="U3" i="19" s="1"/>
  <c r="W15" i="19" s="1"/>
  <c r="V3" i="19" a="1"/>
  <c r="V3" i="19" s="1"/>
  <c r="X187" i="19"/>
  <c r="W231" i="19" l="1"/>
  <c r="W58" i="19"/>
  <c r="W157" i="19"/>
  <c r="X157" i="19" s="1"/>
  <c r="W260" i="19"/>
  <c r="X260" i="19" s="1"/>
  <c r="W128" i="19"/>
  <c r="X128" i="19" s="1"/>
  <c r="W262" i="19"/>
  <c r="W243" i="19"/>
  <c r="X243" i="19" s="1"/>
  <c r="W6" i="19"/>
  <c r="X6" i="19" s="1"/>
  <c r="X262" i="19"/>
  <c r="X58" i="19"/>
  <c r="X231" i="19"/>
  <c r="X237" i="19"/>
  <c r="X15" i="19"/>
  <c r="W3" i="19" l="1" a="1"/>
  <c r="W3" i="19" s="1"/>
  <c r="Y15" i="19" s="1"/>
  <c r="Z15" i="19" s="1"/>
  <c r="X3" i="19" a="1"/>
  <c r="X3" i="19" s="1"/>
  <c r="Y237" i="19" l="1"/>
  <c r="Z237" i="19" s="1"/>
  <c r="Y188" i="19"/>
  <c r="Z188" i="19" s="1"/>
  <c r="Y248" i="19"/>
  <c r="Z248" i="19" s="1"/>
  <c r="Y279" i="19"/>
  <c r="Z279" i="19" s="1"/>
  <c r="Y249" i="19"/>
  <c r="Z249" i="19" s="1"/>
  <c r="Y186" i="19"/>
  <c r="Z186" i="19" s="1"/>
  <c r="Y108" i="19"/>
  <c r="Z108" i="19" s="1"/>
  <c r="Y307" i="19"/>
  <c r="Z307" i="19" s="1"/>
  <c r="Y123" i="19"/>
  <c r="Z123" i="19" s="1"/>
  <c r="Y304" i="19"/>
  <c r="Z304" i="19" s="1"/>
  <c r="Y198" i="19"/>
  <c r="Z198" i="19" s="1"/>
  <c r="Y128" i="19"/>
  <c r="Z128" i="19" s="1"/>
  <c r="Y49" i="19"/>
  <c r="Z49" i="19" s="1"/>
  <c r="Y158" i="19"/>
  <c r="Z158" i="19" s="1"/>
  <c r="Y164" i="19"/>
  <c r="Z164" i="19" s="1"/>
  <c r="Y254" i="19"/>
  <c r="Z254" i="19" s="1"/>
  <c r="Y141" i="19"/>
  <c r="Z141" i="19" s="1"/>
  <c r="Y271" i="19"/>
  <c r="Z271" i="19" s="1"/>
  <c r="Y5" i="19"/>
  <c r="Z5" i="19" s="1"/>
  <c r="Y41" i="19"/>
  <c r="Z41" i="19" s="1"/>
  <c r="Y205" i="19"/>
  <c r="Z205" i="19" s="1"/>
  <c r="Y100" i="19"/>
  <c r="Z100" i="19" s="1"/>
  <c r="Y27" i="19"/>
  <c r="Z27" i="19" s="1"/>
  <c r="Y213" i="19"/>
  <c r="Z213" i="19" s="1"/>
  <c r="Y173" i="19"/>
  <c r="Z173" i="19" s="1"/>
  <c r="Y57" i="19"/>
  <c r="Z57" i="19" s="1"/>
  <c r="Y270" i="19"/>
  <c r="Z270" i="19" s="1"/>
  <c r="Y99" i="19"/>
  <c r="Z99" i="19" s="1"/>
  <c r="Y313" i="19"/>
  <c r="Z313" i="19" s="1"/>
  <c r="Y200" i="19"/>
  <c r="Z200" i="19" s="1"/>
  <c r="Y196" i="19"/>
  <c r="Z196" i="19" s="1"/>
  <c r="Y287" i="19"/>
  <c r="Z287" i="19" s="1"/>
  <c r="Y61" i="19"/>
  <c r="Z61" i="19" s="1"/>
  <c r="Y89" i="19"/>
  <c r="Z89" i="19" s="1"/>
  <c r="Y265" i="19"/>
  <c r="Z265" i="19" s="1"/>
  <c r="Y214" i="19"/>
  <c r="Z214" i="19" s="1"/>
  <c r="Y320" i="19"/>
  <c r="Z320" i="19" s="1"/>
  <c r="Y166" i="19"/>
  <c r="Z166" i="19" s="1"/>
  <c r="Y318" i="19"/>
  <c r="Z318" i="19" s="1"/>
  <c r="Y203" i="19"/>
  <c r="Z203" i="19" s="1"/>
  <c r="Y241" i="19"/>
  <c r="Z241" i="19" s="1"/>
  <c r="Y121" i="19"/>
  <c r="Z121" i="19" s="1"/>
  <c r="Y195" i="19"/>
  <c r="Z195" i="19" s="1"/>
  <c r="Y152" i="19"/>
  <c r="Z152" i="19" s="1"/>
  <c r="Y312" i="19"/>
  <c r="Z312" i="19" s="1"/>
  <c r="Y156" i="19"/>
  <c r="Z156" i="19" s="1"/>
  <c r="Y233" i="19"/>
  <c r="Z233" i="19" s="1"/>
  <c r="Y302" i="19"/>
  <c r="Z302" i="19" s="1"/>
  <c r="Y19" i="19"/>
  <c r="Z19" i="19" s="1"/>
  <c r="Y257" i="19"/>
  <c r="Z257" i="19" s="1"/>
  <c r="Y9" i="19"/>
  <c r="Z9" i="19" s="1"/>
  <c r="Y58" i="19"/>
  <c r="Z58" i="19" s="1"/>
  <c r="Y118" i="19"/>
  <c r="Z118" i="19" s="1"/>
  <c r="Y82" i="19"/>
  <c r="Z82" i="19" s="1"/>
  <c r="Y245" i="19"/>
  <c r="Z245" i="19" s="1"/>
  <c r="Y54" i="19"/>
  <c r="Z54" i="19" s="1"/>
  <c r="Y68" i="19"/>
  <c r="Z68" i="19" s="1"/>
  <c r="Y46" i="19"/>
  <c r="Z46" i="19" s="1"/>
  <c r="Y43" i="19"/>
  <c r="Z43" i="19" s="1"/>
  <c r="Y28" i="19"/>
  <c r="Z28" i="19" s="1"/>
  <c r="Y4" i="19"/>
  <c r="Z4" i="19" s="1"/>
  <c r="Y252" i="19"/>
  <c r="Z252" i="19" s="1"/>
  <c r="Y37" i="19"/>
  <c r="Z37" i="19" s="1"/>
  <c r="Y97" i="19"/>
  <c r="Z97" i="19" s="1"/>
  <c r="Y199" i="19"/>
  <c r="Z199" i="19" s="1"/>
  <c r="Y255" i="19"/>
  <c r="Z255" i="19" s="1"/>
  <c r="Y297" i="19"/>
  <c r="Z297" i="19" s="1"/>
  <c r="Y66" i="19"/>
  <c r="Z66" i="19" s="1"/>
  <c r="Y77" i="19"/>
  <c r="Z77" i="19" s="1"/>
  <c r="Y107" i="19"/>
  <c r="Z107" i="19" s="1"/>
  <c r="Y125" i="19"/>
  <c r="Z125" i="19" s="1"/>
  <c r="Y120" i="19"/>
  <c r="Z120" i="19" s="1"/>
  <c r="Y250" i="19"/>
  <c r="Z250" i="19" s="1"/>
  <c r="Y288" i="19"/>
  <c r="Z288" i="19" s="1"/>
  <c r="Y300" i="19"/>
  <c r="Z300" i="19" s="1"/>
  <c r="Y190" i="19"/>
  <c r="Z190" i="19" s="1"/>
  <c r="Y42" i="19"/>
  <c r="Z42" i="19" s="1"/>
  <c r="Y216" i="19"/>
  <c r="Z216" i="19" s="1"/>
  <c r="Y179" i="19"/>
  <c r="Z179" i="19" s="1"/>
  <c r="Y116" i="19"/>
  <c r="Z116" i="19" s="1"/>
  <c r="Y194" i="19"/>
  <c r="Z194" i="19" s="1"/>
  <c r="Y88" i="19"/>
  <c r="Z88" i="19" s="1"/>
  <c r="Y80" i="19"/>
  <c r="Z80" i="19" s="1"/>
  <c r="Y48" i="19"/>
  <c r="Z48" i="19" s="1"/>
  <c r="Y76" i="19"/>
  <c r="Z76" i="19" s="1"/>
  <c r="Y310" i="19"/>
  <c r="Z310" i="19" s="1"/>
  <c r="Y79" i="19"/>
  <c r="Z79" i="19" s="1"/>
  <c r="Y38" i="19"/>
  <c r="Z38" i="19" s="1"/>
  <c r="Y286" i="19"/>
  <c r="Z286" i="19" s="1"/>
  <c r="Y135" i="19"/>
  <c r="Z135" i="19" s="1"/>
  <c r="Y40" i="19"/>
  <c r="Z40" i="19" s="1"/>
  <c r="Y17" i="19"/>
  <c r="Z17" i="19" s="1"/>
  <c r="Y106" i="19"/>
  <c r="Z106" i="19" s="1"/>
  <c r="Y174" i="19"/>
  <c r="Z174" i="19" s="1"/>
  <c r="Y104" i="19"/>
  <c r="Z104" i="19" s="1"/>
  <c r="Y211" i="19"/>
  <c r="Z211" i="19" s="1"/>
  <c r="Y71" i="19"/>
  <c r="Z71" i="19" s="1"/>
  <c r="Y167" i="19"/>
  <c r="Z167" i="19" s="1"/>
  <c r="Y161" i="19"/>
  <c r="Z161" i="19" s="1"/>
  <c r="Y176" i="19"/>
  <c r="Z176" i="19" s="1"/>
  <c r="Y311" i="19"/>
  <c r="Z311" i="19" s="1"/>
  <c r="Y289" i="19"/>
  <c r="Z289" i="19" s="1"/>
  <c r="Y295" i="19"/>
  <c r="Z295" i="19" s="1"/>
  <c r="Y267" i="19"/>
  <c r="Z267" i="19" s="1"/>
  <c r="Y224" i="19"/>
  <c r="Z224" i="19" s="1"/>
  <c r="Y137" i="19"/>
  <c r="Z137" i="19" s="1"/>
  <c r="Y168" i="19"/>
  <c r="Z168" i="19" s="1"/>
  <c r="Y226" i="19"/>
  <c r="Z226" i="19" s="1"/>
  <c r="Y21" i="19"/>
  <c r="Z21" i="19" s="1"/>
  <c r="Y75" i="19"/>
  <c r="Z75" i="19" s="1"/>
  <c r="Y147" i="19"/>
  <c r="Z147" i="19" s="1"/>
  <c r="Y206" i="19"/>
  <c r="Z206" i="19" s="1"/>
  <c r="Y172" i="19"/>
  <c r="Z172" i="19" s="1"/>
  <c r="Y105" i="19"/>
  <c r="Z105" i="19" s="1"/>
  <c r="Y284" i="19"/>
  <c r="Z284" i="19" s="1"/>
  <c r="Y51" i="19"/>
  <c r="Z51" i="19" s="1"/>
  <c r="Y299" i="19"/>
  <c r="Z299" i="19" s="1"/>
  <c r="Y244" i="19"/>
  <c r="Z244" i="19" s="1"/>
  <c r="Y10" i="19"/>
  <c r="Z10" i="19" s="1"/>
  <c r="Y285" i="19"/>
  <c r="Z285" i="19" s="1"/>
  <c r="Y221" i="19"/>
  <c r="Z221" i="19" s="1"/>
  <c r="Y29" i="19"/>
  <c r="Z29" i="19" s="1"/>
  <c r="Y182" i="19"/>
  <c r="Z182" i="19" s="1"/>
  <c r="Y238" i="19"/>
  <c r="Z238" i="19" s="1"/>
  <c r="Y91" i="19"/>
  <c r="Z91" i="19" s="1"/>
  <c r="Y47" i="19"/>
  <c r="Z47" i="19" s="1"/>
  <c r="Y263" i="19"/>
  <c r="Z263" i="19" s="1"/>
  <c r="Y247" i="19"/>
  <c r="Z247" i="19" s="1"/>
  <c r="Y290" i="19"/>
  <c r="Z290" i="19" s="1"/>
  <c r="Y303" i="19"/>
  <c r="Z303" i="19" s="1"/>
  <c r="Y11" i="19"/>
  <c r="Z11" i="19" s="1"/>
  <c r="Y293" i="19"/>
  <c r="Z293" i="19" s="1"/>
  <c r="Y215" i="19"/>
  <c r="Z215" i="19" s="1"/>
  <c r="Y169" i="19"/>
  <c r="Z169" i="19" s="1"/>
  <c r="Y209" i="19"/>
  <c r="Z209" i="19" s="1"/>
  <c r="Y153" i="19"/>
  <c r="Z153" i="19" s="1"/>
  <c r="Y283" i="19"/>
  <c r="Z283" i="19" s="1"/>
  <c r="Y278" i="19"/>
  <c r="Z278" i="19" s="1"/>
  <c r="Y210" i="19"/>
  <c r="Z210" i="19" s="1"/>
  <c r="Y6" i="19"/>
  <c r="Z6" i="19" s="1"/>
  <c r="Y191" i="19"/>
  <c r="Z191" i="19" s="1"/>
  <c r="Y112" i="19"/>
  <c r="Z112" i="19" s="1"/>
  <c r="Y85" i="19"/>
  <c r="Z85" i="19" s="1"/>
  <c r="Y207" i="19"/>
  <c r="Z207" i="19" s="1"/>
  <c r="Y219" i="19"/>
  <c r="Z219" i="19" s="1"/>
  <c r="Y159" i="19"/>
  <c r="Z159" i="19" s="1"/>
  <c r="Y292" i="19"/>
  <c r="Z292" i="19" s="1"/>
  <c r="Y131" i="19"/>
  <c r="Z131" i="19" s="1"/>
  <c r="Y59" i="19"/>
  <c r="Z59" i="19" s="1"/>
  <c r="Y56" i="19"/>
  <c r="Z56" i="19" s="1"/>
  <c r="Y151" i="19"/>
  <c r="Z151" i="19" s="1"/>
  <c r="Y222" i="19"/>
  <c r="Z222" i="19" s="1"/>
  <c r="Y65" i="19"/>
  <c r="Z65" i="19" s="1"/>
  <c r="Y317" i="19"/>
  <c r="Z317" i="19" s="1"/>
  <c r="Y113" i="19"/>
  <c r="Z113" i="19" s="1"/>
  <c r="Y149" i="19"/>
  <c r="Z149" i="19" s="1"/>
  <c r="Y193" i="19"/>
  <c r="Z193" i="19" s="1"/>
  <c r="Y175" i="19"/>
  <c r="Z175" i="19" s="1"/>
  <c r="Y70" i="19"/>
  <c r="Z70" i="19" s="1"/>
  <c r="Y256" i="19"/>
  <c r="Z256" i="19" s="1"/>
  <c r="Y184" i="19"/>
  <c r="Z184" i="19" s="1"/>
  <c r="Y55" i="19"/>
  <c r="Z55" i="19" s="1"/>
  <c r="Y146" i="19"/>
  <c r="Z146" i="19" s="1"/>
  <c r="Y142" i="19"/>
  <c r="Z142" i="19" s="1"/>
  <c r="Y243" i="19"/>
  <c r="Z243" i="19" s="1"/>
  <c r="Y262" i="19"/>
  <c r="Z262" i="19" s="1"/>
  <c r="Y201" i="19"/>
  <c r="Z201" i="19" s="1"/>
  <c r="Y98" i="19"/>
  <c r="Z98" i="19" s="1"/>
  <c r="Y115" i="19"/>
  <c r="Z115" i="19" s="1"/>
  <c r="Y45" i="19"/>
  <c r="Z45" i="19" s="1"/>
  <c r="Y223" i="19"/>
  <c r="Z223" i="19" s="1"/>
  <c r="Y140" i="19"/>
  <c r="Z140" i="19" s="1"/>
  <c r="Y94" i="19"/>
  <c r="Z94" i="19" s="1"/>
  <c r="Y276" i="19"/>
  <c r="Z276" i="19" s="1"/>
  <c r="Y93" i="19"/>
  <c r="Z93" i="19" s="1"/>
  <c r="Y240" i="19"/>
  <c r="Z240" i="19" s="1"/>
  <c r="Y316" i="19"/>
  <c r="Z316" i="19" s="1"/>
  <c r="Y314" i="19"/>
  <c r="Z314" i="19" s="1"/>
  <c r="Y232" i="19"/>
  <c r="Z232" i="19" s="1"/>
  <c r="Y281" i="19"/>
  <c r="Z281" i="19" s="1"/>
  <c r="Y208" i="19"/>
  <c r="Z208" i="19" s="1"/>
  <c r="Y103" i="19"/>
  <c r="Z103" i="19" s="1"/>
  <c r="Y273" i="19"/>
  <c r="Z273" i="19" s="1"/>
  <c r="Y259" i="19"/>
  <c r="Z259" i="19" s="1"/>
  <c r="Y26" i="19"/>
  <c r="Z26" i="19" s="1"/>
  <c r="Y185" i="19"/>
  <c r="Z185" i="19" s="1"/>
  <c r="Y72" i="19"/>
  <c r="Z72" i="19" s="1"/>
  <c r="Y130" i="19"/>
  <c r="Z130" i="19" s="1"/>
  <c r="Y305" i="19"/>
  <c r="Z305" i="19" s="1"/>
  <c r="Y50" i="19"/>
  <c r="Z50" i="19" s="1"/>
  <c r="Y234" i="19"/>
  <c r="Z234" i="19" s="1"/>
  <c r="Y63" i="19"/>
  <c r="Z63" i="19" s="1"/>
  <c r="Y83" i="19"/>
  <c r="Z83" i="19" s="1"/>
  <c r="Y52" i="19"/>
  <c r="Z52" i="19" s="1"/>
  <c r="Y143" i="19"/>
  <c r="Z143" i="19" s="1"/>
  <c r="Y36" i="19"/>
  <c r="Z36" i="19" s="1"/>
  <c r="Y189" i="19"/>
  <c r="Z189" i="19" s="1"/>
  <c r="Y126" i="19"/>
  <c r="Z126" i="19" s="1"/>
  <c r="Y30" i="19"/>
  <c r="Z30" i="19" s="1"/>
  <c r="Y269" i="19"/>
  <c r="Z269" i="19" s="1"/>
  <c r="Y96" i="19"/>
  <c r="Z96" i="19" s="1"/>
  <c r="Y309" i="19"/>
  <c r="Z309" i="19" s="1"/>
  <c r="Y111" i="19"/>
  <c r="Z111" i="19" s="1"/>
  <c r="Y296" i="19"/>
  <c r="Z296" i="19" s="1"/>
  <c r="Y139" i="19"/>
  <c r="Z139" i="19" s="1"/>
  <c r="Y306" i="19"/>
  <c r="Z306" i="19" s="1"/>
  <c r="Y157" i="19"/>
  <c r="Z157" i="19" s="1"/>
  <c r="Y62" i="19"/>
  <c r="Z62" i="19" s="1"/>
  <c r="Y13" i="19"/>
  <c r="Z13" i="19" s="1"/>
  <c r="Y144" i="19"/>
  <c r="Z144" i="19" s="1"/>
  <c r="Y44" i="19"/>
  <c r="Z44" i="19" s="1"/>
  <c r="Y294" i="19"/>
  <c r="Z294" i="19" s="1"/>
  <c r="Y12" i="19"/>
  <c r="Z12" i="19" s="1"/>
  <c r="Y268" i="19"/>
  <c r="Z268" i="19" s="1"/>
  <c r="Y69" i="19"/>
  <c r="Z69" i="19" s="1"/>
  <c r="Y282" i="19"/>
  <c r="Z282" i="19" s="1"/>
  <c r="Y18" i="19"/>
  <c r="Z18" i="19" s="1"/>
  <c r="Y280" i="19"/>
  <c r="Z280" i="19" s="1"/>
  <c r="Y275" i="19"/>
  <c r="Z275" i="19" s="1"/>
  <c r="Y260" i="19"/>
  <c r="Z260" i="19" s="1"/>
  <c r="Y192" i="19"/>
  <c r="Z192" i="19" s="1"/>
  <c r="Y162" i="19"/>
  <c r="Z162" i="19" s="1"/>
  <c r="Y95" i="19"/>
  <c r="Z95" i="19" s="1"/>
  <c r="Y177" i="19"/>
  <c r="Z177" i="19" s="1"/>
  <c r="Y64" i="19"/>
  <c r="Z64" i="19" s="1"/>
  <c r="Y319" i="19"/>
  <c r="Z319" i="19" s="1"/>
  <c r="Y32" i="19"/>
  <c r="Z32" i="19" s="1"/>
  <c r="Y180" i="19"/>
  <c r="Z180" i="19" s="1"/>
  <c r="Y160" i="19"/>
  <c r="Z160" i="19" s="1"/>
  <c r="Y25" i="19"/>
  <c r="Z25" i="19" s="1"/>
  <c r="Y33" i="19"/>
  <c r="Z33" i="19" s="1"/>
  <c r="Y178" i="19"/>
  <c r="Z178" i="19" s="1"/>
  <c r="Y220" i="19"/>
  <c r="Z220" i="19" s="1"/>
  <c r="Y16" i="19"/>
  <c r="Z16" i="19" s="1"/>
  <c r="Y90" i="19"/>
  <c r="Z90" i="19" s="1"/>
  <c r="Y264" i="19"/>
  <c r="Z264" i="19" s="1"/>
  <c r="Y274" i="19"/>
  <c r="Z274" i="19" s="1"/>
  <c r="Y39" i="19"/>
  <c r="Z39" i="19" s="1"/>
  <c r="Y239" i="19"/>
  <c r="Z239" i="19" s="1"/>
  <c r="Y117" i="19"/>
  <c r="Z117" i="19" s="1"/>
  <c r="Y251" i="19"/>
  <c r="Z251" i="19" s="1"/>
  <c r="Y129" i="19"/>
  <c r="Z129" i="19" s="1"/>
  <c r="Y291" i="19"/>
  <c r="Z291" i="19" s="1"/>
  <c r="Y187" i="19"/>
  <c r="Z187" i="19" s="1"/>
  <c r="Y197" i="19"/>
  <c r="Z197" i="19" s="1"/>
  <c r="Y67" i="19"/>
  <c r="Z67" i="19" s="1"/>
  <c r="Y109" i="19"/>
  <c r="Z109" i="19" s="1"/>
  <c r="Y35" i="19"/>
  <c r="Z35" i="19" s="1"/>
  <c r="Y298" i="19"/>
  <c r="Z298" i="19" s="1"/>
  <c r="Y230" i="19"/>
  <c r="Z230" i="19" s="1"/>
  <c r="Y87" i="19"/>
  <c r="Z87" i="19" s="1"/>
  <c r="Y74" i="19"/>
  <c r="Z74" i="19" s="1"/>
  <c r="Y170" i="19"/>
  <c r="Z170" i="19" s="1"/>
  <c r="Y122" i="19"/>
  <c r="Z122" i="19" s="1"/>
  <c r="Y217" i="19"/>
  <c r="Z217" i="19" s="1"/>
  <c r="Y212" i="19"/>
  <c r="Z212" i="19" s="1"/>
  <c r="Y8" i="19"/>
  <c r="Z8" i="19" s="1"/>
  <c r="Y163" i="19"/>
  <c r="Z163" i="19" s="1"/>
  <c r="Y119" i="19"/>
  <c r="Z119" i="19" s="1"/>
  <c r="Y138" i="19"/>
  <c r="Z138" i="19" s="1"/>
  <c r="Y53" i="19"/>
  <c r="Z53" i="19" s="1"/>
  <c r="Y124" i="19"/>
  <c r="Z124" i="19" s="1"/>
  <c r="Y136" i="19"/>
  <c r="Z136" i="19" s="1"/>
  <c r="Y277" i="19"/>
  <c r="Z277" i="19" s="1"/>
  <c r="Y127" i="19"/>
  <c r="Z127" i="19" s="1"/>
  <c r="Y218" i="19"/>
  <c r="Z218" i="19" s="1"/>
  <c r="Y242" i="19"/>
  <c r="Z242" i="19" s="1"/>
  <c r="Y14" i="19"/>
  <c r="Z14" i="19" s="1"/>
  <c r="Y204" i="19"/>
  <c r="Z204" i="19" s="1"/>
  <c r="Y236" i="19"/>
  <c r="Z236" i="19" s="1"/>
  <c r="Y86" i="19"/>
  <c r="Z86" i="19" s="1"/>
  <c r="Y145" i="19"/>
  <c r="Z145" i="19" s="1"/>
  <c r="Y165" i="19"/>
  <c r="Z165" i="19" s="1"/>
  <c r="Y154" i="19"/>
  <c r="Z154" i="19" s="1"/>
  <c r="Y155" i="19"/>
  <c r="Z155" i="19" s="1"/>
  <c r="Y22" i="19"/>
  <c r="Z22" i="19" s="1"/>
  <c r="Y84" i="19"/>
  <c r="Z84" i="19" s="1"/>
  <c r="Y78" i="19"/>
  <c r="Z78" i="19" s="1"/>
  <c r="Y258" i="19"/>
  <c r="Z258" i="19" s="1"/>
  <c r="Y150" i="19"/>
  <c r="Z150" i="19" s="1"/>
  <c r="Y20" i="19"/>
  <c r="Z20" i="19" s="1"/>
  <c r="Y202" i="19"/>
  <c r="Z202" i="19" s="1"/>
  <c r="Y34" i="19"/>
  <c r="Z34" i="19" s="1"/>
  <c r="Y261" i="19"/>
  <c r="Z261" i="19" s="1"/>
  <c r="Y133" i="19"/>
  <c r="Z133" i="19" s="1"/>
  <c r="Y183" i="19"/>
  <c r="Z183" i="19" s="1"/>
  <c r="Y301" i="19"/>
  <c r="Z301" i="19" s="1"/>
  <c r="Y235" i="19"/>
  <c r="Z235" i="19" s="1"/>
  <c r="Y227" i="19"/>
  <c r="Z227" i="19" s="1"/>
  <c r="Y24" i="19"/>
  <c r="Z24" i="19" s="1"/>
  <c r="Y31" i="19"/>
  <c r="Z31" i="19" s="1"/>
  <c r="Y266" i="19"/>
  <c r="Z266" i="19" s="1"/>
  <c r="Y231" i="19"/>
  <c r="Z231" i="19" s="1"/>
  <c r="Y272" i="19"/>
  <c r="Z272" i="19" s="1"/>
  <c r="Y315" i="19"/>
  <c r="Z315" i="19" s="1"/>
  <c r="Y101" i="19"/>
  <c r="Z101" i="19" s="1"/>
  <c r="Y181" i="19"/>
  <c r="Z181" i="19" s="1"/>
  <c r="Y228" i="19"/>
  <c r="Z228" i="19" s="1"/>
  <c r="Y73" i="19"/>
  <c r="Z73" i="19" s="1"/>
  <c r="Y132" i="19"/>
  <c r="Z132" i="19" s="1"/>
  <c r="Y225" i="19"/>
  <c r="Z225" i="19" s="1"/>
  <c r="Y81" i="19"/>
  <c r="Z81" i="19" s="1"/>
  <c r="Y110" i="19"/>
  <c r="Z110" i="19" s="1"/>
  <c r="Y114" i="19"/>
  <c r="Z114" i="19" s="1"/>
  <c r="Y253" i="19"/>
  <c r="Z253" i="19" s="1"/>
  <c r="Y134" i="19"/>
  <c r="Z134" i="19" s="1"/>
  <c r="Y246" i="19"/>
  <c r="Z246" i="19" s="1"/>
  <c r="Y7" i="19"/>
  <c r="Z7" i="19" s="1"/>
  <c r="Y23" i="19"/>
  <c r="Z23" i="19" s="1"/>
  <c r="Y229" i="19"/>
  <c r="Z229" i="19" s="1"/>
  <c r="Y148" i="19"/>
  <c r="Z148" i="19" s="1"/>
  <c r="Y308" i="19"/>
  <c r="Z308" i="19" s="1"/>
  <c r="Y171" i="19"/>
  <c r="Z171" i="19" s="1"/>
  <c r="Y92" i="19"/>
  <c r="Z92" i="19" s="1"/>
  <c r="Y60" i="19"/>
  <c r="Z60" i="19" s="1"/>
  <c r="Y102" i="19"/>
  <c r="Z102" i="19" s="1"/>
  <c r="C21" i="41" l="1"/>
  <c r="C24" i="41" s="1"/>
  <c r="Z3" i="19" a="1"/>
  <c r="Z3" i="19" s="1"/>
  <c r="AA8" i="19" s="1"/>
  <c r="AB8" i="19" s="1"/>
  <c r="AE8" i="19" s="1"/>
  <c r="Y3" i="19" a="1"/>
  <c r="Y3" i="19" s="1"/>
  <c r="AA91" i="19" l="1"/>
  <c r="AB91" i="19" s="1"/>
  <c r="AE91" i="19" s="1"/>
  <c r="AA246" i="19"/>
  <c r="AB246" i="19" s="1"/>
  <c r="AE246" i="19" s="1"/>
  <c r="AA53" i="19"/>
  <c r="AB53" i="19" s="1"/>
  <c r="AE53" i="19" s="1"/>
  <c r="AA23" i="19"/>
  <c r="AB23" i="19" s="1"/>
  <c r="AE23" i="19" s="1"/>
  <c r="AA266" i="19"/>
  <c r="AB266" i="19" s="1"/>
  <c r="AE266" i="19" s="1"/>
  <c r="AA289" i="19"/>
  <c r="AB289" i="19" s="1"/>
  <c r="AE289" i="19" s="1"/>
  <c r="AA137" i="19"/>
  <c r="AB137" i="19" s="1"/>
  <c r="AE137" i="19" s="1"/>
  <c r="AA153" i="19"/>
  <c r="AB153" i="19" s="1"/>
  <c r="AE153" i="19" s="1"/>
  <c r="AA316" i="19"/>
  <c r="AB316" i="19" s="1"/>
  <c r="AE316" i="19" s="1"/>
  <c r="AA244" i="19"/>
  <c r="AB244" i="19" s="1"/>
  <c r="AE244" i="19" s="1"/>
  <c r="AA226" i="19"/>
  <c r="AB226" i="19" s="1"/>
  <c r="AE226" i="19" s="1"/>
  <c r="AA237" i="19"/>
  <c r="AB237" i="19" s="1"/>
  <c r="AE237" i="19" s="1"/>
  <c r="AA263" i="19"/>
  <c r="AB263" i="19" s="1"/>
  <c r="AE263" i="19" s="1"/>
  <c r="AA298" i="19"/>
  <c r="AB298" i="19" s="1"/>
  <c r="AE298" i="19" s="1"/>
  <c r="AA236" i="19"/>
  <c r="AB236" i="19" s="1"/>
  <c r="AE236" i="19" s="1"/>
  <c r="AA124" i="19"/>
  <c r="AB124" i="19" s="1"/>
  <c r="AE124" i="19" s="1"/>
  <c r="AA24" i="19"/>
  <c r="AB24" i="19" s="1"/>
  <c r="AE24" i="19" s="1"/>
  <c r="AA147" i="19"/>
  <c r="AB147" i="19" s="1"/>
  <c r="AE147" i="19" s="1"/>
  <c r="AA190" i="19"/>
  <c r="AB190" i="19" s="1"/>
  <c r="AE190" i="19" s="1"/>
  <c r="AA38" i="19"/>
  <c r="AB38" i="19" s="1"/>
  <c r="AE38" i="19" s="1"/>
  <c r="AA81" i="19"/>
  <c r="AB81" i="19" s="1"/>
  <c r="AE81" i="19" s="1"/>
  <c r="AA224" i="19"/>
  <c r="AB224" i="19" s="1"/>
  <c r="AE224" i="19" s="1"/>
  <c r="AA206" i="19"/>
  <c r="AB206" i="19" s="1"/>
  <c r="AE206" i="19" s="1"/>
  <c r="AA243" i="19"/>
  <c r="AB243" i="19" s="1"/>
  <c r="AE243" i="19" s="1"/>
  <c r="AA242" i="19"/>
  <c r="AB242" i="19" s="1"/>
  <c r="AE242" i="19" s="1"/>
  <c r="AA205" i="19"/>
  <c r="AB205" i="19" s="1"/>
  <c r="AE205" i="19" s="1"/>
  <c r="AA304" i="19"/>
  <c r="AB304" i="19" s="1"/>
  <c r="AE304" i="19" s="1"/>
  <c r="AA207" i="19"/>
  <c r="AB207" i="19" s="1"/>
  <c r="AE207" i="19" s="1"/>
  <c r="AA167" i="19"/>
  <c r="AB167" i="19" s="1"/>
  <c r="AE167" i="19" s="1"/>
  <c r="AA209" i="19"/>
  <c r="AB209" i="19" s="1"/>
  <c r="AE209" i="19" s="1"/>
  <c r="AA278" i="19"/>
  <c r="AB278" i="19" s="1"/>
  <c r="AE278" i="19" s="1"/>
  <c r="AA255" i="19"/>
  <c r="AB255" i="19" s="1"/>
  <c r="AE255" i="19" s="1"/>
  <c r="AA308" i="19"/>
  <c r="AB308" i="19" s="1"/>
  <c r="AE308" i="19" s="1"/>
  <c r="AA43" i="19"/>
  <c r="AB43" i="19" s="1"/>
  <c r="AE43" i="19" s="1"/>
  <c r="AA229" i="19"/>
  <c r="AB229" i="19" s="1"/>
  <c r="AE229" i="19" s="1"/>
  <c r="AA245" i="19"/>
  <c r="AB245" i="19" s="1"/>
  <c r="AE245" i="19" s="1"/>
  <c r="AA279" i="19"/>
  <c r="AB279" i="19" s="1"/>
  <c r="AE279" i="19" s="1"/>
  <c r="AA47" i="19"/>
  <c r="AB47" i="19" s="1"/>
  <c r="AE47" i="19" s="1"/>
  <c r="AA7" i="19"/>
  <c r="AB7" i="19" s="1"/>
  <c r="AE7" i="19" s="1"/>
  <c r="AA136" i="19"/>
  <c r="AB136" i="19" s="1"/>
  <c r="AE136" i="19" s="1"/>
  <c r="AA235" i="19"/>
  <c r="AB235" i="19" s="1"/>
  <c r="AE235" i="19" s="1"/>
  <c r="AA58" i="19"/>
  <c r="AB58" i="19" s="1"/>
  <c r="AE58" i="19" s="1"/>
  <c r="AA203" i="19"/>
  <c r="AB203" i="19" s="1"/>
  <c r="AE203" i="19" s="1"/>
  <c r="AA54" i="19"/>
  <c r="AB54" i="19" s="1"/>
  <c r="AE54" i="19" s="1"/>
  <c r="AA144" i="19"/>
  <c r="AB144" i="19" s="1"/>
  <c r="AE144" i="19" s="1"/>
  <c r="AA9" i="19"/>
  <c r="AB9" i="19" s="1"/>
  <c r="AE9" i="19" s="1"/>
  <c r="AA273" i="19"/>
  <c r="AB273" i="19" s="1"/>
  <c r="AE273" i="19" s="1"/>
  <c r="AA317" i="19"/>
  <c r="AB317" i="19" s="1"/>
  <c r="AE317" i="19" s="1"/>
  <c r="AA50" i="19"/>
  <c r="AB50" i="19" s="1"/>
  <c r="AE50" i="19" s="1"/>
  <c r="AA281" i="19"/>
  <c r="AB281" i="19" s="1"/>
  <c r="AE281" i="19" s="1"/>
  <c r="AA145" i="19"/>
  <c r="AB145" i="19" s="1"/>
  <c r="AE145" i="19" s="1"/>
  <c r="AA253" i="19"/>
  <c r="AB253" i="19" s="1"/>
  <c r="AE253" i="19" s="1"/>
  <c r="AA256" i="19"/>
  <c r="AB256" i="19" s="1"/>
  <c r="AE256" i="19" s="1"/>
  <c r="AA259" i="19"/>
  <c r="AB259" i="19" s="1"/>
  <c r="AE259" i="19" s="1"/>
  <c r="AA25" i="19"/>
  <c r="AB25" i="19" s="1"/>
  <c r="AE25" i="19" s="1"/>
  <c r="AA307" i="19"/>
  <c r="AB307" i="19" s="1"/>
  <c r="AE307" i="19" s="1"/>
  <c r="AA239" i="19"/>
  <c r="AB239" i="19" s="1"/>
  <c r="AE239" i="19" s="1"/>
  <c r="AA277" i="19"/>
  <c r="AB277" i="19" s="1"/>
  <c r="AE277" i="19" s="1"/>
  <c r="AA196" i="19"/>
  <c r="AB196" i="19" s="1"/>
  <c r="AE196" i="19" s="1"/>
  <c r="AA96" i="19"/>
  <c r="AB96" i="19" s="1"/>
  <c r="AE96" i="19" s="1"/>
  <c r="AA41" i="19"/>
  <c r="AB41" i="19" s="1"/>
  <c r="AE41" i="19" s="1"/>
  <c r="AA187" i="19"/>
  <c r="AB187" i="19" s="1"/>
  <c r="AE187" i="19" s="1"/>
  <c r="AA21" i="19"/>
  <c r="AB21" i="19" s="1"/>
  <c r="AE21" i="19" s="1"/>
  <c r="AA89" i="19"/>
  <c r="AB89" i="19" s="1"/>
  <c r="AE89" i="19" s="1"/>
  <c r="AA52" i="19"/>
  <c r="AB52" i="19" s="1"/>
  <c r="AE52" i="19" s="1"/>
  <c r="AA185" i="19"/>
  <c r="AB185" i="19" s="1"/>
  <c r="AE185" i="19" s="1"/>
  <c r="AA282" i="19"/>
  <c r="AB282" i="19" s="1"/>
  <c r="AE282" i="19" s="1"/>
  <c r="AA221" i="19"/>
  <c r="AB221" i="19" s="1"/>
  <c r="AE221" i="19" s="1"/>
  <c r="AA311" i="19"/>
  <c r="AB311" i="19" s="1"/>
  <c r="AE311" i="19" s="1"/>
  <c r="AA133" i="19"/>
  <c r="AB133" i="19" s="1"/>
  <c r="AE133" i="19" s="1"/>
  <c r="AA160" i="19"/>
  <c r="AB160" i="19" s="1"/>
  <c r="AE160" i="19" s="1"/>
  <c r="AA74" i="19"/>
  <c r="AB74" i="19" s="1"/>
  <c r="AE74" i="19" s="1"/>
  <c r="AA318" i="19"/>
  <c r="AB318" i="19" s="1"/>
  <c r="AE318" i="19" s="1"/>
  <c r="AA42" i="19"/>
  <c r="AB42" i="19" s="1"/>
  <c r="AE42" i="19" s="1"/>
  <c r="AA111" i="19"/>
  <c r="AB111" i="19" s="1"/>
  <c r="AE111" i="19" s="1"/>
  <c r="AA131" i="19"/>
  <c r="AB131" i="19" s="1"/>
  <c r="AE131" i="19" s="1"/>
  <c r="AA295" i="19"/>
  <c r="AB295" i="19" s="1"/>
  <c r="AE295" i="19" s="1"/>
  <c r="AA120" i="19"/>
  <c r="AB120" i="19" s="1"/>
  <c r="AE120" i="19" s="1"/>
  <c r="AA10" i="19"/>
  <c r="AB10" i="19" s="1"/>
  <c r="AE10" i="19" s="1"/>
  <c r="AA76" i="19"/>
  <c r="AB76" i="19" s="1"/>
  <c r="AE76" i="19" s="1"/>
  <c r="AA310" i="19"/>
  <c r="AB310" i="19" s="1"/>
  <c r="AE310" i="19" s="1"/>
  <c r="AA35" i="19"/>
  <c r="AB35" i="19" s="1"/>
  <c r="AE35" i="19" s="1"/>
  <c r="AA32" i="19"/>
  <c r="AB32" i="19" s="1"/>
  <c r="AE32" i="19" s="1"/>
  <c r="AA163" i="19"/>
  <c r="AB163" i="19" s="1"/>
  <c r="AE163" i="19" s="1"/>
  <c r="AA98" i="19"/>
  <c r="AB98" i="19" s="1"/>
  <c r="AE98" i="19" s="1"/>
  <c r="AA269" i="19"/>
  <c r="AB269" i="19" s="1"/>
  <c r="AE269" i="19" s="1"/>
  <c r="AA215" i="19"/>
  <c r="AB215" i="19" s="1"/>
  <c r="AE215" i="19" s="1"/>
  <c r="AA212" i="19"/>
  <c r="AB212" i="19" s="1"/>
  <c r="AD212" i="19" s="1"/>
  <c r="AD3" i="19" s="1"/>
  <c r="B22" i="12" s="1"/>
  <c r="B23" i="12" s="1"/>
  <c r="AE1" i="19" s="1"/>
  <c r="AA195" i="19"/>
  <c r="AB195" i="19" s="1"/>
  <c r="AE195" i="19" s="1"/>
  <c r="AA177" i="19"/>
  <c r="AB177" i="19" s="1"/>
  <c r="AE177" i="19" s="1"/>
  <c r="AA274" i="19"/>
  <c r="AB274" i="19" s="1"/>
  <c r="AE274" i="19" s="1"/>
  <c r="AA100" i="19"/>
  <c r="AB100" i="19" s="1"/>
  <c r="AE100" i="19" s="1"/>
  <c r="AA193" i="19"/>
  <c r="AB193" i="19" s="1"/>
  <c r="AE193" i="19" s="1"/>
  <c r="AA233" i="19"/>
  <c r="AB233" i="19" s="1"/>
  <c r="AE233" i="19" s="1"/>
  <c r="AA128" i="19"/>
  <c r="AB128" i="19" s="1"/>
  <c r="AE128" i="19" s="1"/>
  <c r="AA309" i="19"/>
  <c r="AB309" i="19" s="1"/>
  <c r="AE309" i="19" s="1"/>
  <c r="AA113" i="19"/>
  <c r="AB113" i="19" s="1"/>
  <c r="AE113" i="19" s="1"/>
  <c r="AA292" i="19"/>
  <c r="AB292" i="19" s="1"/>
  <c r="AE292" i="19" s="1"/>
  <c r="AA320" i="19"/>
  <c r="AB320" i="19" s="1"/>
  <c r="AE320" i="19" s="1"/>
  <c r="AA272" i="19"/>
  <c r="AB272" i="19" s="1"/>
  <c r="AE272" i="19" s="1"/>
  <c r="AA72" i="19"/>
  <c r="AB72" i="19" s="1"/>
  <c r="AE72" i="19" s="1"/>
  <c r="AA116" i="19"/>
  <c r="AB116" i="19" s="1"/>
  <c r="AE116" i="19" s="1"/>
  <c r="AA238" i="19"/>
  <c r="AB238" i="19" s="1"/>
  <c r="AE238" i="19" s="1"/>
  <c r="AA148" i="19"/>
  <c r="AB148" i="19" s="1"/>
  <c r="AE148" i="19" s="1"/>
  <c r="AA68" i="19"/>
  <c r="AB68" i="19" s="1"/>
  <c r="AE68" i="19" s="1"/>
  <c r="AA28" i="19"/>
  <c r="AB28" i="19" s="1"/>
  <c r="AE28" i="19" s="1"/>
  <c r="AA198" i="19"/>
  <c r="AB198" i="19" s="1"/>
  <c r="AE198" i="19" s="1"/>
  <c r="AA214" i="19"/>
  <c r="AB214" i="19" s="1"/>
  <c r="AE214" i="19" s="1"/>
  <c r="AA123" i="19"/>
  <c r="AB123" i="19" s="1"/>
  <c r="AE123" i="19" s="1"/>
  <c r="AA166" i="19"/>
  <c r="AB166" i="19" s="1"/>
  <c r="AE166" i="19" s="1"/>
  <c r="AA261" i="19"/>
  <c r="AB261" i="19" s="1"/>
  <c r="AE261" i="19" s="1"/>
  <c r="AA26" i="19"/>
  <c r="AB26" i="19" s="1"/>
  <c r="AE26" i="19" s="1"/>
  <c r="AA189" i="19"/>
  <c r="AB189" i="19" s="1"/>
  <c r="AE189" i="19" s="1"/>
  <c r="AA300" i="19"/>
  <c r="AB300" i="19" s="1"/>
  <c r="AE300" i="19" s="1"/>
  <c r="AA102" i="19"/>
  <c r="AB102" i="19" s="1"/>
  <c r="AE102" i="19" s="1"/>
  <c r="AA313" i="19"/>
  <c r="AB313" i="19" s="1"/>
  <c r="AE313" i="19" s="1"/>
  <c r="AA248" i="19"/>
  <c r="AB248" i="19" s="1"/>
  <c r="AE248" i="19" s="1"/>
  <c r="AA165" i="19"/>
  <c r="AB165" i="19" s="1"/>
  <c r="AE165" i="19" s="1"/>
  <c r="AA64" i="19"/>
  <c r="AB64" i="19" s="1"/>
  <c r="AE64" i="19" s="1"/>
  <c r="AA179" i="19"/>
  <c r="AB179" i="19" s="1"/>
  <c r="AE179" i="19" s="1"/>
  <c r="AA267" i="19"/>
  <c r="AB267" i="19" s="1"/>
  <c r="AE267" i="19" s="1"/>
  <c r="AA270" i="19"/>
  <c r="AB270" i="19" s="1"/>
  <c r="AE270" i="19" s="1"/>
  <c r="AA67" i="19"/>
  <c r="AB67" i="19" s="1"/>
  <c r="AE67" i="19" s="1"/>
  <c r="AA265" i="19"/>
  <c r="AB265" i="19" s="1"/>
  <c r="AE265" i="19" s="1"/>
  <c r="AA71" i="19"/>
  <c r="AB71" i="19" s="1"/>
  <c r="AE71" i="19" s="1"/>
  <c r="AA86" i="19"/>
  <c r="AB86" i="19" s="1"/>
  <c r="AE86" i="19" s="1"/>
  <c r="AA60" i="19"/>
  <c r="AB60" i="19" s="1"/>
  <c r="AE60" i="19" s="1"/>
  <c r="AA218" i="19"/>
  <c r="AB218" i="19" s="1"/>
  <c r="AE218" i="19" s="1"/>
  <c r="AA252" i="19"/>
  <c r="AB252" i="19" s="1"/>
  <c r="AE252" i="19" s="1"/>
  <c r="AA69" i="19"/>
  <c r="AB69" i="19" s="1"/>
  <c r="AE69" i="19" s="1"/>
  <c r="AA105" i="19"/>
  <c r="AB105" i="19" s="1"/>
  <c r="AE105" i="19" s="1"/>
  <c r="AA143" i="19"/>
  <c r="AB143" i="19" s="1"/>
  <c r="AE143" i="19" s="1"/>
  <c r="AA258" i="19"/>
  <c r="AB258" i="19" s="1"/>
  <c r="AE258" i="19" s="1"/>
  <c r="AA95" i="19"/>
  <c r="AB95" i="19" s="1"/>
  <c r="AE95" i="19" s="1"/>
  <c r="AA200" i="19"/>
  <c r="AB200" i="19" s="1"/>
  <c r="AE200" i="19" s="1"/>
  <c r="AA27" i="19"/>
  <c r="AB27" i="19" s="1"/>
  <c r="AE27" i="19" s="1"/>
  <c r="AA31" i="19"/>
  <c r="AB31" i="19" s="1"/>
  <c r="AE31" i="19" s="1"/>
  <c r="AA201" i="19"/>
  <c r="AB201" i="19" s="1"/>
  <c r="AE201" i="19" s="1"/>
  <c r="AA92" i="19"/>
  <c r="AB92" i="19" s="1"/>
  <c r="AE92" i="19" s="1"/>
  <c r="AA286" i="19"/>
  <c r="AB286" i="19" s="1"/>
  <c r="AE286" i="19" s="1"/>
  <c r="AA194" i="19"/>
  <c r="AB194" i="19" s="1"/>
  <c r="AE194" i="19" s="1"/>
  <c r="AA275" i="19"/>
  <c r="AB275" i="19" s="1"/>
  <c r="AE275" i="19" s="1"/>
  <c r="AA59" i="19"/>
  <c r="AB59" i="19" s="1"/>
  <c r="AE59" i="19" s="1"/>
  <c r="AA112" i="19"/>
  <c r="AB112" i="19" s="1"/>
  <c r="AE112" i="19" s="1"/>
  <c r="AA51" i="19"/>
  <c r="AB51" i="19" s="1"/>
  <c r="AE51" i="19" s="1"/>
  <c r="AA176" i="19"/>
  <c r="AB176" i="19" s="1"/>
  <c r="AE176" i="19" s="1"/>
  <c r="AA225" i="19"/>
  <c r="AB225" i="19" s="1"/>
  <c r="AE225" i="19" s="1"/>
  <c r="AA82" i="19"/>
  <c r="AB82" i="19" s="1"/>
  <c r="AE82" i="19" s="1"/>
  <c r="AA109" i="19"/>
  <c r="AB109" i="19" s="1"/>
  <c r="AE109" i="19" s="1"/>
  <c r="AA37" i="19"/>
  <c r="AB37" i="19" s="1"/>
  <c r="AE37" i="19" s="1"/>
  <c r="AA108" i="19"/>
  <c r="AB108" i="19" s="1"/>
  <c r="AE108" i="19" s="1"/>
  <c r="AA170" i="19"/>
  <c r="AB170" i="19" s="1"/>
  <c r="AE170" i="19" s="1"/>
  <c r="AA230" i="19"/>
  <c r="AB230" i="19" s="1"/>
  <c r="AE230" i="19" s="1"/>
  <c r="AA149" i="19"/>
  <c r="AB149" i="19" s="1"/>
  <c r="AE149" i="19" s="1"/>
  <c r="AA156" i="19"/>
  <c r="AB156" i="19" s="1"/>
  <c r="AE156" i="19" s="1"/>
  <c r="AA262" i="19"/>
  <c r="AB262" i="19" s="1"/>
  <c r="AE262" i="19" s="1"/>
  <c r="AA83" i="19"/>
  <c r="AB83" i="19" s="1"/>
  <c r="AE83" i="19" s="1"/>
  <c r="AA77" i="19"/>
  <c r="AB77" i="19" s="1"/>
  <c r="AE77" i="19" s="1"/>
  <c r="AA271" i="19"/>
  <c r="AB271" i="19" s="1"/>
  <c r="AE271" i="19" s="1"/>
  <c r="AA15" i="19"/>
  <c r="AB15" i="19" s="1"/>
  <c r="AE15" i="19" s="1"/>
  <c r="AA260" i="19"/>
  <c r="AB260" i="19" s="1"/>
  <c r="AE260" i="19" s="1"/>
  <c r="AA40" i="19"/>
  <c r="AB40" i="19" s="1"/>
  <c r="AE40" i="19" s="1"/>
  <c r="AA184" i="19"/>
  <c r="AB184" i="19" s="1"/>
  <c r="AE184" i="19" s="1"/>
  <c r="AA62" i="19"/>
  <c r="AB62" i="19" s="1"/>
  <c r="AE62" i="19" s="1"/>
  <c r="AA199" i="19"/>
  <c r="AB199" i="19" s="1"/>
  <c r="AE199" i="19" s="1"/>
  <c r="AA232" i="19"/>
  <c r="AB232" i="19" s="1"/>
  <c r="AE232" i="19" s="1"/>
  <c r="AA251" i="19"/>
  <c r="AB251" i="19" s="1"/>
  <c r="AE251" i="19" s="1"/>
  <c r="AA11" i="19"/>
  <c r="AB11" i="19" s="1"/>
  <c r="AE11" i="19" s="1"/>
  <c r="AA33" i="19"/>
  <c r="AB33" i="19" s="1"/>
  <c r="AE33" i="19" s="1"/>
  <c r="AA138" i="19"/>
  <c r="AB138" i="19" s="1"/>
  <c r="AE138" i="19" s="1"/>
  <c r="AA268" i="19"/>
  <c r="AB268" i="19" s="1"/>
  <c r="AE268" i="19" s="1"/>
  <c r="AA61" i="19"/>
  <c r="AB61" i="19" s="1"/>
  <c r="AE61" i="19" s="1"/>
  <c r="AA121" i="19"/>
  <c r="AB121" i="19" s="1"/>
  <c r="AE121" i="19" s="1"/>
  <c r="AA87" i="19"/>
  <c r="AB87" i="19" s="1"/>
  <c r="AE87" i="19" s="1"/>
  <c r="AA130" i="19"/>
  <c r="AB130" i="19" s="1"/>
  <c r="AE130" i="19" s="1"/>
  <c r="AA103" i="19"/>
  <c r="AB103" i="19" s="1"/>
  <c r="AE103" i="19" s="1"/>
  <c r="AA186" i="19"/>
  <c r="AB186" i="19" s="1"/>
  <c r="AE186" i="19" s="1"/>
  <c r="AA6" i="19"/>
  <c r="AB6" i="19" s="1"/>
  <c r="AE6" i="19" s="1"/>
  <c r="AA219" i="19"/>
  <c r="AB219" i="19" s="1"/>
  <c r="AE219" i="19" s="1"/>
  <c r="AA13" i="19"/>
  <c r="AB13" i="19" s="1"/>
  <c r="AE13" i="19" s="1"/>
  <c r="AA155" i="19"/>
  <c r="AB155" i="19" s="1"/>
  <c r="AE155" i="19" s="1"/>
  <c r="AA276" i="19"/>
  <c r="AB276" i="19" s="1"/>
  <c r="AE276" i="19" s="1"/>
  <c r="AA22" i="19"/>
  <c r="AB22" i="19" s="1"/>
  <c r="AE22" i="19" s="1"/>
  <c r="AA234" i="19"/>
  <c r="AB234" i="19" s="1"/>
  <c r="AE234" i="19" s="1"/>
  <c r="AA180" i="19"/>
  <c r="AB180" i="19" s="1"/>
  <c r="AE180" i="19" s="1"/>
  <c r="AA16" i="19"/>
  <c r="AB16" i="19" s="1"/>
  <c r="AE16" i="19" s="1"/>
  <c r="AA107" i="19"/>
  <c r="AB107" i="19" s="1"/>
  <c r="AE107" i="19" s="1"/>
  <c r="AA284" i="19"/>
  <c r="AB284" i="19" s="1"/>
  <c r="AE284" i="19" s="1"/>
  <c r="AA4" i="19"/>
  <c r="AB4" i="19" s="1"/>
  <c r="AE4" i="19" s="1"/>
  <c r="AA287" i="19"/>
  <c r="AB287" i="19" s="1"/>
  <c r="AE287" i="19" s="1"/>
  <c r="AA191" i="19"/>
  <c r="AB191" i="19" s="1"/>
  <c r="AE191" i="19" s="1"/>
  <c r="AA240" i="19"/>
  <c r="AB240" i="19" s="1"/>
  <c r="AE240" i="19" s="1"/>
  <c r="AA162" i="19"/>
  <c r="AB162" i="19" s="1"/>
  <c r="AE162" i="19" s="1"/>
  <c r="AA79" i="19"/>
  <c r="AB79" i="19" s="1"/>
  <c r="AE79" i="19" s="1"/>
  <c r="AA66" i="19"/>
  <c r="AB66" i="19" s="1"/>
  <c r="AE66" i="19" s="1"/>
  <c r="AA114" i="19"/>
  <c r="AB114" i="19" s="1"/>
  <c r="AE114" i="19" s="1"/>
  <c r="AA315" i="19"/>
  <c r="AB315" i="19" s="1"/>
  <c r="AE315" i="19" s="1"/>
  <c r="AA126" i="19"/>
  <c r="AB126" i="19" s="1"/>
  <c r="AE126" i="19" s="1"/>
  <c r="AA254" i="19"/>
  <c r="AB254" i="19" s="1"/>
  <c r="AE254" i="19" s="1"/>
  <c r="AA283" i="19"/>
  <c r="AB283" i="19" s="1"/>
  <c r="AE283" i="19" s="1"/>
  <c r="AA125" i="19"/>
  <c r="AB125" i="19" s="1"/>
  <c r="AE125" i="19" s="1"/>
  <c r="AA99" i="19"/>
  <c r="AB99" i="19" s="1"/>
  <c r="AE99" i="19" s="1"/>
  <c r="AA152" i="19"/>
  <c r="AB152" i="19" s="1"/>
  <c r="AE152" i="19" s="1"/>
  <c r="AA45" i="19"/>
  <c r="AB45" i="19" s="1"/>
  <c r="AE45" i="19" s="1"/>
  <c r="AA159" i="19"/>
  <c r="AB159" i="19" s="1"/>
  <c r="AE159" i="19" s="1"/>
  <c r="AA84" i="19"/>
  <c r="AB84" i="19" s="1"/>
  <c r="AE84" i="19" s="1"/>
  <c r="AA217" i="19"/>
  <c r="AB217" i="19" s="1"/>
  <c r="AE217" i="19" s="1"/>
  <c r="AA182" i="19"/>
  <c r="AB182" i="19" s="1"/>
  <c r="AE182" i="19" s="1"/>
  <c r="AA211" i="19"/>
  <c r="AB211" i="19" s="1"/>
  <c r="AE211" i="19" s="1"/>
  <c r="AA197" i="19"/>
  <c r="AB197" i="19" s="1"/>
  <c r="AE197" i="19" s="1"/>
  <c r="AA17" i="19"/>
  <c r="AB17" i="19" s="1"/>
  <c r="AE17" i="19" s="1"/>
  <c r="AA57" i="19"/>
  <c r="AB57" i="19" s="1"/>
  <c r="AE57" i="19" s="1"/>
  <c r="AA154" i="19"/>
  <c r="AB154" i="19" s="1"/>
  <c r="AE154" i="19" s="1"/>
  <c r="AA178" i="19"/>
  <c r="AB178" i="19" s="1"/>
  <c r="AE178" i="19" s="1"/>
  <c r="AA303" i="19"/>
  <c r="AB303" i="19" s="1"/>
  <c r="AE303" i="19" s="1"/>
  <c r="AA241" i="19"/>
  <c r="AB241" i="19" s="1"/>
  <c r="AE241" i="19" s="1"/>
  <c r="AA168" i="19"/>
  <c r="AB168" i="19" s="1"/>
  <c r="AE168" i="19" s="1"/>
  <c r="AA314" i="19"/>
  <c r="AB314" i="19" s="1"/>
  <c r="AE314" i="19" s="1"/>
  <c r="AA296" i="19"/>
  <c r="AB296" i="19" s="1"/>
  <c r="AE296" i="19" s="1"/>
  <c r="AA210" i="19"/>
  <c r="AB210" i="19" s="1"/>
  <c r="AE210" i="19" s="1"/>
  <c r="AA119" i="19"/>
  <c r="AB119" i="19" s="1"/>
  <c r="AE119" i="19" s="1"/>
  <c r="AA249" i="19"/>
  <c r="AB249" i="19" s="1"/>
  <c r="AE249" i="19" s="1"/>
  <c r="AA204" i="19"/>
  <c r="AB204" i="19" s="1"/>
  <c r="AE204" i="19" s="1"/>
  <c r="AA132" i="19"/>
  <c r="AB132" i="19" s="1"/>
  <c r="AE132" i="19" s="1"/>
  <c r="AA142" i="19"/>
  <c r="AB142" i="19" s="1"/>
  <c r="AE142" i="19" s="1"/>
  <c r="AA93" i="19"/>
  <c r="AB93" i="19" s="1"/>
  <c r="AE93" i="19" s="1"/>
  <c r="AA14" i="19"/>
  <c r="AB14" i="19" s="1"/>
  <c r="AE14" i="19" s="1"/>
  <c r="AA30" i="19"/>
  <c r="AB30" i="19" s="1"/>
  <c r="AE30" i="19" s="1"/>
  <c r="AA264" i="19"/>
  <c r="AB264" i="19" s="1"/>
  <c r="AE264" i="19" s="1"/>
  <c r="AA302" i="19"/>
  <c r="AB302" i="19" s="1"/>
  <c r="AE302" i="19" s="1"/>
  <c r="AA294" i="19"/>
  <c r="AB294" i="19" s="1"/>
  <c r="AE294" i="19" s="1"/>
  <c r="AA250" i="19"/>
  <c r="AB250" i="19" s="1"/>
  <c r="AE250" i="19" s="1"/>
  <c r="AA188" i="19"/>
  <c r="AB188" i="19" s="1"/>
  <c r="AE188" i="19" s="1"/>
  <c r="AA158" i="19"/>
  <c r="AB158" i="19" s="1"/>
  <c r="AE158" i="19" s="1"/>
  <c r="AA285" i="19"/>
  <c r="AB285" i="19" s="1"/>
  <c r="AE285" i="19" s="1"/>
  <c r="AA151" i="19"/>
  <c r="AB151" i="19" s="1"/>
  <c r="AE151" i="19" s="1"/>
  <c r="AA247" i="19"/>
  <c r="AB247" i="19" s="1"/>
  <c r="AE247" i="19" s="1"/>
  <c r="AA110" i="19"/>
  <c r="AB110" i="19" s="1"/>
  <c r="AE110" i="19" s="1"/>
  <c r="AA297" i="19"/>
  <c r="AB297" i="19" s="1"/>
  <c r="AE297" i="19" s="1"/>
  <c r="AA48" i="19"/>
  <c r="AB48" i="19" s="1"/>
  <c r="AE48" i="19" s="1"/>
  <c r="AA306" i="19"/>
  <c r="AB306" i="19" s="1"/>
  <c r="AE306" i="19" s="1"/>
  <c r="AA134" i="19"/>
  <c r="AB134" i="19" s="1"/>
  <c r="AE134" i="19" s="1"/>
  <c r="AA94" i="19"/>
  <c r="AB94" i="19" s="1"/>
  <c r="AE94" i="19" s="1"/>
  <c r="AA88" i="19"/>
  <c r="AB88" i="19" s="1"/>
  <c r="AE88" i="19" s="1"/>
  <c r="AA127" i="19"/>
  <c r="AB127" i="19" s="1"/>
  <c r="AE127" i="19" s="1"/>
  <c r="AA216" i="19"/>
  <c r="AB216" i="19" s="1"/>
  <c r="AE216" i="19" s="1"/>
  <c r="AA301" i="19"/>
  <c r="AB301" i="19" s="1"/>
  <c r="AE301" i="19" s="1"/>
  <c r="AA169" i="19"/>
  <c r="AB169" i="19" s="1"/>
  <c r="AE169" i="19" s="1"/>
  <c r="AA122" i="19"/>
  <c r="AB122" i="19" s="1"/>
  <c r="AE122" i="19" s="1"/>
  <c r="AA65" i="19"/>
  <c r="AB65" i="19" s="1"/>
  <c r="AE65" i="19" s="1"/>
  <c r="AA257" i="19"/>
  <c r="AB257" i="19" s="1"/>
  <c r="AE257" i="19" s="1"/>
  <c r="AA36" i="19"/>
  <c r="AB36" i="19" s="1"/>
  <c r="AE36" i="19" s="1"/>
  <c r="AA231" i="19"/>
  <c r="AB231" i="19" s="1"/>
  <c r="AE231" i="19" s="1"/>
  <c r="AA39" i="19"/>
  <c r="AB39" i="19" s="1"/>
  <c r="AE39" i="19" s="1"/>
  <c r="AA288" i="19"/>
  <c r="AB288" i="19" s="1"/>
  <c r="AE288" i="19" s="1"/>
  <c r="AA117" i="19"/>
  <c r="AB117" i="19" s="1"/>
  <c r="AE117" i="19" s="1"/>
  <c r="AA139" i="19"/>
  <c r="AB139" i="19" s="1"/>
  <c r="AE139" i="19" s="1"/>
  <c r="AA80" i="19"/>
  <c r="AB80" i="19" s="1"/>
  <c r="AE80" i="19" s="1"/>
  <c r="AA104" i="19"/>
  <c r="AB104" i="19" s="1"/>
  <c r="AE104" i="19" s="1"/>
  <c r="AA280" i="19"/>
  <c r="AB280" i="19" s="1"/>
  <c r="AE280" i="19" s="1"/>
  <c r="AA291" i="19"/>
  <c r="AB291" i="19" s="1"/>
  <c r="AE291" i="19" s="1"/>
  <c r="AA63" i="19"/>
  <c r="AB63" i="19" s="1"/>
  <c r="AE63" i="19" s="1"/>
  <c r="AA44" i="19"/>
  <c r="AB44" i="19" s="1"/>
  <c r="AE44" i="19" s="1"/>
  <c r="AA174" i="19"/>
  <c r="AB174" i="19" s="1"/>
  <c r="AE174" i="19" s="1"/>
  <c r="AA34" i="19"/>
  <c r="AB34" i="19" s="1"/>
  <c r="AE34" i="19" s="1"/>
  <c r="AA56" i="19"/>
  <c r="AB56" i="19" s="1"/>
  <c r="AE56" i="19" s="1"/>
  <c r="AA157" i="19"/>
  <c r="AB157" i="19" s="1"/>
  <c r="AE157" i="19" s="1"/>
  <c r="AA172" i="19"/>
  <c r="AB172" i="19" s="1"/>
  <c r="AE172" i="19" s="1"/>
  <c r="AA319" i="19"/>
  <c r="AB319" i="19" s="1"/>
  <c r="AE319" i="19" s="1"/>
  <c r="AA85" i="19"/>
  <c r="AB85" i="19" s="1"/>
  <c r="AE85" i="19" s="1"/>
  <c r="AA78" i="19"/>
  <c r="AB78" i="19" s="1"/>
  <c r="AE78" i="19" s="1"/>
  <c r="AA20" i="19"/>
  <c r="AB20" i="19" s="1"/>
  <c r="AE20" i="19" s="1"/>
  <c r="AA175" i="19"/>
  <c r="AB175" i="19" s="1"/>
  <c r="AE175" i="19" s="1"/>
  <c r="AA305" i="19"/>
  <c r="AB305" i="19" s="1"/>
  <c r="AE305" i="19" s="1"/>
  <c r="AA140" i="19"/>
  <c r="AB140" i="19" s="1"/>
  <c r="AE140" i="19" s="1"/>
  <c r="AA290" i="19"/>
  <c r="AB290" i="19" s="1"/>
  <c r="AE290" i="19" s="1"/>
  <c r="AA19" i="19"/>
  <c r="AB19" i="19" s="1"/>
  <c r="AE19" i="19" s="1"/>
  <c r="AA73" i="19"/>
  <c r="AB73" i="19" s="1"/>
  <c r="AE73" i="19" s="1"/>
  <c r="AA181" i="19"/>
  <c r="AB181" i="19" s="1"/>
  <c r="AE181" i="19" s="1"/>
  <c r="AA129" i="19"/>
  <c r="AB129" i="19" s="1"/>
  <c r="AE129" i="19" s="1"/>
  <c r="AA115" i="19"/>
  <c r="AB115" i="19" s="1"/>
  <c r="AE115" i="19" s="1"/>
  <c r="AA101" i="19"/>
  <c r="AB101" i="19" s="1"/>
  <c r="AE101" i="19" s="1"/>
  <c r="AA12" i="19"/>
  <c r="AB12" i="19" s="1"/>
  <c r="AE12" i="19" s="1"/>
  <c r="AA106" i="19"/>
  <c r="AB106" i="19" s="1"/>
  <c r="AE106" i="19" s="1"/>
  <c r="AA173" i="19"/>
  <c r="AB173" i="19" s="1"/>
  <c r="AE173" i="19" s="1"/>
  <c r="AA146" i="19"/>
  <c r="AB146" i="19" s="1"/>
  <c r="AE146" i="19" s="1"/>
  <c r="AA171" i="19"/>
  <c r="AB171" i="19" s="1"/>
  <c r="AE171" i="19" s="1"/>
  <c r="AA97" i="19"/>
  <c r="AB97" i="19" s="1"/>
  <c r="AE97" i="19" s="1"/>
  <c r="AA227" i="19"/>
  <c r="AB227" i="19" s="1"/>
  <c r="AE227" i="19" s="1"/>
  <c r="AA192" i="19"/>
  <c r="AB192" i="19" s="1"/>
  <c r="AE192" i="19" s="1"/>
  <c r="AA75" i="19"/>
  <c r="AB75" i="19" s="1"/>
  <c r="AE75" i="19" s="1"/>
  <c r="AA312" i="19"/>
  <c r="AB312" i="19" s="1"/>
  <c r="AE312" i="19" s="1"/>
  <c r="AA118" i="19"/>
  <c r="AB118" i="19" s="1"/>
  <c r="AE118" i="19" s="1"/>
  <c r="AA164" i="19"/>
  <c r="AB164" i="19" s="1"/>
  <c r="AE164" i="19" s="1"/>
  <c r="AA5" i="19"/>
  <c r="AB5" i="19" s="1"/>
  <c r="AE5" i="19" s="1"/>
  <c r="AA49" i="19"/>
  <c r="AB49" i="19" s="1"/>
  <c r="AE49" i="19" s="1"/>
  <c r="AA135" i="19"/>
  <c r="AB135" i="19" s="1"/>
  <c r="AE135" i="19" s="1"/>
  <c r="AA90" i="19"/>
  <c r="AB90" i="19" s="1"/>
  <c r="AE90" i="19" s="1"/>
  <c r="AA293" i="19"/>
  <c r="AB293" i="19" s="1"/>
  <c r="AE293" i="19" s="1"/>
  <c r="AA70" i="19"/>
  <c r="AB70" i="19" s="1"/>
  <c r="AE70" i="19" s="1"/>
  <c r="AA29" i="19"/>
  <c r="AB29" i="19" s="1"/>
  <c r="AE29" i="19" s="1"/>
  <c r="AA141" i="19"/>
  <c r="AB141" i="19" s="1"/>
  <c r="AE141" i="19" s="1"/>
  <c r="AA202" i="19"/>
  <c r="AB202" i="19" s="1"/>
  <c r="AE202" i="19" s="1"/>
  <c r="AA208" i="19"/>
  <c r="AB208" i="19" s="1"/>
  <c r="AE208" i="19" s="1"/>
  <c r="AA18" i="19"/>
  <c r="AB18" i="19" s="1"/>
  <c r="AE18" i="19" s="1"/>
  <c r="AA228" i="19"/>
  <c r="AB228" i="19" s="1"/>
  <c r="AE228" i="19" s="1"/>
  <c r="AA46" i="19"/>
  <c r="AB46" i="19" s="1"/>
  <c r="AE46" i="19" s="1"/>
  <c r="AA220" i="19"/>
  <c r="AB220" i="19" s="1"/>
  <c r="AE220" i="19" s="1"/>
  <c r="AA213" i="19"/>
  <c r="AB213" i="19" s="1"/>
  <c r="AE213" i="19" s="1"/>
  <c r="AA223" i="19"/>
  <c r="AB223" i="19" s="1"/>
  <c r="AE223" i="19" s="1"/>
  <c r="AA222" i="19"/>
  <c r="AB222" i="19" s="1"/>
  <c r="AE222" i="19" s="1"/>
  <c r="AA299" i="19"/>
  <c r="AB299" i="19" s="1"/>
  <c r="AE299" i="19" s="1"/>
  <c r="AA55" i="19"/>
  <c r="AB55" i="19" s="1"/>
  <c r="AE55" i="19" s="1"/>
  <c r="AA183" i="19"/>
  <c r="AB183" i="19" s="1"/>
  <c r="AE183" i="19" s="1"/>
  <c r="AA150" i="19"/>
  <c r="AB150" i="19" s="1"/>
  <c r="AE150" i="19" s="1"/>
  <c r="AA161" i="19"/>
  <c r="AB161" i="19" s="1"/>
  <c r="AE161" i="19" s="1"/>
  <c r="AE212" i="19" l="1"/>
  <c r="AE3" i="19"/>
  <c r="AF1" i="19" s="1"/>
  <c r="AF2" i="19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3F7485F-1D5E-4C71-B11A-E207F782AA95}" keepAlive="1" name="ModelConnection_ExternalData_1" description="Data Model" type="5" refreshedVersion="8" minRefreshableVersion="5" saveData="1">
    <dbPr connection="Data Model Connection" command="Split Calc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3CECE2BF-A117-42CE-B7CE-319A63F56C12}" keepAlive="1" name="ModelConnection_ExternalData_11" description="Data Model" type="5" refreshedVersion="8" minRefreshableVersion="5" saveData="1">
    <dbPr connection="Data Model Connection" command="Prior Year Net to district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9BE3B5E0-A973-4D4E-9CB0-BDC6583C4F63}" keepAlive="1" name="ModelConnection_ExternalData_2" description="Data Model" type="5" refreshedVersion="8" minRefreshableVersion="5" saveData="1">
    <dbPr connection="Data Model Connection" command="Assumptions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1861A15E-6141-4478-8EE1-91914C07A7AB}" keepAlive="1" name="ModelConnection_ExternalData_21" description="Data Model" type="5" refreshedVersion="8" minRefreshableVersion="5" saveData="1">
    <dbPr connection="Data Model Connection" command="New or Expanded HH check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D4407729-C773-452B-977E-A53DF6C5AEAA}" keepAlive="1" name="ModelConnection_ExternalData_22" description="Data Model" type="5" refreshedVersion="8" minRefreshableVersion="5" saveData="1">
    <dbPr connection="Data Model Connection" command="Initial adjusted formula count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67F1F231-2DCD-42C8-9F82-D795617CC603}" keepAlive="1" name="ModelConnection_ExternalData_23" description="Data Model" type="5" refreshedVersion="8" minRefreshableVersion="5" saveData="1">
    <dbPr connection="Data Model Connection" command="Multipliers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ADB9CF41-9217-42BB-BF57-E82AA7AB5583}" keepAlive="1" name="ModelConnection_ExternalData_24" description="Data Model" type="5" refreshedVersion="8" minRefreshableVersion="5" saveData="1">
    <dbPr connection="Data Model Connection" command="Initial adjusted allocations" commandType="3"/>
    <extLst>
      <ext xmlns:x15="http://schemas.microsoft.com/office/spreadsheetml/2010/11/main" uri="{DE250136-89BD-433C-8126-D09CA5730AF9}">
        <x15:connection id="" model="1"/>
      </ext>
    </extLst>
  </connection>
  <connection id="8" xr16:uid="{B00384A5-D83B-467C-9A37-A711C53DCBD3}" keepAlive="1" name="ModelConnection_ExternalData_25" description="Data Model" type="5" refreshedVersion="8" minRefreshableVersion="5" saveData="1">
    <dbPr connection="Data Model Connection" command="Model allocations" commandType="3"/>
    <extLst>
      <ext xmlns:x15="http://schemas.microsoft.com/office/spreadsheetml/2010/11/main" uri="{DE250136-89BD-433C-8126-D09CA5730AF9}">
        <x15:connection id="" model="1"/>
      </ext>
    </extLst>
  </connection>
  <connection id="9" xr16:uid="{F273DE80-6043-4AF0-AC87-85F174A594A1}" keepAlive="1" name="ModelConnection_ExternalData_3" description="Data Model" type="5" refreshedVersion="8" minRefreshableVersion="5" saveData="1">
    <dbPr connection="Data Model Connection" command="Title" commandType="3"/>
    <extLst>
      <ext xmlns:x15="http://schemas.microsoft.com/office/spreadsheetml/2010/11/main" uri="{DE250136-89BD-433C-8126-D09CA5730AF9}">
        <x15:connection id="" model="1"/>
      </ext>
    </extLst>
  </connection>
  <connection id="10" xr16:uid="{03188AAA-0244-4024-AF0A-7651FF1DFD15}" keepAlive="1" name="ModelConnection_ExternalData_4" description="Data Model" type="5" refreshedVersion="8" minRefreshableVersion="5" saveData="1">
    <dbPr connection="Data Model Connection" command="Conc eligibility year" commandType="3"/>
    <extLst>
      <ext xmlns:x15="http://schemas.microsoft.com/office/spreadsheetml/2010/11/main" uri="{DE250136-89BD-433C-8126-D09CA5730AF9}">
        <x15:connection id="" model="1"/>
      </ext>
    </extLst>
  </connection>
  <connection id="11" xr16:uid="{C7DA9270-04F4-4551-BFC7-3A95A3078BD5}" name="Query - Amount per Formula student" description="Connection to the 'Amount per Formula student' query in the workbook." type="100" refreshedVersion="8" minRefreshableVersion="5">
    <extLst>
      <ext xmlns:x15="http://schemas.microsoft.com/office/spreadsheetml/2010/11/main" uri="{DE250136-89BD-433C-8126-D09CA5730AF9}">
        <x15:connection id="0f6d92b6-ae08-43b6-b24f-123a8aa3acc0"/>
      </ext>
    </extLst>
  </connection>
  <connection id="12" xr16:uid="{ADB4B373-64E4-4E27-BFC7-27D89581C21C}" name="Query - Assumptions" description="Connection to the 'Assumptions' query in the workbook." type="100" refreshedVersion="8" minRefreshableVersion="5">
    <extLst>
      <ext xmlns:x15="http://schemas.microsoft.com/office/spreadsheetml/2010/11/main" uri="{DE250136-89BD-433C-8126-D09CA5730AF9}">
        <x15:connection id="deeed0ce-f38c-4c9c-878b-7937c5753ccf"/>
      </ext>
    </extLst>
  </connection>
  <connection id="13" xr16:uid="{542C7F5E-F0FA-4914-873F-16CF0C115D4A}" name="Query - CCDDD/LEAid" description="Connection to the 'CCDDD/LEAid' query in the workbook." type="100" refreshedVersion="8" minRefreshableVersion="5">
    <extLst>
      <ext xmlns:x15="http://schemas.microsoft.com/office/spreadsheetml/2010/11/main" uri="{DE250136-89BD-433C-8126-D09CA5730AF9}">
        <x15:connection id="2eb2b953-f3aa-499e-9119-a03f9e484b10"/>
      </ext>
    </extLst>
  </connection>
  <connection id="14" xr16:uid="{91003EF9-DB25-4F66-9BE8-86959CA087C6}" name="Query - Charter_TribalSending Districts" description="Connection to the 'Charter_TribalSending Districts' query in the workbook." type="100" refreshedVersion="8" minRefreshableVersion="5">
    <extLst>
      <ext xmlns:x15="http://schemas.microsoft.com/office/spreadsheetml/2010/11/main" uri="{DE250136-89BD-433C-8126-D09CA5730AF9}">
        <x15:connection id="3d9b712e-3bb7-44f3-a2f9-034fa804b416"/>
      </ext>
    </extLst>
  </connection>
  <connection id="15" xr16:uid="{C30C47C6-1FF0-4AAB-9F94-783245BA71F7}" name="Query - CharterOnly" description="Connection to the 'CharterOnly' query in the workbook." type="100" refreshedVersion="8" minRefreshableVersion="5">
    <extLst>
      <ext xmlns:x15="http://schemas.microsoft.com/office/spreadsheetml/2010/11/main" uri="{DE250136-89BD-433C-8126-D09CA5730AF9}">
        <x15:connection id="b4c107b6-2731-48a1-9ac4-ee372753982e"/>
      </ext>
    </extLst>
  </connection>
  <connection id="16" xr16:uid="{C18B9915-2A79-42F4-A459-7392B3050B50}" name="Query - Conc eligibility year" description="Connection to the 'Conc eligibility year' query in the workbook." type="100" refreshedVersion="8" minRefreshableVersion="5">
    <extLst>
      <ext xmlns:x15="http://schemas.microsoft.com/office/spreadsheetml/2010/11/main" uri="{DE250136-89BD-433C-8126-D09CA5730AF9}">
        <x15:connection id="18206292-60b0-4569-bf14-38a21a0e8d3b"/>
      </ext>
    </extLst>
  </connection>
  <connection id="17" xr16:uid="{AE673D06-121F-4A24-B384-06F71F48A4B9}" name="Query - Conc lookback" description="Connection to the 'Conc lookback' query in the workbook." type="100" refreshedVersion="8" minRefreshableVersion="5">
    <extLst>
      <ext xmlns:x15="http://schemas.microsoft.com/office/spreadsheetml/2010/11/main" uri="{DE250136-89BD-433C-8126-D09CA5730AF9}">
        <x15:connection id="788a9908-e397-456f-8db4-a29f060b0218"/>
      </ext>
    </extLst>
  </connection>
  <connection id="18" xr16:uid="{B74FDC49-A795-43E6-AE8C-B29DEDEFA5AC}" name="Query - DOE Allocation" description="Connection to the 'DOE Allocation' query in the workbook." type="100" refreshedVersion="8" minRefreshableVersion="5">
    <extLst>
      <ext xmlns:x15="http://schemas.microsoft.com/office/spreadsheetml/2010/11/main" uri="{DE250136-89BD-433C-8126-D09CA5730AF9}">
        <x15:connection id="236a4e85-91bd-48a5-ac19-35d356dad1c0"/>
      </ext>
    </extLst>
  </connection>
  <connection id="19" xr16:uid="{8393CDFE-15D7-4924-8603-4C507CED6C4D}" name="Query - DOE Formula counts" description="Connection to the 'DOE Formula counts' query in the workbook." type="100" refreshedVersion="8" minRefreshableVersion="5">
    <extLst>
      <ext xmlns:x15="http://schemas.microsoft.com/office/spreadsheetml/2010/11/main" uri="{DE250136-89BD-433C-8126-D09CA5730AF9}">
        <x15:connection id="d206154a-6a1b-4aef-b7f3-5bdacbc7986d"/>
      </ext>
    </extLst>
  </connection>
  <connection id="20" xr16:uid="{2283D947-F146-4FB0-A99E-5986F658F172}" name="Query - FRPL" description="Connection to the 'FRPL' query in the workbook." type="100" refreshedVersion="8" minRefreshableVersion="5">
    <extLst>
      <ext xmlns:x15="http://schemas.microsoft.com/office/spreadsheetml/2010/11/main" uri="{DE250136-89BD-433C-8126-D09CA5730AF9}">
        <x15:connection id="df05508d-0e48-4b6c-bf6c-75ac86932e06"/>
      </ext>
    </extLst>
  </connection>
  <connection id="21" xr16:uid="{C99D747A-E316-4BD3-8238-016803D54F8C}" name="Query - Initial adjusted allocations" description="Connection to the 'Initial adjusted allocations' query in the workbook." type="100" refreshedVersion="8" minRefreshableVersion="5">
    <extLst>
      <ext xmlns:x15="http://schemas.microsoft.com/office/spreadsheetml/2010/11/main" uri="{DE250136-89BD-433C-8126-D09CA5730AF9}">
        <x15:connection id="95f86261-1450-4cf6-9d4a-ab2533882a91"/>
      </ext>
    </extLst>
  </connection>
  <connection id="22" xr16:uid="{29222693-C453-45BC-8CFC-0FB4D2158224}" name="Query - Initial adjusted formula count" description="Connection to the 'Initial adjusted formula count' query in the workbook." type="100" refreshedVersion="8" minRefreshableVersion="5">
    <extLst>
      <ext xmlns:x15="http://schemas.microsoft.com/office/spreadsheetml/2010/11/main" uri="{DE250136-89BD-433C-8126-D09CA5730AF9}">
        <x15:connection id="77a603a2-f32e-4b83-892d-d8f059193c75"/>
      </ext>
    </extLst>
  </connection>
  <connection id="23" xr16:uid="{82F9FC6A-7E33-4B4B-81E0-77472283AB26}" name="Query - Model allocations" description="Connection to the 'Model allocations' query in the workbook." type="100" refreshedVersion="8" minRefreshableVersion="5" saveData="1">
    <extLst>
      <ext xmlns:x15="http://schemas.microsoft.com/office/spreadsheetml/2010/11/main" uri="{DE250136-89BD-433C-8126-D09CA5730AF9}">
        <x15:connection id="f4defdaa-6d16-4575-898b-1dd3673ecde0"/>
      </ext>
    </extLst>
  </connection>
  <connection id="24" xr16:uid="{95C362BF-8426-4AED-BE75-E588067137A1}" name="Query - Multipliers" description="Connection to the 'Multipliers' query in the workbook." type="100" refreshedVersion="8" minRefreshableVersion="5">
    <extLst>
      <ext xmlns:x15="http://schemas.microsoft.com/office/spreadsheetml/2010/11/main" uri="{DE250136-89BD-433C-8126-D09CA5730AF9}">
        <x15:connection id="d25ca89b-f3e1-4283-8441-cde0a03e1316"/>
      </ext>
    </extLst>
  </connection>
  <connection id="25" xr16:uid="{5FF6C8B8-9968-45AC-BDF5-86754C37C5AA}" name="Query - New or Expanded HH check" description="Connection to the 'New or Expanded HH check' query in the workbook." type="100" refreshedVersion="8" minRefreshableVersion="5">
    <extLst>
      <ext xmlns:x15="http://schemas.microsoft.com/office/spreadsheetml/2010/11/main" uri="{DE250136-89BD-433C-8126-D09CA5730AF9}">
        <x15:connection id="624d2c4f-a746-4243-8281-819522275ae2"/>
      </ext>
    </extLst>
  </connection>
  <connection id="26" xr16:uid="{7A3923D5-9766-4821-A861-9BABEF56F40C}" name="Query - Prior Year adjusted allocations" description="Connection to the 'Prior Year adjusted allocations' query in the workbook." type="100" refreshedVersion="8" minRefreshableVersion="5">
    <extLst>
      <ext xmlns:x15="http://schemas.microsoft.com/office/spreadsheetml/2010/11/main" uri="{DE250136-89BD-433C-8126-D09CA5730AF9}">
        <x15:connection id="eaa69682-c759-4eb0-953a-7b14d50b1436"/>
      </ext>
    </extLst>
  </connection>
  <connection id="27" xr16:uid="{0C8F228B-8F2E-4096-9170-BFDADD8F9733}" name="Query - Prior Year Adjusted Formula counts" description="Connection to the 'Prior Year Adjusted Formula counts' query in the workbook." type="100" refreshedVersion="8" minRefreshableVersion="5">
    <extLst>
      <ext xmlns:x15="http://schemas.microsoft.com/office/spreadsheetml/2010/11/main" uri="{DE250136-89BD-433C-8126-D09CA5730AF9}">
        <x15:connection id="bf949c98-9037-4684-a641-fc0259e93455"/>
      </ext>
    </extLst>
  </connection>
  <connection id="28" xr16:uid="{D489CBD3-2985-4DC3-B4D5-D972C7EB9ED0}" name="Query - Prior Year Net to district" description="Connection to the 'Prior Year Net to district' query in the workbook." type="100" refreshedVersion="8" minRefreshableVersion="5">
    <extLst>
      <ext xmlns:x15="http://schemas.microsoft.com/office/spreadsheetml/2010/11/main" uri="{DE250136-89BD-433C-8126-D09CA5730AF9}">
        <x15:connection id="0ba627ec-6a44-4681-929f-ecb631fc5b57"/>
      </ext>
    </extLst>
  </connection>
  <connection id="29" xr16:uid="{FCBA417F-ED2D-4CC2-A4DF-0CC621B5F90A}" name="Query - SendingOnly" description="Connection to the 'SendingOnly' query in the workbook." type="100" refreshedVersion="8" minRefreshableVersion="5">
    <extLst>
      <ext xmlns:x15="http://schemas.microsoft.com/office/spreadsheetml/2010/11/main" uri="{DE250136-89BD-433C-8126-D09CA5730AF9}">
        <x15:connection id="b0fac3f6-5fee-4a75-9f21-56c4695f9f25"/>
      </ext>
    </extLst>
  </connection>
  <connection id="30" xr16:uid="{0C232062-8315-446C-AAC7-B774362CF6BA}" name="Query - Split Calc" description="Connection to the 'Split Calc' query in the workbook." type="100" refreshedVersion="8" minRefreshableVersion="5">
    <extLst>
      <ext xmlns:x15="http://schemas.microsoft.com/office/spreadsheetml/2010/11/main" uri="{DE250136-89BD-433C-8126-D09CA5730AF9}">
        <x15:connection id="f2cdf21a-84f4-4ea1-ac95-0b95f9ff2d75"/>
      </ext>
    </extLst>
  </connection>
  <connection id="31" xr16:uid="{3A3600AE-870E-4797-B223-3D24F0C349E9}" name="Query - sumif" description="Connection to the 'sumif' query in the workbook." type="100" refreshedVersion="8" minRefreshableVersion="5">
    <extLst>
      <ext xmlns:x15="http://schemas.microsoft.com/office/spreadsheetml/2010/11/main" uri="{DE250136-89BD-433C-8126-D09CA5730AF9}">
        <x15:connection id="ba52d27a-0e52-42ef-92db-5acd650209ae"/>
      </ext>
    </extLst>
  </connection>
  <connection id="32" xr16:uid="{FF69749E-6A53-4EB1-B5D3-BCEE57FD418F}" keepAlive="1" name="Query - T-I State Adm  1004(b)" description="Connection to the 'T-I State Adm  1004(b)' query in the workbook." type="5" refreshedVersion="0" background="1">
    <dbPr connection="Provider=Microsoft.Mashup.OleDb.1;Data Source=$Workbook$;Location=&quot;T-I State Adm  1004(b)&quot;;Extended Properties=&quot;&quot;" command="SELECT * FROM [T-I State Adm  1004(b)]"/>
  </connection>
  <connection id="33" xr16:uid="{0A23DA92-1FF9-4F8B-B28D-475595437A06}" name="Query - Title" description="Connection to the 'Title' query in the workbook." type="100" refreshedVersion="8" minRefreshableVersion="5">
    <extLst>
      <ext xmlns:x15="http://schemas.microsoft.com/office/spreadsheetml/2010/11/main" uri="{DE250136-89BD-433C-8126-D09CA5730AF9}">
        <x15:connection id="f06724d4-6dad-4bd0-89d6-325c5308eeb5"/>
      </ext>
    </extLst>
  </connection>
  <connection id="34" xr16:uid="{FBA49C60-73C5-4286-BBF3-D6356835BE3D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<sst xmlns="http://schemas.openxmlformats.org/spreadsheetml/2006/main" count="11022" uniqueCount="1602">
  <si>
    <t>CCDDD</t>
  </si>
  <si>
    <t>Charter/Tribal</t>
  </si>
  <si>
    <t>Sending District</t>
  </si>
  <si>
    <t>Sending District CCDDD</t>
  </si>
  <si>
    <t>LEAID</t>
  </si>
  <si>
    <t>IsNew</t>
  </si>
  <si>
    <t>TotalStudentsInPoverty</t>
  </si>
  <si>
    <t>SendingTotalStudentsInPoverty</t>
  </si>
  <si>
    <t>18901</t>
  </si>
  <si>
    <t>Bremerton</t>
  </si>
  <si>
    <t>18100</t>
  </si>
  <si>
    <t>18902</t>
  </si>
  <si>
    <t>Suquamish</t>
  </si>
  <si>
    <t>37902</t>
  </si>
  <si>
    <t>37501</t>
  </si>
  <si>
    <t>17908</t>
  </si>
  <si>
    <t>Rainier Prep</t>
  </si>
  <si>
    <t>Highline</t>
  </si>
  <si>
    <t>17401</t>
  </si>
  <si>
    <t>17917</t>
  </si>
  <si>
    <t>38901</t>
  </si>
  <si>
    <t>38267</t>
  </si>
  <si>
    <t>17910</t>
  </si>
  <si>
    <t>Rainier Valley Leadership Academy (Green Dot: RV)</t>
  </si>
  <si>
    <t>Seattle</t>
  </si>
  <si>
    <t>17001</t>
  </si>
  <si>
    <t>17905</t>
  </si>
  <si>
    <t>Summit: Atlas</t>
  </si>
  <si>
    <t>17902</t>
  </si>
  <si>
    <t>Summit: Sierra</t>
  </si>
  <si>
    <t>32903</t>
  </si>
  <si>
    <t>Lumen High School</t>
  </si>
  <si>
    <t>Spokane</t>
  </si>
  <si>
    <t>32081</t>
  </si>
  <si>
    <t>32907</t>
  </si>
  <si>
    <t>PRIDE Prep</t>
  </si>
  <si>
    <t>32901</t>
  </si>
  <si>
    <t>Spokane International</t>
  </si>
  <si>
    <t>27902</t>
  </si>
  <si>
    <t>Tacoma</t>
  </si>
  <si>
    <t>27010</t>
  </si>
  <si>
    <t>27905</t>
  </si>
  <si>
    <t>Summit: Olympus</t>
  </si>
  <si>
    <t>17911</t>
  </si>
  <si>
    <t>Impact Puget Sound (Public Schools)</t>
  </si>
  <si>
    <t>Tukwila</t>
  </si>
  <si>
    <t>17406</t>
  </si>
  <si>
    <t>17916</t>
  </si>
  <si>
    <t>Impact Salish Sea</t>
  </si>
  <si>
    <t>34974</t>
  </si>
  <si>
    <t>School of the Blind</t>
  </si>
  <si>
    <t>Vancouver</t>
  </si>
  <si>
    <t>06037</t>
  </si>
  <si>
    <t>34975</t>
  </si>
  <si>
    <t>School for the Deaf</t>
  </si>
  <si>
    <t>04901</t>
  </si>
  <si>
    <t>04246</t>
  </si>
  <si>
    <t>SendingLEAId</t>
  </si>
  <si>
    <t>5300660</t>
  </si>
  <si>
    <t>5300420</t>
  </si>
  <si>
    <t>5303540</t>
  </si>
  <si>
    <t>5306930</t>
  </si>
  <si>
    <t>5307710</t>
  </si>
  <si>
    <t>5308130</t>
  </si>
  <si>
    <t>5308250</t>
  </si>
  <si>
    <t>5308700</t>
  </si>
  <si>
    <t>5309270</t>
  </si>
  <si>
    <t>5309660</t>
  </si>
  <si>
    <t>LEAid</t>
  </si>
  <si>
    <t>5301000</t>
  </si>
  <si>
    <t>5308690</t>
  </si>
  <si>
    <t>5309740</t>
  </si>
  <si>
    <t>5307120</t>
  </si>
  <si>
    <t>5300955</t>
  </si>
  <si>
    <t>5306940</t>
  </si>
  <si>
    <t>5303280</t>
  </si>
  <si>
    <t>5308290</t>
  </si>
  <si>
    <t>5308240</t>
  </si>
  <si>
    <t>5303700</t>
  </si>
  <si>
    <t>5303710</t>
  </si>
  <si>
    <t>5304550</t>
  </si>
  <si>
    <t>5306890</t>
  </si>
  <si>
    <t>5308260</t>
  </si>
  <si>
    <t>5303705</t>
  </si>
  <si>
    <t>5308230</t>
  </si>
  <si>
    <t>5307690</t>
  </si>
  <si>
    <t>5307700</t>
  </si>
  <si>
    <t>5306770</t>
  </si>
  <si>
    <t>Basic Allocation</t>
  </si>
  <si>
    <t>Conc. Allocation</t>
  </si>
  <si>
    <t>Targeted Allocation</t>
  </si>
  <si>
    <t>EFIG Allocation</t>
  </si>
  <si>
    <t>0</t>
  </si>
  <si>
    <t>5300150</t>
  </si>
  <si>
    <t>Anacortes School District</t>
  </si>
  <si>
    <t>5300240</t>
  </si>
  <si>
    <t>Arlington School District</t>
  </si>
  <si>
    <t>5300330</t>
  </si>
  <si>
    <t>Bainbridge Island School District</t>
  </si>
  <si>
    <t>5300380</t>
  </si>
  <si>
    <t>Battle Ground School District</t>
  </si>
  <si>
    <t>5300390</t>
  </si>
  <si>
    <t>Bellevue School District</t>
  </si>
  <si>
    <t>5300450</t>
  </si>
  <si>
    <t>Benge School District</t>
  </si>
  <si>
    <t>5300810</t>
  </si>
  <si>
    <t>Camas School District</t>
  </si>
  <si>
    <t>5300870</t>
  </si>
  <si>
    <t>Carbonado School District</t>
  </si>
  <si>
    <t>5300990</t>
  </si>
  <si>
    <t>Castle Rock School District</t>
  </si>
  <si>
    <t>5301080</t>
  </si>
  <si>
    <t>Central Kitsap School District</t>
  </si>
  <si>
    <t>5301290</t>
  </si>
  <si>
    <t>Chimacum School District</t>
  </si>
  <si>
    <t>5301680</t>
  </si>
  <si>
    <t>Conway School District</t>
  </si>
  <si>
    <t>5301710</t>
  </si>
  <si>
    <t>Cosmopolis School District</t>
  </si>
  <si>
    <t>5301950</t>
  </si>
  <si>
    <t>Damman School District</t>
  </si>
  <si>
    <t>5302340</t>
  </si>
  <si>
    <t>Easton School District</t>
  </si>
  <si>
    <t>5302370</t>
  </si>
  <si>
    <t>Eatonville School District</t>
  </si>
  <si>
    <t>5302400</t>
  </si>
  <si>
    <t>Edmonds School District</t>
  </si>
  <si>
    <t>5300001</t>
  </si>
  <si>
    <t>Enumclaw School District</t>
  </si>
  <si>
    <t>5302670</t>
  </si>
  <si>
    <t>Everett School District</t>
  </si>
  <si>
    <t>5302850</t>
  </si>
  <si>
    <t>Ferndale School District</t>
  </si>
  <si>
    <t>5302880</t>
  </si>
  <si>
    <t>Fife Public Schools</t>
  </si>
  <si>
    <t>5302970</t>
  </si>
  <si>
    <t>Freeman School District</t>
  </si>
  <si>
    <t>5303030</t>
  </si>
  <si>
    <t>Glenwood School District</t>
  </si>
  <si>
    <t>5303210</t>
  </si>
  <si>
    <t>Granite Falls School District</t>
  </si>
  <si>
    <t>5303300</t>
  </si>
  <si>
    <t>Green Mountain School District</t>
  </si>
  <si>
    <t>5303330</t>
  </si>
  <si>
    <t>Griffin School District</t>
  </si>
  <si>
    <t>5303570</t>
  </si>
  <si>
    <t>Hockinson School District</t>
  </si>
  <si>
    <t>5303750</t>
  </si>
  <si>
    <t>Issaquah School District</t>
  </si>
  <si>
    <t>5303780</t>
  </si>
  <si>
    <t>Kahlotus School District</t>
  </si>
  <si>
    <t>5303810</t>
  </si>
  <si>
    <t>Kalama School District</t>
  </si>
  <si>
    <t>5304170</t>
  </si>
  <si>
    <t>La Center School District</t>
  </si>
  <si>
    <t>5304200</t>
  </si>
  <si>
    <t>Lake Stevens School District</t>
  </si>
  <si>
    <t>5304230</t>
  </si>
  <si>
    <t>Lake Washington School District</t>
  </si>
  <si>
    <t>5304260</t>
  </si>
  <si>
    <t>Lakewood School District</t>
  </si>
  <si>
    <t>5304290</t>
  </si>
  <si>
    <t>Lamont School District</t>
  </si>
  <si>
    <t>5304380</t>
  </si>
  <si>
    <t>Liberty School District</t>
  </si>
  <si>
    <t>5304620</t>
  </si>
  <si>
    <t>Lynden School District</t>
  </si>
  <si>
    <t>5304860</t>
  </si>
  <si>
    <t>Marysville School District</t>
  </si>
  <si>
    <t>5304920</t>
  </si>
  <si>
    <t>Mead School District</t>
  </si>
  <si>
    <t>5304950</t>
  </si>
  <si>
    <t>Medical Lake School District</t>
  </si>
  <si>
    <t>5304980</t>
  </si>
  <si>
    <t>Mercer Island School District</t>
  </si>
  <si>
    <t>5305010</t>
  </si>
  <si>
    <t>Meridian School District</t>
  </si>
  <si>
    <t>5305130</t>
  </si>
  <si>
    <t>Monroe School District</t>
  </si>
  <si>
    <t>5305340</t>
  </si>
  <si>
    <t>Mount Pleasant School District</t>
  </si>
  <si>
    <t>5305670</t>
  </si>
  <si>
    <t>Nooksack Valley School District</t>
  </si>
  <si>
    <t>5305760</t>
  </si>
  <si>
    <t>North Kitsap School District</t>
  </si>
  <si>
    <t>5305850</t>
  </si>
  <si>
    <t>North Thurston Public Schools</t>
  </si>
  <si>
    <t>5305910</t>
  </si>
  <si>
    <t>Northshore School District</t>
  </si>
  <si>
    <t>5305940</t>
  </si>
  <si>
    <t>Oak Harbor School District</t>
  </si>
  <si>
    <t>5305970</t>
  </si>
  <si>
    <t>Oakesdale School District</t>
  </si>
  <si>
    <t>5306180</t>
  </si>
  <si>
    <t>Olympia School District</t>
  </si>
  <si>
    <t>5306630</t>
  </si>
  <si>
    <t>Paterson School District</t>
  </si>
  <si>
    <t>5306690</t>
  </si>
  <si>
    <t>Peninsula School District</t>
  </si>
  <si>
    <t>5306960</t>
  </si>
  <si>
    <t>Puyallup School District</t>
  </si>
  <si>
    <t>5307110</t>
  </si>
  <si>
    <t>Rainier School District</t>
  </si>
  <si>
    <t>5307320</t>
  </si>
  <si>
    <t>Richland School District</t>
  </si>
  <si>
    <t>5307350</t>
  </si>
  <si>
    <t>Ridgefield School District</t>
  </si>
  <si>
    <t>5307380</t>
  </si>
  <si>
    <t>Ritzville School District</t>
  </si>
  <si>
    <t>5304560</t>
  </si>
  <si>
    <t>Riverview School District</t>
  </si>
  <si>
    <t>5307650</t>
  </si>
  <si>
    <t>San Juan Island School District</t>
  </si>
  <si>
    <t>5307860</t>
  </si>
  <si>
    <t>Shaw Island School District</t>
  </si>
  <si>
    <t>5307920</t>
  </si>
  <si>
    <t>Shoreline School District</t>
  </si>
  <si>
    <t>5307980</t>
  </si>
  <si>
    <t>Skykomish School District</t>
  </si>
  <si>
    <t>5308020</t>
  </si>
  <si>
    <t>Snohomish School District</t>
  </si>
  <si>
    <t>5308040</t>
  </si>
  <si>
    <t>Snoqualmie Valley School District</t>
  </si>
  <si>
    <t>5308160</t>
  </si>
  <si>
    <t>South Kitsap School District</t>
  </si>
  <si>
    <t>5308190</t>
  </si>
  <si>
    <t>South Whidbey School District</t>
  </si>
  <si>
    <t>5308340</t>
  </si>
  <si>
    <t>Stanwood-Camano School District</t>
  </si>
  <si>
    <t>5308370</t>
  </si>
  <si>
    <t>Star School District</t>
  </si>
  <si>
    <t>5308430</t>
  </si>
  <si>
    <t>Stehekin School District</t>
  </si>
  <si>
    <t>5308460</t>
  </si>
  <si>
    <t>Steilacoom Historical School District</t>
  </si>
  <si>
    <t>5308550</t>
  </si>
  <si>
    <t>Sultan School District</t>
  </si>
  <si>
    <t>5308610</t>
  </si>
  <si>
    <t>Sumner School District</t>
  </si>
  <si>
    <t>5308760</t>
  </si>
  <si>
    <t>Tahoma School District</t>
  </si>
  <si>
    <t>5308790</t>
  </si>
  <si>
    <t>Tekoa School District</t>
  </si>
  <si>
    <t>5308850</t>
  </si>
  <si>
    <t>Thorp School District</t>
  </si>
  <si>
    <t>5308910</t>
  </si>
  <si>
    <t>Toledo School District</t>
  </si>
  <si>
    <t>5309000</t>
  </si>
  <si>
    <t>Touchet School District</t>
  </si>
  <si>
    <t>5309030</t>
  </si>
  <si>
    <t>Toutle Lake School District</t>
  </si>
  <si>
    <t>5309100</t>
  </si>
  <si>
    <t>Tumwater School District</t>
  </si>
  <si>
    <t>5309180</t>
  </si>
  <si>
    <t>University Place School District</t>
  </si>
  <si>
    <t>5309300</t>
  </si>
  <si>
    <t>Vashon Island School District</t>
  </si>
  <si>
    <t>5309540</t>
  </si>
  <si>
    <t>Washougal School District</t>
  </si>
  <si>
    <t>5309720</t>
  </si>
  <si>
    <t>5309780</t>
  </si>
  <si>
    <t>White River School District</t>
  </si>
  <si>
    <t>5309840</t>
  </si>
  <si>
    <t>Wilbur School District</t>
  </si>
  <si>
    <t>5300060</t>
  </si>
  <si>
    <t>Adna School District</t>
  </si>
  <si>
    <t>5300090</t>
  </si>
  <si>
    <t>Almira School District</t>
  </si>
  <si>
    <t>5300480</t>
  </si>
  <si>
    <t>Bethel School District</t>
  </si>
  <si>
    <t>5301110</t>
  </si>
  <si>
    <t>Central Valley School District</t>
  </si>
  <si>
    <t>5301230</t>
  </si>
  <si>
    <t>Cheney School District</t>
  </si>
  <si>
    <t>5301440</t>
  </si>
  <si>
    <t>Colfax School District</t>
  </si>
  <si>
    <t>5301980</t>
  </si>
  <si>
    <t>Darrington School District</t>
  </si>
  <si>
    <t>5302130</t>
  </si>
  <si>
    <t>Dieringer School District</t>
  </si>
  <si>
    <t>5302700</t>
  </si>
  <si>
    <t>Evergreen School District (Clark)</t>
  </si>
  <si>
    <t>5304050</t>
  </si>
  <si>
    <t>Kittitas School District</t>
  </si>
  <si>
    <t>5304110</t>
  </si>
  <si>
    <t>La Conner School District</t>
  </si>
  <si>
    <t>5301200</t>
  </si>
  <si>
    <t>Lake Chelan School District</t>
  </si>
  <si>
    <t>5304740</t>
  </si>
  <si>
    <t>Manson School District</t>
  </si>
  <si>
    <t>5305430</t>
  </si>
  <si>
    <t>Mukilteo School District</t>
  </si>
  <si>
    <t>5306120</t>
  </si>
  <si>
    <t>Odessa School District</t>
  </si>
  <si>
    <t>5306330</t>
  </si>
  <si>
    <t>Orchard Prairie School District</t>
  </si>
  <si>
    <t>5306450</t>
  </si>
  <si>
    <t>Orting School District</t>
  </si>
  <si>
    <t>5306660</t>
  </si>
  <si>
    <t>Pe Ell School District</t>
  </si>
  <si>
    <t>5307440</t>
  </si>
  <si>
    <t>Riverside School District</t>
  </si>
  <si>
    <t>5307530</t>
  </si>
  <si>
    <t>Roosevelt School District</t>
  </si>
  <si>
    <t>5307740</t>
  </si>
  <si>
    <t>Sedro-Woolley School District</t>
  </si>
  <si>
    <t>5307950</t>
  </si>
  <si>
    <t>Skamania School District</t>
  </si>
  <si>
    <t>5308820</t>
  </si>
  <si>
    <t>Tenino School District</t>
  </si>
  <si>
    <t>5309690</t>
  </si>
  <si>
    <t>5309810</t>
  </si>
  <si>
    <t>White Salmon Valley School District</t>
  </si>
  <si>
    <t>5300030</t>
  </si>
  <si>
    <t>5300280</t>
  </si>
  <si>
    <t>Asotin-Anatone School District</t>
  </si>
  <si>
    <t>5300300</t>
  </si>
  <si>
    <t>Auburn School District</t>
  </si>
  <si>
    <t>5300510</t>
  </si>
  <si>
    <t>Bickleton School District</t>
  </si>
  <si>
    <t>5300570</t>
  </si>
  <si>
    <t>Blaine School District</t>
  </si>
  <si>
    <t>5300630</t>
  </si>
  <si>
    <t>Boistfort School District</t>
  </si>
  <si>
    <t>5300690</t>
  </si>
  <si>
    <t>Brewster School District</t>
  </si>
  <si>
    <t>5300720</t>
  </si>
  <si>
    <t>Bridgeport School District</t>
  </si>
  <si>
    <t>5300750</t>
  </si>
  <si>
    <t>Brinnon School District</t>
  </si>
  <si>
    <t>5300780</t>
  </si>
  <si>
    <t>Burlington-Edison School District</t>
  </si>
  <si>
    <t>5300840</t>
  </si>
  <si>
    <t>Cape Flattery School District</t>
  </si>
  <si>
    <t>5300950</t>
  </si>
  <si>
    <t>Cascade School District</t>
  </si>
  <si>
    <t>5300960</t>
  </si>
  <si>
    <t>Cashmere School District</t>
  </si>
  <si>
    <t>5301050</t>
  </si>
  <si>
    <t>Centerville School District</t>
  </si>
  <si>
    <t>5301140</t>
  </si>
  <si>
    <t>Centralia School District</t>
  </si>
  <si>
    <t>5301170</t>
  </si>
  <si>
    <t>Chehalis School District</t>
  </si>
  <si>
    <t>5301260</t>
  </si>
  <si>
    <t>Chewelah School District</t>
  </si>
  <si>
    <t>5301320</t>
  </si>
  <si>
    <t>Clarkston School District</t>
  </si>
  <si>
    <t>5301350</t>
  </si>
  <si>
    <t>Cle Elum-Roslyn School District</t>
  </si>
  <si>
    <t>5301410</t>
  </si>
  <si>
    <t>Clover Park School District</t>
  </si>
  <si>
    <t>5301470</t>
  </si>
  <si>
    <t>College Place School District</t>
  </si>
  <si>
    <t>5301500</t>
  </si>
  <si>
    <t>Colton School District</t>
  </si>
  <si>
    <t>5301560</t>
  </si>
  <si>
    <t>5301590</t>
  </si>
  <si>
    <t>5301630</t>
  </si>
  <si>
    <t>Colville School District</t>
  </si>
  <si>
    <t>5301660</t>
  </si>
  <si>
    <t>Concrete School District</t>
  </si>
  <si>
    <t>5303440</t>
  </si>
  <si>
    <t>Coulee-Hartline School District</t>
  </si>
  <si>
    <t>5301800</t>
  </si>
  <si>
    <t>Coupeville School District</t>
  </si>
  <si>
    <t>5301830</t>
  </si>
  <si>
    <t>Crescent School District</t>
  </si>
  <si>
    <t>5301860</t>
  </si>
  <si>
    <t>Creston School District</t>
  </si>
  <si>
    <t>5301890</t>
  </si>
  <si>
    <t>Curlew School District</t>
  </si>
  <si>
    <t>5301920</t>
  </si>
  <si>
    <t>Cusick School District</t>
  </si>
  <si>
    <t>5302010</t>
  </si>
  <si>
    <t>Davenport School District</t>
  </si>
  <si>
    <t>5302040</t>
  </si>
  <si>
    <t>Dayton School District</t>
  </si>
  <si>
    <t>5302070</t>
  </si>
  <si>
    <t>Deer Park School District</t>
  </si>
  <si>
    <t>5302160</t>
  </si>
  <si>
    <t>Dixie School District</t>
  </si>
  <si>
    <t>5302280</t>
  </si>
  <si>
    <t>East Valley School District (Spokane)</t>
  </si>
  <si>
    <t>5305370</t>
  </si>
  <si>
    <t>East Valley School District (Yakima)</t>
  </si>
  <si>
    <t>5302310</t>
  </si>
  <si>
    <t>Eastmont School District</t>
  </si>
  <si>
    <t>5302460</t>
  </si>
  <si>
    <t>Ellensburg School District</t>
  </si>
  <si>
    <t>5302490</t>
  </si>
  <si>
    <t>Elma School District</t>
  </si>
  <si>
    <t>5302520</t>
  </si>
  <si>
    <t>Endicott School District</t>
  </si>
  <si>
    <t>5302550</t>
  </si>
  <si>
    <t>Entiat School District</t>
  </si>
  <si>
    <t>5302610</t>
  </si>
  <si>
    <t>Ephrata School District</t>
  </si>
  <si>
    <t>5302640</t>
  </si>
  <si>
    <t>Evaline School District</t>
  </si>
  <si>
    <t>5302730</t>
  </si>
  <si>
    <t>Evergreen School District (Stevens)</t>
  </si>
  <si>
    <t>5302820</t>
  </si>
  <si>
    <t>Federal Way School District</t>
  </si>
  <si>
    <t>5302910</t>
  </si>
  <si>
    <t>Finley School District</t>
  </si>
  <si>
    <t>5302940</t>
  </si>
  <si>
    <t>Franklin Pierce School District</t>
  </si>
  <si>
    <t>5303000</t>
  </si>
  <si>
    <t>Garfield School District</t>
  </si>
  <si>
    <t>5303090</t>
  </si>
  <si>
    <t>Goldendale School District</t>
  </si>
  <si>
    <t>5303130</t>
  </si>
  <si>
    <t>Grand Coulee Dam School District</t>
  </si>
  <si>
    <t>5303150</t>
  </si>
  <si>
    <t>Grandview School District</t>
  </si>
  <si>
    <t>5303180</t>
  </si>
  <si>
    <t>Granger School District</t>
  </si>
  <si>
    <t>5303240</t>
  </si>
  <si>
    <t>Grapeview School District</t>
  </si>
  <si>
    <t>5303270</t>
  </si>
  <si>
    <t>Great Northern School District</t>
  </si>
  <si>
    <t>5303360</t>
  </si>
  <si>
    <t>Harrington School District</t>
  </si>
  <si>
    <t>5303510</t>
  </si>
  <si>
    <t>Highland School District</t>
  </si>
  <si>
    <t>5303600</t>
  </si>
  <si>
    <t>Hood Canal School District</t>
  </si>
  <si>
    <t>5303660</t>
  </si>
  <si>
    <t>Hoquiam School District</t>
  </si>
  <si>
    <t>5300002</t>
  </si>
  <si>
    <t>Inchelium School District</t>
  </si>
  <si>
    <t>5303720</t>
  </si>
  <si>
    <t>Index School District</t>
  </si>
  <si>
    <t>5303870</t>
  </si>
  <si>
    <t>Keller School District</t>
  </si>
  <si>
    <t>5300003</t>
  </si>
  <si>
    <t>Kelso School District</t>
  </si>
  <si>
    <t>5303930</t>
  </si>
  <si>
    <t>Kennewick School District</t>
  </si>
  <si>
    <t>5303960</t>
  </si>
  <si>
    <t>Kent School District</t>
  </si>
  <si>
    <t>5303990</t>
  </si>
  <si>
    <t>Kettle Falls School District</t>
  </si>
  <si>
    <t>5304020</t>
  </si>
  <si>
    <t>5304080</t>
  </si>
  <si>
    <t>Klickitat School District</t>
  </si>
  <si>
    <t>5304150</t>
  </si>
  <si>
    <t>LaCrosse School District</t>
  </si>
  <si>
    <t>5307050</t>
  </si>
  <si>
    <t>Lake Quinault School District</t>
  </si>
  <si>
    <t>5304410</t>
  </si>
  <si>
    <t>Lind School District</t>
  </si>
  <si>
    <t>5304470</t>
  </si>
  <si>
    <t>Longview Public Schools</t>
  </si>
  <si>
    <t>5304500</t>
  </si>
  <si>
    <t>Loon Lake School District</t>
  </si>
  <si>
    <t>5304530</t>
  </si>
  <si>
    <t>Lopez School District</t>
  </si>
  <si>
    <t>5304590</t>
  </si>
  <si>
    <t>Lyle School District</t>
  </si>
  <si>
    <t>5304650</t>
  </si>
  <si>
    <t>Mabton School District</t>
  </si>
  <si>
    <t>5304710</t>
  </si>
  <si>
    <t>Mansfield School District</t>
  </si>
  <si>
    <t>5304800</t>
  </si>
  <si>
    <t>Mary M. Knight School District</t>
  </si>
  <si>
    <t>5304830</t>
  </si>
  <si>
    <t>Mary Walker School District</t>
  </si>
  <si>
    <t>5304890</t>
  </si>
  <si>
    <t>McCleary School District</t>
  </si>
  <si>
    <t>5305020</t>
  </si>
  <si>
    <t>Methow Valley School District</t>
  </si>
  <si>
    <t>5305040</t>
  </si>
  <si>
    <t>Mill A School District</t>
  </si>
  <si>
    <t>5305160</t>
  </si>
  <si>
    <t>Montesano School District</t>
  </si>
  <si>
    <t>5305190</t>
  </si>
  <si>
    <t>Morton School District</t>
  </si>
  <si>
    <t>5305220</t>
  </si>
  <si>
    <t>Moses Lake School District</t>
  </si>
  <si>
    <t>5305250</t>
  </si>
  <si>
    <t>Mossyrock School District</t>
  </si>
  <si>
    <t>5305280</t>
  </si>
  <si>
    <t>Mount Adams School District</t>
  </si>
  <si>
    <t>5305310</t>
  </si>
  <si>
    <t>Mount Baker School District</t>
  </si>
  <si>
    <t>5305400</t>
  </si>
  <si>
    <t>Mount Vernon School District</t>
  </si>
  <si>
    <t>5305460</t>
  </si>
  <si>
    <t>Naches Valley School District</t>
  </si>
  <si>
    <t>5305490</t>
  </si>
  <si>
    <t>Napavine School District</t>
  </si>
  <si>
    <t>5305520</t>
  </si>
  <si>
    <t>Naselle-Grays River Valley School District</t>
  </si>
  <si>
    <t>5305550</t>
  </si>
  <si>
    <t>Nespelem School District</t>
  </si>
  <si>
    <t>5305610</t>
  </si>
  <si>
    <t>Newport School District</t>
  </si>
  <si>
    <t>5305640</t>
  </si>
  <si>
    <t>Nine Mile Falls School District</t>
  </si>
  <si>
    <t>5305700</t>
  </si>
  <si>
    <t>North Beach School District</t>
  </si>
  <si>
    <t>5305730</t>
  </si>
  <si>
    <t>North Franklin School District</t>
  </si>
  <si>
    <t>5305790</t>
  </si>
  <si>
    <t>North Mason School District</t>
  </si>
  <si>
    <t>5305820</t>
  </si>
  <si>
    <t>North River School District</t>
  </si>
  <si>
    <t>5305880</t>
  </si>
  <si>
    <t>Northport School District</t>
  </si>
  <si>
    <t>5306000</t>
  </si>
  <si>
    <t>Oakville School District</t>
  </si>
  <si>
    <t>5306060</t>
  </si>
  <si>
    <t>Ocean Beach School District</t>
  </si>
  <si>
    <t>5306090</t>
  </si>
  <si>
    <t>Ocosta School District</t>
  </si>
  <si>
    <t>5306150</t>
  </si>
  <si>
    <t>Okanogan School District</t>
  </si>
  <si>
    <t>5306220</t>
  </si>
  <si>
    <t>Omak School District</t>
  </si>
  <si>
    <t>5306240</t>
  </si>
  <si>
    <t>Onalaska School District</t>
  </si>
  <si>
    <t>5306270</t>
  </si>
  <si>
    <t>Onion Creek School District</t>
  </si>
  <si>
    <t>5306300</t>
  </si>
  <si>
    <t>Orcas Island School District</t>
  </si>
  <si>
    <t>5306360</t>
  </si>
  <si>
    <t>Orient School District</t>
  </si>
  <si>
    <t>5306390</t>
  </si>
  <si>
    <t>Orondo School District</t>
  </si>
  <si>
    <t>5306420</t>
  </si>
  <si>
    <t>Oroville School District</t>
  </si>
  <si>
    <t>5306480</t>
  </si>
  <si>
    <t>Othello School District</t>
  </si>
  <si>
    <t>5306510</t>
  </si>
  <si>
    <t>Palisades School District</t>
  </si>
  <si>
    <t>5306540</t>
  </si>
  <si>
    <t>Palouse School District</t>
  </si>
  <si>
    <t>5306570</t>
  </si>
  <si>
    <t>Pasco School District</t>
  </si>
  <si>
    <t>5306600</t>
  </si>
  <si>
    <t>Pateros School District</t>
  </si>
  <si>
    <t>5306750</t>
  </si>
  <si>
    <t>Pioneer School District</t>
  </si>
  <si>
    <t>5306780</t>
  </si>
  <si>
    <t>Pomeroy School District</t>
  </si>
  <si>
    <t>5306820</t>
  </si>
  <si>
    <t>Port Angeles School District</t>
  </si>
  <si>
    <t>5306840</t>
  </si>
  <si>
    <t>Port Townsend School District</t>
  </si>
  <si>
    <t>5306870</t>
  </si>
  <si>
    <t>Prescott School District</t>
  </si>
  <si>
    <t>5306900</t>
  </si>
  <si>
    <t>Prosser School District</t>
  </si>
  <si>
    <t>5301380</t>
  </si>
  <si>
    <t>Queets-Clearwater School District</t>
  </si>
  <si>
    <t>5306990</t>
  </si>
  <si>
    <t>Quilcene School District</t>
  </si>
  <si>
    <t>5307020</t>
  </si>
  <si>
    <t>Quillayute Valley School District</t>
  </si>
  <si>
    <t>5307080</t>
  </si>
  <si>
    <t>Quincy School District</t>
  </si>
  <si>
    <t>5307140</t>
  </si>
  <si>
    <t>Raymond School District</t>
  </si>
  <si>
    <t>5307210</t>
  </si>
  <si>
    <t>Reardan-Edwall School District</t>
  </si>
  <si>
    <t>5307230</t>
  </si>
  <si>
    <t>5307260</t>
  </si>
  <si>
    <t>Republic School District</t>
  </si>
  <si>
    <t>5307470</t>
  </si>
  <si>
    <t>Rochester School District</t>
  </si>
  <si>
    <t>5307560</t>
  </si>
  <si>
    <t>Rosalia School District</t>
  </si>
  <si>
    <t>5307620</t>
  </si>
  <si>
    <t>Royal School District</t>
  </si>
  <si>
    <t>5307680</t>
  </si>
  <si>
    <t>Satsop School District</t>
  </si>
  <si>
    <t>5307770</t>
  </si>
  <si>
    <t>Selah School District</t>
  </si>
  <si>
    <t>5307800</t>
  </si>
  <si>
    <t>Selkirk School District</t>
  </si>
  <si>
    <t>5307830</t>
  </si>
  <si>
    <t>Sequim School District</t>
  </si>
  <si>
    <t>5307900</t>
  </si>
  <si>
    <t>Shelton School District</t>
  </si>
  <si>
    <t>5308070</t>
  </si>
  <si>
    <t>Soap Lake School District</t>
  </si>
  <si>
    <t>5308100</t>
  </si>
  <si>
    <t>South Bend School District</t>
  </si>
  <si>
    <t>5308220</t>
  </si>
  <si>
    <t>Southside School District</t>
  </si>
  <si>
    <t>5308280</t>
  </si>
  <si>
    <t>Sprague School District</t>
  </si>
  <si>
    <t>5308310</t>
  </si>
  <si>
    <t>St. John School District</t>
  </si>
  <si>
    <t>5308400</t>
  </si>
  <si>
    <t>Starbuck School District</t>
  </si>
  <si>
    <t>5308490</t>
  </si>
  <si>
    <t>Steptoe School District</t>
  </si>
  <si>
    <t>5308520</t>
  </si>
  <si>
    <t>Stevenson-Carson School District</t>
  </si>
  <si>
    <t>5308580</t>
  </si>
  <si>
    <t>Summit Valley School District</t>
  </si>
  <si>
    <t>5308670</t>
  </si>
  <si>
    <t>Sunnyside School District</t>
  </si>
  <si>
    <t>5308730</t>
  </si>
  <si>
    <t>Taholah School District</t>
  </si>
  <si>
    <t>5308940</t>
  </si>
  <si>
    <t>Tonasket School District</t>
  </si>
  <si>
    <t>5308970</t>
  </si>
  <si>
    <t>Toppenish School District</t>
  </si>
  <si>
    <t>5309060</t>
  </si>
  <si>
    <t>Trout Lake School District</t>
  </si>
  <si>
    <t>5309150</t>
  </si>
  <si>
    <t>Union Gap School District</t>
  </si>
  <si>
    <t>5309240</t>
  </si>
  <si>
    <t>Valley School District</t>
  </si>
  <si>
    <t>5309330</t>
  </si>
  <si>
    <t>Wahkiakum School District</t>
  </si>
  <si>
    <t>5309360</t>
  </si>
  <si>
    <t>Wahluke School District</t>
  </si>
  <si>
    <t>5309390</t>
  </si>
  <si>
    <t>Waitsburg School District</t>
  </si>
  <si>
    <t>5309450</t>
  </si>
  <si>
    <t>5309480</t>
  </si>
  <si>
    <t>Wapato School District</t>
  </si>
  <si>
    <t>5309510</t>
  </si>
  <si>
    <t>Warden School District</t>
  </si>
  <si>
    <t>5309570</t>
  </si>
  <si>
    <t>Washtucna School District</t>
  </si>
  <si>
    <t>5309600</t>
  </si>
  <si>
    <t>Waterville School District</t>
  </si>
  <si>
    <t>5309630</t>
  </si>
  <si>
    <t>Wellpinit School District</t>
  </si>
  <si>
    <t>5309750</t>
  </si>
  <si>
    <t>White Pass School District</t>
  </si>
  <si>
    <t>5309870</t>
  </si>
  <si>
    <t>Willapa Valley School District</t>
  </si>
  <si>
    <t>5309900</t>
  </si>
  <si>
    <t>Wilson Creek School District</t>
  </si>
  <si>
    <t>5309930</t>
  </si>
  <si>
    <t>Winlock School District</t>
  </si>
  <si>
    <t>5309990</t>
  </si>
  <si>
    <t>Wishkah Valley School District</t>
  </si>
  <si>
    <t>5310020</t>
  </si>
  <si>
    <t>Wishram School District</t>
  </si>
  <si>
    <t>5310050</t>
  </si>
  <si>
    <t>Woodland School District</t>
  </si>
  <si>
    <t>5310110</t>
  </si>
  <si>
    <t>Yakima School District</t>
  </si>
  <si>
    <t>5310140</t>
  </si>
  <si>
    <t>Yelm Community Schools</t>
  </si>
  <si>
    <t>5310170</t>
  </si>
  <si>
    <t>Zillah School District</t>
  </si>
  <si>
    <t>5399999</t>
  </si>
  <si>
    <t>PART D SUBPART 2</t>
  </si>
  <si>
    <t>1</t>
  </si>
  <si>
    <t>Hold Harmless Percentage</t>
  </si>
  <si>
    <t>IsExpanded</t>
  </si>
  <si>
    <t>Sum of Charters RFPL+Sending RFPL</t>
  </si>
  <si>
    <t>WASHINGTON</t>
  </si>
  <si>
    <t>Pool</t>
  </si>
  <si>
    <t>Allocation</t>
  </si>
  <si>
    <t>MOE</t>
  </si>
  <si>
    <t>14005</t>
  </si>
  <si>
    <t>ABERDEEN</t>
  </si>
  <si>
    <t>21226</t>
  </si>
  <si>
    <t>ADNA</t>
  </si>
  <si>
    <t>22017</t>
  </si>
  <si>
    <t>ALMIRA</t>
  </si>
  <si>
    <t>29103</t>
  </si>
  <si>
    <t>ANACORTES</t>
  </si>
  <si>
    <t>31016</t>
  </si>
  <si>
    <t>ARLINGTON</t>
  </si>
  <si>
    <t>02420</t>
  </si>
  <si>
    <t>ASOTIN-ANATONE</t>
  </si>
  <si>
    <t>17408</t>
  </si>
  <si>
    <t>AUBURN</t>
  </si>
  <si>
    <t>18303</t>
  </si>
  <si>
    <t>BAINBRIDGE ISLAND</t>
  </si>
  <si>
    <t>06119</t>
  </si>
  <si>
    <t>BATTLE GROUND</t>
  </si>
  <si>
    <t>17405</t>
  </si>
  <si>
    <t>BELLEVUE</t>
  </si>
  <si>
    <t>BELLINGHAM</t>
  </si>
  <si>
    <t>01122</t>
  </si>
  <si>
    <t>BENGE</t>
  </si>
  <si>
    <t>27403</t>
  </si>
  <si>
    <t>BETHEL</t>
  </si>
  <si>
    <t>20203</t>
  </si>
  <si>
    <t>BICKLETON</t>
  </si>
  <si>
    <t>37503</t>
  </si>
  <si>
    <t>BLAINE</t>
  </si>
  <si>
    <t>21234</t>
  </si>
  <si>
    <t>BOISTFORT</t>
  </si>
  <si>
    <t>BREMERTON</t>
  </si>
  <si>
    <t>24111</t>
  </si>
  <si>
    <t>BREWSTER</t>
  </si>
  <si>
    <t>09075</t>
  </si>
  <si>
    <t>BRIDGEPORT</t>
  </si>
  <si>
    <t>16046</t>
  </si>
  <si>
    <t>BRINNON</t>
  </si>
  <si>
    <t>29100</t>
  </si>
  <si>
    <t>BURLINGTON-EDISON</t>
  </si>
  <si>
    <t>06117</t>
  </si>
  <si>
    <t>CAMAS</t>
  </si>
  <si>
    <t>05401</t>
  </si>
  <si>
    <t>CAPE FLATTERY</t>
  </si>
  <si>
    <t>27019</t>
  </si>
  <si>
    <t>CARBONADO</t>
  </si>
  <si>
    <t>04228</t>
  </si>
  <si>
    <t>CASCADE</t>
  </si>
  <si>
    <t>04222</t>
  </si>
  <si>
    <t>CASHMERE</t>
  </si>
  <si>
    <t>08401</t>
  </si>
  <si>
    <t>CASTLE ROCK</t>
  </si>
  <si>
    <t>CATALYST BREMERTON CHARTER</t>
  </si>
  <si>
    <t>20215</t>
  </si>
  <si>
    <t>CENTERVILLE</t>
  </si>
  <si>
    <t>18401</t>
  </si>
  <si>
    <t>CENTRAL KITSAP</t>
  </si>
  <si>
    <t>32356</t>
  </si>
  <si>
    <t>CENTRAL VALLEY</t>
  </si>
  <si>
    <t>21401</t>
  </si>
  <si>
    <t>CENTRALIA</t>
  </si>
  <si>
    <t>21302</t>
  </si>
  <si>
    <t>CHEHALIS</t>
  </si>
  <si>
    <t>32360</t>
  </si>
  <si>
    <t>CHENEY</t>
  </si>
  <si>
    <t>33036</t>
  </si>
  <si>
    <t>CHEWELAH</t>
  </si>
  <si>
    <t>16049</t>
  </si>
  <si>
    <t>CHIMACUM</t>
  </si>
  <si>
    <t>02250</t>
  </si>
  <si>
    <t>CLARKSTON</t>
  </si>
  <si>
    <t>19404</t>
  </si>
  <si>
    <t>CLE ELUM-ROSLYN</t>
  </si>
  <si>
    <t>27400</t>
  </si>
  <si>
    <t>CLOVER PARK</t>
  </si>
  <si>
    <t>38300</t>
  </si>
  <si>
    <t>COLFAX</t>
  </si>
  <si>
    <t>36250</t>
  </si>
  <si>
    <t>COLLEGE PLACE</t>
  </si>
  <si>
    <t>38306</t>
  </si>
  <si>
    <t>COLTON</t>
  </si>
  <si>
    <t>33206</t>
  </si>
  <si>
    <t>COLUMBIA (STEV)</t>
  </si>
  <si>
    <t>36400</t>
  </si>
  <si>
    <t>COLUMBIA (WALLA)</t>
  </si>
  <si>
    <t>33115</t>
  </si>
  <si>
    <t>COLVILLE</t>
  </si>
  <si>
    <t>29011</t>
  </si>
  <si>
    <t>CONCRETE</t>
  </si>
  <si>
    <t>29317</t>
  </si>
  <si>
    <t>CONWAY</t>
  </si>
  <si>
    <t>14099</t>
  </si>
  <si>
    <t>COSMOPOLIS</t>
  </si>
  <si>
    <t>13151</t>
  </si>
  <si>
    <t>COULEE-HARTLINE</t>
  </si>
  <si>
    <t>15204</t>
  </si>
  <si>
    <t>COUPEVILLE</t>
  </si>
  <si>
    <t>05313</t>
  </si>
  <si>
    <t>CRESCENT</t>
  </si>
  <si>
    <t>22073</t>
  </si>
  <si>
    <t>CRESTON</t>
  </si>
  <si>
    <t>10050</t>
  </si>
  <si>
    <t>CURLEW</t>
  </si>
  <si>
    <t>26059</t>
  </si>
  <si>
    <t>CUSICK</t>
  </si>
  <si>
    <t>19007</t>
  </si>
  <si>
    <t>DAMMAN</t>
  </si>
  <si>
    <t>31330</t>
  </si>
  <si>
    <t>DARRINGTON</t>
  </si>
  <si>
    <t>22207</t>
  </si>
  <si>
    <t>DAVENPORT</t>
  </si>
  <si>
    <t>07002</t>
  </si>
  <si>
    <t>DAYTON</t>
  </si>
  <si>
    <t>32414</t>
  </si>
  <si>
    <t>DEER PARK</t>
  </si>
  <si>
    <t>27343</t>
  </si>
  <si>
    <t>DIERINGER</t>
  </si>
  <si>
    <t>36101</t>
  </si>
  <si>
    <t>DIXIE</t>
  </si>
  <si>
    <t>32361</t>
  </si>
  <si>
    <t>EAST VALLEY (SPK)</t>
  </si>
  <si>
    <t>39090</t>
  </si>
  <si>
    <t>EAST VALLEY (YAK)</t>
  </si>
  <si>
    <t>09206</t>
  </si>
  <si>
    <t>EASTMONT</t>
  </si>
  <si>
    <t>19028</t>
  </si>
  <si>
    <t>EASTON</t>
  </si>
  <si>
    <t>27404</t>
  </si>
  <si>
    <t>EATONVILLE</t>
  </si>
  <si>
    <t>31015</t>
  </si>
  <si>
    <t>EDMONDS</t>
  </si>
  <si>
    <t>19401</t>
  </si>
  <si>
    <t>ELLENSBURG</t>
  </si>
  <si>
    <t>14068</t>
  </si>
  <si>
    <t>ELMA</t>
  </si>
  <si>
    <t>38308</t>
  </si>
  <si>
    <t>ENDICOTT</t>
  </si>
  <si>
    <t>04127</t>
  </si>
  <si>
    <t>ENTIAT</t>
  </si>
  <si>
    <t>17216</t>
  </si>
  <si>
    <t>ENUMCLAW</t>
  </si>
  <si>
    <t>13165</t>
  </si>
  <si>
    <t>EPHRATA</t>
  </si>
  <si>
    <t>21036</t>
  </si>
  <si>
    <t>EVALINE</t>
  </si>
  <si>
    <t>31002</t>
  </si>
  <si>
    <t>EVERETT</t>
  </si>
  <si>
    <t>06114</t>
  </si>
  <si>
    <t>EVERGREEN (CLARK)</t>
  </si>
  <si>
    <t>33205</t>
  </si>
  <si>
    <t>EVERGREEN (STEV)</t>
  </si>
  <si>
    <t>17210</t>
  </si>
  <si>
    <t>FEDERAL WAY</t>
  </si>
  <si>
    <t>37502</t>
  </si>
  <si>
    <t>FERNDALE</t>
  </si>
  <si>
    <t>27417</t>
  </si>
  <si>
    <t>FIFE</t>
  </si>
  <si>
    <t>03053</t>
  </si>
  <si>
    <t>FINLEY</t>
  </si>
  <si>
    <t>27402</t>
  </si>
  <si>
    <t>FRANKLIN PIERCE</t>
  </si>
  <si>
    <t>32358</t>
  </si>
  <si>
    <t>FREEMAN</t>
  </si>
  <si>
    <t>38302</t>
  </si>
  <si>
    <t>GARFIELD</t>
  </si>
  <si>
    <t>20401</t>
  </si>
  <si>
    <t>GLENWOOD</t>
  </si>
  <si>
    <t>20404</t>
  </si>
  <si>
    <t>GOLDENDALE</t>
  </si>
  <si>
    <t>13301</t>
  </si>
  <si>
    <t>GRAND COULEE</t>
  </si>
  <si>
    <t>39200</t>
  </si>
  <si>
    <t>GRANDVIEW</t>
  </si>
  <si>
    <t>39204</t>
  </si>
  <si>
    <t>GRANGER</t>
  </si>
  <si>
    <t>31332</t>
  </si>
  <si>
    <t>GRANITE FALLS</t>
  </si>
  <si>
    <t>23054</t>
  </si>
  <si>
    <t>GRAPEVIEW</t>
  </si>
  <si>
    <t>32312</t>
  </si>
  <si>
    <t>GREAT NORTHERN</t>
  </si>
  <si>
    <t>06103</t>
  </si>
  <si>
    <t>GREEN MOUNTAIN</t>
  </si>
  <si>
    <t>34324</t>
  </si>
  <si>
    <t>GRIFFIN</t>
  </si>
  <si>
    <t>22204</t>
  </si>
  <si>
    <t>HARRINGTON</t>
  </si>
  <si>
    <t>39203</t>
  </si>
  <si>
    <t>HIGHLAND</t>
  </si>
  <si>
    <t>HIGHLINE</t>
  </si>
  <si>
    <t>06098</t>
  </si>
  <si>
    <t>HOCKINSON</t>
  </si>
  <si>
    <t>23404</t>
  </si>
  <si>
    <t>HOOD CANAL</t>
  </si>
  <si>
    <t>14028</t>
  </si>
  <si>
    <t>HOQUIAM</t>
  </si>
  <si>
    <t>IMPACT COMMENCEMENT BAY CHARTER</t>
  </si>
  <si>
    <t>IMPACT PUGET SOUND CHARTER</t>
  </si>
  <si>
    <t>IMPACT SALISH SEA CHARTER</t>
  </si>
  <si>
    <t>10070</t>
  </si>
  <si>
    <t>INCHELIUM</t>
  </si>
  <si>
    <t>31063</t>
  </si>
  <si>
    <t>INDEX</t>
  </si>
  <si>
    <t>17411</t>
  </si>
  <si>
    <t>ISSAQUAH</t>
  </si>
  <si>
    <t>11056</t>
  </si>
  <si>
    <t>KAHLOTUS</t>
  </si>
  <si>
    <t>08402</t>
  </si>
  <si>
    <t>KALAMA</t>
  </si>
  <si>
    <t>10003</t>
  </si>
  <si>
    <t>KELLER</t>
  </si>
  <si>
    <t>08458</t>
  </si>
  <si>
    <t>KELSO</t>
  </si>
  <si>
    <t>03017</t>
  </si>
  <si>
    <t>KENNEWICK</t>
  </si>
  <si>
    <t>17415</t>
  </si>
  <si>
    <t>KENT</t>
  </si>
  <si>
    <t>33212</t>
  </si>
  <si>
    <t>KETTLE FALLS</t>
  </si>
  <si>
    <t>03052</t>
  </si>
  <si>
    <t>KIONA-BENTON</t>
  </si>
  <si>
    <t>19403</t>
  </si>
  <si>
    <t>KITTITAS</t>
  </si>
  <si>
    <t>20402</t>
  </si>
  <si>
    <t>KLICKITAT</t>
  </si>
  <si>
    <t>06101</t>
  </si>
  <si>
    <t>LA CENTER</t>
  </si>
  <si>
    <t>29311</t>
  </si>
  <si>
    <t>LA CONNER</t>
  </si>
  <si>
    <t>38126</t>
  </si>
  <si>
    <t>LACROSSE</t>
  </si>
  <si>
    <t>04129</t>
  </si>
  <si>
    <t>LAKE CHELAN</t>
  </si>
  <si>
    <t>31004</t>
  </si>
  <si>
    <t>LAKE STEVENS</t>
  </si>
  <si>
    <t>17414</t>
  </si>
  <si>
    <t>LAKE WASHINGTON</t>
  </si>
  <si>
    <t>31306</t>
  </si>
  <si>
    <t>LAKEWOOD</t>
  </si>
  <si>
    <t>38264</t>
  </si>
  <si>
    <t>LAMONT</t>
  </si>
  <si>
    <t>32362</t>
  </si>
  <si>
    <t>LIBERTY</t>
  </si>
  <si>
    <t>01158</t>
  </si>
  <si>
    <t>LIND</t>
  </si>
  <si>
    <t>08122</t>
  </si>
  <si>
    <t>LONGVIEW</t>
  </si>
  <si>
    <t>33183</t>
  </si>
  <si>
    <t>LOON LAKE</t>
  </si>
  <si>
    <t>28144</t>
  </si>
  <si>
    <t>LOPEZ</t>
  </si>
  <si>
    <t>LUMEN CHARTER</t>
  </si>
  <si>
    <t>20406</t>
  </si>
  <si>
    <t>LYLE</t>
  </si>
  <si>
    <t>37504</t>
  </si>
  <si>
    <t>LYNDEN</t>
  </si>
  <si>
    <t>39120</t>
  </si>
  <si>
    <t>MABTON</t>
  </si>
  <si>
    <t>09207</t>
  </si>
  <si>
    <t>MANSFIELD</t>
  </si>
  <si>
    <t>04019</t>
  </si>
  <si>
    <t>MANSON</t>
  </si>
  <si>
    <t>23311</t>
  </si>
  <si>
    <t>MARY M KNIGHT</t>
  </si>
  <si>
    <t>33207</t>
  </si>
  <si>
    <t>MARY WALKER</t>
  </si>
  <si>
    <t>31025</t>
  </si>
  <si>
    <t>MARYSVILLE</t>
  </si>
  <si>
    <t>14065</t>
  </si>
  <si>
    <t>MCCLEARY</t>
  </si>
  <si>
    <t>32354</t>
  </si>
  <si>
    <t>MEAD</t>
  </si>
  <si>
    <t>32326</t>
  </si>
  <si>
    <t>MEDICAL LAKE</t>
  </si>
  <si>
    <t>17400</t>
  </si>
  <si>
    <t>MERCER ISLAND</t>
  </si>
  <si>
    <t>37505</t>
  </si>
  <si>
    <t>MERIDIAN</t>
  </si>
  <si>
    <t>24350</t>
  </si>
  <si>
    <t>METHOW VALLEY</t>
  </si>
  <si>
    <t>30031</t>
  </si>
  <si>
    <t>MILL A</t>
  </si>
  <si>
    <t>31103</t>
  </si>
  <si>
    <t>MONROE</t>
  </si>
  <si>
    <t>14066</t>
  </si>
  <si>
    <t>MONTESANO</t>
  </si>
  <si>
    <t>21214</t>
  </si>
  <si>
    <t>MORTON</t>
  </si>
  <si>
    <t>13161</t>
  </si>
  <si>
    <t>MOSES LAKE</t>
  </si>
  <si>
    <t>21206</t>
  </si>
  <si>
    <t>MOSSYROCK</t>
  </si>
  <si>
    <t>39209</t>
  </si>
  <si>
    <t>MOUNT ADAMS</t>
  </si>
  <si>
    <t>37507</t>
  </si>
  <si>
    <t>MOUNT BAKER</t>
  </si>
  <si>
    <t>30029</t>
  </si>
  <si>
    <t>MOUNT PLEASANT</t>
  </si>
  <si>
    <t>29320</t>
  </si>
  <si>
    <t>MOUNT VERNON</t>
  </si>
  <si>
    <t>31006</t>
  </si>
  <si>
    <t>MUKILTEO</t>
  </si>
  <si>
    <t>39003</t>
  </si>
  <si>
    <t>NACHES VALLEY</t>
  </si>
  <si>
    <t>21014</t>
  </si>
  <si>
    <t>NAPAVINE</t>
  </si>
  <si>
    <t>25155</t>
  </si>
  <si>
    <t>NASELLE-GRAYS</t>
  </si>
  <si>
    <t>24014</t>
  </si>
  <si>
    <t>NESPELEM</t>
  </si>
  <si>
    <t>26056</t>
  </si>
  <si>
    <t>NEWPORT</t>
  </si>
  <si>
    <t>32325</t>
  </si>
  <si>
    <t>NINE MILE FALLS</t>
  </si>
  <si>
    <t>37506</t>
  </si>
  <si>
    <t>NOOKSACK VALLEY</t>
  </si>
  <si>
    <t>14064</t>
  </si>
  <si>
    <t>NORTH BEACH</t>
  </si>
  <si>
    <t>11051</t>
  </si>
  <si>
    <t>NORTH FRANKLIN</t>
  </si>
  <si>
    <t>18400</t>
  </si>
  <si>
    <t>NORTH KITSAP</t>
  </si>
  <si>
    <t>23403</t>
  </si>
  <si>
    <t>NORTH MASON</t>
  </si>
  <si>
    <t>25200</t>
  </si>
  <si>
    <t>NORTH RIVER</t>
  </si>
  <si>
    <t>34003</t>
  </si>
  <si>
    <t>NORTH THURSTON</t>
  </si>
  <si>
    <t>33211</t>
  </si>
  <si>
    <t>NORTHPORT</t>
  </si>
  <si>
    <t>17417</t>
  </si>
  <si>
    <t>NORTHSHORE</t>
  </si>
  <si>
    <t>15201</t>
  </si>
  <si>
    <t>OAK HARBOR</t>
  </si>
  <si>
    <t>38324</t>
  </si>
  <si>
    <t>OAKESDALE</t>
  </si>
  <si>
    <t>14400</t>
  </si>
  <si>
    <t>OAKVILLE</t>
  </si>
  <si>
    <t>25101</t>
  </si>
  <si>
    <t>OCEAN BEACH</t>
  </si>
  <si>
    <t>14172</t>
  </si>
  <si>
    <t>OCOSTA</t>
  </si>
  <si>
    <t>22105</t>
  </si>
  <si>
    <t>ODESSA</t>
  </si>
  <si>
    <t>24105</t>
  </si>
  <si>
    <t>OKANOGAN</t>
  </si>
  <si>
    <t>34111</t>
  </si>
  <si>
    <t>OLYMPIA</t>
  </si>
  <si>
    <t>24019</t>
  </si>
  <si>
    <t>OMAK</t>
  </si>
  <si>
    <t>21300</t>
  </si>
  <si>
    <t>ONALASKA</t>
  </si>
  <si>
    <t>33030</t>
  </si>
  <si>
    <t>ONION CREEK</t>
  </si>
  <si>
    <t>28137</t>
  </si>
  <si>
    <t>ORCAS ISLAND</t>
  </si>
  <si>
    <t>32123</t>
  </si>
  <si>
    <t>ORCHARD PRAIRIE</t>
  </si>
  <si>
    <t>10065</t>
  </si>
  <si>
    <t>ORIENT</t>
  </si>
  <si>
    <t>09013</t>
  </si>
  <si>
    <t>ORONDO</t>
  </si>
  <si>
    <t>24410</t>
  </si>
  <si>
    <t>OROVILLE</t>
  </si>
  <si>
    <t>27344</t>
  </si>
  <si>
    <t>ORTING</t>
  </si>
  <si>
    <t>01147</t>
  </si>
  <si>
    <t>OTHELLO</t>
  </si>
  <si>
    <t>09102</t>
  </si>
  <si>
    <t>PALISADES</t>
  </si>
  <si>
    <t>38301</t>
  </si>
  <si>
    <t>PALOUSE</t>
  </si>
  <si>
    <t>11001</t>
  </si>
  <si>
    <t>PASCO</t>
  </si>
  <si>
    <t>24122</t>
  </si>
  <si>
    <t>PATEROS</t>
  </si>
  <si>
    <t>03050</t>
  </si>
  <si>
    <t>PATERSON</t>
  </si>
  <si>
    <t>21301</t>
  </si>
  <si>
    <t>PE ELL</t>
  </si>
  <si>
    <t>27401</t>
  </si>
  <si>
    <t>PENINSULA</t>
  </si>
  <si>
    <t>PINNACLE PREP CHARTER</t>
  </si>
  <si>
    <t>23402</t>
  </si>
  <si>
    <t>PIONEER</t>
  </si>
  <si>
    <t>12110</t>
  </si>
  <si>
    <t>POMEROY</t>
  </si>
  <si>
    <t>05121</t>
  </si>
  <si>
    <t>PORT ANGELES</t>
  </si>
  <si>
    <t>16050</t>
  </si>
  <si>
    <t>PORT TOWNSEND</t>
  </si>
  <si>
    <t>36402</t>
  </si>
  <si>
    <t>PRESCOTT</t>
  </si>
  <si>
    <t>PRIDE PREP CHARTER</t>
  </si>
  <si>
    <t>03116</t>
  </si>
  <si>
    <t>PROSSER</t>
  </si>
  <si>
    <t>PULLMAN</t>
  </si>
  <si>
    <t>PULLMAN MONTESSORI CHARTER</t>
  </si>
  <si>
    <t>27003</t>
  </si>
  <si>
    <t>PUYALLUP</t>
  </si>
  <si>
    <t>16020</t>
  </si>
  <si>
    <t>QUEETS-CLEARWATER</t>
  </si>
  <si>
    <t>16048</t>
  </si>
  <si>
    <t>QUILCENE</t>
  </si>
  <si>
    <t>05402</t>
  </si>
  <si>
    <t>QUILLAYUTE VALLEY</t>
  </si>
  <si>
    <t>14097</t>
  </si>
  <si>
    <t>QUINAULT</t>
  </si>
  <si>
    <t>13144</t>
  </si>
  <si>
    <t>QUINCY</t>
  </si>
  <si>
    <t>34307</t>
  </si>
  <si>
    <t>RAINIER</t>
  </si>
  <si>
    <t>RAINIER PREP CHARTER</t>
  </si>
  <si>
    <t>RAINIER VALLEY CHARTER</t>
  </si>
  <si>
    <t>25116</t>
  </si>
  <si>
    <t>RAYMOND</t>
  </si>
  <si>
    <t>22009</t>
  </si>
  <si>
    <t>REARDAN-EDWALL</t>
  </si>
  <si>
    <t>17403</t>
  </si>
  <si>
    <t>RENTON</t>
  </si>
  <si>
    <t>10309</t>
  </si>
  <si>
    <t>REPUBLIC</t>
  </si>
  <si>
    <t>03400</t>
  </si>
  <si>
    <t>RICHLAND</t>
  </si>
  <si>
    <t>06122</t>
  </si>
  <si>
    <t>RIDGEFIELD</t>
  </si>
  <si>
    <t>01160</t>
  </si>
  <si>
    <t>RITZVILLE</t>
  </si>
  <si>
    <t>32416</t>
  </si>
  <si>
    <t>RIVERSIDE</t>
  </si>
  <si>
    <t>17407</t>
  </si>
  <si>
    <t>RIVERVIEW</t>
  </si>
  <si>
    <t>34401</t>
  </si>
  <si>
    <t>ROCHESTER</t>
  </si>
  <si>
    <t>20403</t>
  </si>
  <si>
    <t>ROOSEVELT</t>
  </si>
  <si>
    <t>38320</t>
  </si>
  <si>
    <t>ROSALIA</t>
  </si>
  <si>
    <t>13160</t>
  </si>
  <si>
    <t>ROYAL</t>
  </si>
  <si>
    <t>28149</t>
  </si>
  <si>
    <t>SAN JUAN ISLAND</t>
  </si>
  <si>
    <t>14104</t>
  </si>
  <si>
    <t>SATSOP</t>
  </si>
  <si>
    <t>SCHOOL FOR THE DEAF</t>
  </si>
  <si>
    <t>SCHOOL OF THE BLIND</t>
  </si>
  <si>
    <t>SEATTLE</t>
  </si>
  <si>
    <t>29101</t>
  </si>
  <si>
    <t>SEDRO-WOOLLEY</t>
  </si>
  <si>
    <t>39119</t>
  </si>
  <si>
    <t>SELAH</t>
  </si>
  <si>
    <t>26070</t>
  </si>
  <si>
    <t>SELKIRK</t>
  </si>
  <si>
    <t>05323</t>
  </si>
  <si>
    <t>SEQUIM</t>
  </si>
  <si>
    <t>28010</t>
  </si>
  <si>
    <t>SHAW ISLAND</t>
  </si>
  <si>
    <t>23309</t>
  </si>
  <si>
    <t>SHELTON</t>
  </si>
  <si>
    <t>17412</t>
  </si>
  <si>
    <t>SHORELINE</t>
  </si>
  <si>
    <t>30002</t>
  </si>
  <si>
    <t>SKAMANIA</t>
  </si>
  <si>
    <t>17404</t>
  </si>
  <si>
    <t>SKYKOMISH</t>
  </si>
  <si>
    <t>31201</t>
  </si>
  <si>
    <t>SNOHOMISH</t>
  </si>
  <si>
    <t>17410</t>
  </si>
  <si>
    <t>SNOQUALMIE VALLEY</t>
  </si>
  <si>
    <t>13156</t>
  </si>
  <si>
    <t>SOAP LAKE</t>
  </si>
  <si>
    <t>25118</t>
  </si>
  <si>
    <t>SOUTH BEND</t>
  </si>
  <si>
    <t>18402</t>
  </si>
  <si>
    <t>SOUTH KITSAP</t>
  </si>
  <si>
    <t>15206</t>
  </si>
  <si>
    <t>SOUTH WHIDBEY</t>
  </si>
  <si>
    <t>23042</t>
  </si>
  <si>
    <t>SOUTHSIDE</t>
  </si>
  <si>
    <t>SPOKANE</t>
  </si>
  <si>
    <t>SPOKANE INTERNATIONAL ACADEMY CHARTER</t>
  </si>
  <si>
    <t>22008</t>
  </si>
  <si>
    <t>SPRAGUE</t>
  </si>
  <si>
    <t>38322</t>
  </si>
  <si>
    <t>ST JOHN</t>
  </si>
  <si>
    <t>31401</t>
  </si>
  <si>
    <t>STANWOOD</t>
  </si>
  <si>
    <t>11054</t>
  </si>
  <si>
    <t>STAR</t>
  </si>
  <si>
    <t>07035</t>
  </si>
  <si>
    <t>STARBUCK</t>
  </si>
  <si>
    <t>04069</t>
  </si>
  <si>
    <t>STEHEKIN</t>
  </si>
  <si>
    <t>27001</t>
  </si>
  <si>
    <t>STEILACOOM</t>
  </si>
  <si>
    <t>38304</t>
  </si>
  <si>
    <t>STEPTOE</t>
  </si>
  <si>
    <t>30303</t>
  </si>
  <si>
    <t>STEVENSON-CARSON</t>
  </si>
  <si>
    <t>31311</t>
  </si>
  <si>
    <t>SULTAN</t>
  </si>
  <si>
    <t>SUMMIT ATLAS CHARTER</t>
  </si>
  <si>
    <t>SUMMIT OLYMPUS CHARTER</t>
  </si>
  <si>
    <t>SUMMIT SIERRA CHARTER</t>
  </si>
  <si>
    <t>33202</t>
  </si>
  <si>
    <t>SUMMIT VALLEY</t>
  </si>
  <si>
    <t>27320</t>
  </si>
  <si>
    <t>SUMNER</t>
  </si>
  <si>
    <t>39201</t>
  </si>
  <si>
    <t>SUNNYSIDE</t>
  </si>
  <si>
    <t>SUQUAMISH</t>
  </si>
  <si>
    <t>TACOMA</t>
  </si>
  <si>
    <t>14077</t>
  </si>
  <si>
    <t>TAHOLAH</t>
  </si>
  <si>
    <t>17409</t>
  </si>
  <si>
    <t>TAHOMA</t>
  </si>
  <si>
    <t>38265</t>
  </si>
  <si>
    <t>TEKOA</t>
  </si>
  <si>
    <t>34402</t>
  </si>
  <si>
    <t>TENINO</t>
  </si>
  <si>
    <t>19400</t>
  </si>
  <si>
    <t>THORP</t>
  </si>
  <si>
    <t>21237</t>
  </si>
  <si>
    <t>TOLEDO</t>
  </si>
  <si>
    <t>24404</t>
  </si>
  <si>
    <t>TONASKET</t>
  </si>
  <si>
    <t>39202</t>
  </si>
  <si>
    <t>TOPPENISH</t>
  </si>
  <si>
    <t>36300</t>
  </si>
  <si>
    <t>TOUCHET</t>
  </si>
  <si>
    <t>08130</t>
  </si>
  <si>
    <t>TOUTLE LAKE</t>
  </si>
  <si>
    <t>20400</t>
  </si>
  <si>
    <t>TROUT LAKE</t>
  </si>
  <si>
    <t>TUKWILA</t>
  </si>
  <si>
    <t>34033</t>
  </si>
  <si>
    <t>TUMWATER</t>
  </si>
  <si>
    <t>39002</t>
  </si>
  <si>
    <t>UNION GAP</t>
  </si>
  <si>
    <t>27083</t>
  </si>
  <si>
    <t>UNIVERSITY PLACE</t>
  </si>
  <si>
    <t>33070</t>
  </si>
  <si>
    <t>VALLEY</t>
  </si>
  <si>
    <t>VANCOUVER</t>
  </si>
  <si>
    <t>17402</t>
  </si>
  <si>
    <t>VASHON ISLAND</t>
  </si>
  <si>
    <t>35200</t>
  </si>
  <si>
    <t>WAHKIAKUM</t>
  </si>
  <si>
    <t>13073</t>
  </si>
  <si>
    <t>WAHLUKE</t>
  </si>
  <si>
    <t>36401</t>
  </si>
  <si>
    <t>WAITSBURG</t>
  </si>
  <si>
    <t>36140</t>
  </si>
  <si>
    <t>WALLA WALLA</t>
  </si>
  <si>
    <t>39207</t>
  </si>
  <si>
    <t>WAPATO</t>
  </si>
  <si>
    <t>13146</t>
  </si>
  <si>
    <t>WARDEN</t>
  </si>
  <si>
    <t>06112</t>
  </si>
  <si>
    <t>WASHOUGAL</t>
  </si>
  <si>
    <t>01109</t>
  </si>
  <si>
    <t>WASHTUCNA</t>
  </si>
  <si>
    <t>09209</t>
  </si>
  <si>
    <t>WATERVILLE</t>
  </si>
  <si>
    <t>33049</t>
  </si>
  <si>
    <t>WELLPINIT</t>
  </si>
  <si>
    <t>WENATCHEE</t>
  </si>
  <si>
    <t>32363</t>
  </si>
  <si>
    <t>WEST VALLEY (SPK)</t>
  </si>
  <si>
    <t>39208</t>
  </si>
  <si>
    <t>WEST VALLEY (YAK)</t>
  </si>
  <si>
    <t>WHATCOM INTERGENERATIONAL CHARTER</t>
  </si>
  <si>
    <t>21303</t>
  </si>
  <si>
    <t>WHITE PASS</t>
  </si>
  <si>
    <t>27416</t>
  </si>
  <si>
    <t>WHITE RIVER</t>
  </si>
  <si>
    <t>20405</t>
  </si>
  <si>
    <t>WHITE SALMON</t>
  </si>
  <si>
    <t>WHY NOT YOU ACADEMY CHARTER</t>
  </si>
  <si>
    <t>22200</t>
  </si>
  <si>
    <t>WILBUR</t>
  </si>
  <si>
    <t>25160</t>
  </si>
  <si>
    <t>WILLAPA VALLEY</t>
  </si>
  <si>
    <t>13167</t>
  </si>
  <si>
    <t>WILSON CREEK</t>
  </si>
  <si>
    <t>21232</t>
  </si>
  <si>
    <t>WINLOCK</t>
  </si>
  <si>
    <t>14117</t>
  </si>
  <si>
    <t>WISHKAH VALLEY</t>
  </si>
  <si>
    <t>20094</t>
  </si>
  <si>
    <t>WISHRAM</t>
  </si>
  <si>
    <t>08404</t>
  </si>
  <si>
    <t>WOODLAND</t>
  </si>
  <si>
    <t>39007</t>
  </si>
  <si>
    <t>YAKIMA</t>
  </si>
  <si>
    <t>34002</t>
  </si>
  <si>
    <t>YELM</t>
  </si>
  <si>
    <t>39205</t>
  </si>
  <si>
    <t>ZILLAH</t>
  </si>
  <si>
    <t>TOTAL LEA GRANTS</t>
  </si>
  <si>
    <t>Rev Fin  T-I State Adm  1004(b).TITLE I, PART A TOTAL LEA GRANTS</t>
  </si>
  <si>
    <t>Statewide Allocations</t>
  </si>
  <si>
    <t>Adjustment or Carryover</t>
  </si>
  <si>
    <t>Total to be allocated</t>
  </si>
  <si>
    <t>FFY16 1003(g) Grant Award &amp; 4% Set Aside:</t>
  </si>
  <si>
    <t>7% Set Aside Amount</t>
  </si>
  <si>
    <t>Percentage School Improvement Withheld</t>
  </si>
  <si>
    <t>&lt;-------(Use Hold Harmless Calc)</t>
  </si>
  <si>
    <t xml:space="preserve">       Subtotal</t>
  </si>
  <si>
    <t>Allocation under $14 B rule</t>
  </si>
  <si>
    <t>Statewide Administration (After hold Harmless)</t>
  </si>
  <si>
    <t>MOE reduction</t>
  </si>
  <si>
    <t>Net to Districts</t>
  </si>
  <si>
    <t/>
  </si>
  <si>
    <t>Column1</t>
  </si>
  <si>
    <t>1st itiration</t>
  </si>
  <si>
    <t>2nd itiration</t>
  </si>
  <si>
    <t>3rd itiration</t>
  </si>
  <si>
    <t>4th itiration</t>
  </si>
  <si>
    <t>LEANAME</t>
  </si>
  <si>
    <t xml:space="preserve">Prior Year Total Allocation After State Reservations </t>
  </si>
  <si>
    <t>Current Year Basic Before State Reservations</t>
  </si>
  <si>
    <t>Current Year Concentration Before State Reservations</t>
  </si>
  <si>
    <t>Current Year Targeted Before State Reservations</t>
  </si>
  <si>
    <t>Current Year EFIG Before State Reservations</t>
  </si>
  <si>
    <t>Current Year Total Before State Reservations</t>
  </si>
  <si>
    <t>School improvement HH Test</t>
  </si>
  <si>
    <t>State Admin</t>
  </si>
  <si>
    <t>Subtotal after admin</t>
  </si>
  <si>
    <t>Holdback for awards and recognition</t>
  </si>
  <si>
    <t>Subtotal after awards</t>
  </si>
  <si>
    <t>MOE Reduction</t>
  </si>
  <si>
    <t>NET TO DISTRICS</t>
  </si>
  <si>
    <t>Second Iteration: Hold Harmless Check</t>
  </si>
  <si>
    <t>EFIG Hold Harmless Amount</t>
  </si>
  <si>
    <t>Current Year EFIG Allocation</t>
  </si>
  <si>
    <t>Percentage of Formula Children</t>
  </si>
  <si>
    <t>Current Year Targeted Allocation</t>
  </si>
  <si>
    <t>Current Year Basic Allocation</t>
  </si>
  <si>
    <t>Basic Hold Harmless Amount</t>
  </si>
  <si>
    <t>Adj - 5-17 pop</t>
  </si>
  <si>
    <t>Adj poverty</t>
  </si>
  <si>
    <t>Adj Total formula count</t>
  </si>
  <si>
    <t>Adj poverty percentage</t>
  </si>
  <si>
    <t>BASIC eligibility</t>
  </si>
  <si>
    <t>Conc. Eligigibility</t>
  </si>
  <si>
    <t>Targeted Eligibility</t>
  </si>
  <si>
    <t>EFIG eligibility</t>
  </si>
  <si>
    <t>FRPL.TotalStudents</t>
  </si>
  <si>
    <t>SendingTotalStudents</t>
  </si>
  <si>
    <t>Sum of charter total students + Sending total students</t>
  </si>
  <si>
    <t>Share of Total Enrollment</t>
  </si>
  <si>
    <t>Sending Share of Total enrollment</t>
  </si>
  <si>
    <t>DistrictName</t>
  </si>
  <si>
    <t>SendingLEAid</t>
  </si>
  <si>
    <t>DistrictType</t>
  </si>
  <si>
    <t>poverty Multiplier</t>
  </si>
  <si>
    <t>Enrollment multiplier</t>
  </si>
  <si>
    <t>Sending</t>
  </si>
  <si>
    <t>ChartersTotalStudents</t>
  </si>
  <si>
    <t>Share of FRPL</t>
  </si>
  <si>
    <t>Sending Share of FRPL</t>
  </si>
  <si>
    <t>Total Formula Count DOE</t>
  </si>
  <si>
    <t>NEG. adj</t>
  </si>
  <si>
    <t>Adj DEL.</t>
  </si>
  <si>
    <t>Adj Foster</t>
  </si>
  <si>
    <t>Adj TANF</t>
  </si>
  <si>
    <t>BASIC Hold Harmless base (Prior year adjusted alloc)</t>
  </si>
  <si>
    <t>TARGETED Hold Harmless Base (Prior Year adjusted alloc)</t>
  </si>
  <si>
    <t>EFIG Hold Harmless base (Prior Year adjusted alloc)</t>
  </si>
  <si>
    <t>Adj Basic Allocation</t>
  </si>
  <si>
    <t>Adj Conc. Allocation</t>
  </si>
  <si>
    <t>Adj Targeted allocation</t>
  </si>
  <si>
    <t>Adj EFIG Allocation</t>
  </si>
  <si>
    <t>Adj Total Title I Allocation</t>
  </si>
  <si>
    <t>Allocation before School Improvement</t>
  </si>
  <si>
    <t>BASIC Hold Harmless Base</t>
  </si>
  <si>
    <t>Conc Hold Harmless Base</t>
  </si>
  <si>
    <t>Targeted Hold Harmless Base</t>
  </si>
  <si>
    <t>EFIG Hold Harmless Base</t>
  </si>
  <si>
    <t>Total Title I Allocation</t>
  </si>
  <si>
    <t>Initial adjusted formula count.Adj Total formula count</t>
  </si>
  <si>
    <t>Initial adjusted formula count.Adj poverty percentage</t>
  </si>
  <si>
    <t>Total Formula Count increase</t>
  </si>
  <si>
    <t>Initial adjusted allocations.BASIC Hold Harmless base (Prior year adjusted alloc</t>
  </si>
  <si>
    <t>Initial adjusted allocations.TARGETED Hold Harmless Base (Prior Year adjusted al</t>
  </si>
  <si>
    <t>Initial adjusted allocations.EFIG Hold Harmless base (Prior Year adjusted alloc)</t>
  </si>
  <si>
    <t>Initial adjusted allocations.Adj Basic Allocation</t>
  </si>
  <si>
    <t>Initial adjusted allocations.Adj Conc. Allocation</t>
  </si>
  <si>
    <t>Initial adjusted allocations.Adj Targeted allocation</t>
  </si>
  <si>
    <t>Initial adjusted allocations.Adj EFIG Allocation</t>
  </si>
  <si>
    <t>Initial adjusted allocations.Adj Total Title I Allocation</t>
  </si>
  <si>
    <t>New/Expanded Basic HH base</t>
  </si>
  <si>
    <t>New/Expanding Conc HH base</t>
  </si>
  <si>
    <t>New/Expanding Targeted HH Base</t>
  </si>
  <si>
    <t>New Expanding EFIG HH Base</t>
  </si>
  <si>
    <t>New Expanded total HH base</t>
  </si>
  <si>
    <t>Total Hold Harmless Base</t>
  </si>
  <si>
    <t>Retunring funds</t>
  </si>
  <si>
    <t>Eligibility Year</t>
  </si>
  <si>
    <t>Conc allocation</t>
  </si>
  <si>
    <t>Conc Hold Harmless Base ( 4 year lookback)</t>
  </si>
  <si>
    <t>Total Hold Harmless base</t>
  </si>
  <si>
    <t>Initial adjusted allocations.Conc Hold Harmless Base ( 4 year lookback)</t>
  </si>
  <si>
    <t>Initial adjusted allocations.Total Hold Harmless base</t>
  </si>
  <si>
    <t>Basic Hold Harmless base</t>
  </si>
  <si>
    <t>Current Year Total after School Improvment</t>
  </si>
  <si>
    <t>Set aside amount with returning funds added</t>
  </si>
  <si>
    <t>First Iteration: Hold Harmless Check</t>
  </si>
  <si>
    <t>Allocations to LEAs Above Hold harmless</t>
  </si>
  <si>
    <t>Adjusted Allocations to LEAs Above Hold harmless</t>
  </si>
  <si>
    <t>Allocations to All LEAs</t>
  </si>
  <si>
    <t>Third Iteration: Hold Harmless Check</t>
  </si>
  <si>
    <t>Fourth Iteration: Hold Harmless Check</t>
  </si>
  <si>
    <t>Fifth Iteration: Hold Harmless Check</t>
  </si>
  <si>
    <t>Conc. Hold Harmless Amount</t>
  </si>
  <si>
    <t>Prior Year's Targeted Allocation</t>
  </si>
  <si>
    <t>Targeted Hold Harmless Amount</t>
  </si>
  <si>
    <t>Prior Year's EFIG Allocation</t>
  </si>
  <si>
    <t>Current Year Conc Allocation</t>
  </si>
  <si>
    <t>Conc. Hold Harmless Base</t>
  </si>
  <si>
    <t>Prior Year Adjusted Formula counts.Adj Total formula count</t>
  </si>
  <si>
    <t>Net School Improvement taken out</t>
  </si>
  <si>
    <t>Aberdeen School District</t>
  </si>
  <si>
    <t>Whatcom Intergenerational</t>
  </si>
  <si>
    <t>Bellingham</t>
  </si>
  <si>
    <t>Pullman Community Montessori</t>
  </si>
  <si>
    <t>West Valley School District (Yakima)</t>
  </si>
  <si>
    <t>West Valley School District (Spokane)</t>
  </si>
  <si>
    <t>Columbia (Stevens) School District</t>
  </si>
  <si>
    <t>Columbia (Walla Walla) School District</t>
  </si>
  <si>
    <t>Kiona-Benton City School District</t>
  </si>
  <si>
    <t>Wenatchee</t>
  </si>
  <si>
    <t>BASIC GRANTS</t>
  </si>
  <si>
    <t>CONCENTRATION GRANTS</t>
  </si>
  <si>
    <t>TARGETED GRANTS</t>
  </si>
  <si>
    <t>EFIG GRANTS</t>
  </si>
  <si>
    <t>Pullman</t>
  </si>
  <si>
    <t>Catalyst Public Schools</t>
  </si>
  <si>
    <t>Why Not You (Cascade Midway)</t>
  </si>
  <si>
    <t>Impact Tacoma (Commencement Bay)</t>
  </si>
  <si>
    <t>Pinnacles Prep Wenatchee</t>
  </si>
  <si>
    <t>Walla Walla Public Schools</t>
  </si>
  <si>
    <t>Renton</t>
  </si>
  <si>
    <t>5307790</t>
  </si>
  <si>
    <t>Impact Renton</t>
  </si>
  <si>
    <t>5307795</t>
  </si>
  <si>
    <t>Rooted</t>
  </si>
  <si>
    <t>17919</t>
  </si>
  <si>
    <t>06901</t>
  </si>
  <si>
    <t>IMPACT RENTON CHARTER SCHOOL</t>
  </si>
  <si>
    <t>ROOTED CHARTER SCHOOL</t>
  </si>
  <si>
    <t>DISTRICT NAME</t>
  </si>
  <si>
    <t>&lt;&lt;- Select District from drop down</t>
  </si>
  <si>
    <t>LEAId</t>
  </si>
  <si>
    <t>5-17 population</t>
  </si>
  <si>
    <t xml:space="preserve">Total Formula Count </t>
  </si>
  <si>
    <t>Poverty percentage</t>
  </si>
  <si>
    <t>Basic Before State reservations</t>
  </si>
  <si>
    <t>Conc. Before State Reservation</t>
  </si>
  <si>
    <t>Targeted Before State Reservations</t>
  </si>
  <si>
    <t>EFIG Before State Reservations</t>
  </si>
  <si>
    <t>Total before State Reservations</t>
  </si>
  <si>
    <t xml:space="preserve">School improvement </t>
  </si>
  <si>
    <t>Total After School Improvement reallocation</t>
  </si>
  <si>
    <t>Net to District</t>
  </si>
  <si>
    <t>Prior Year</t>
  </si>
  <si>
    <t>118944852</t>
  </si>
  <si>
    <t>15164901</t>
  </si>
  <si>
    <t>72841469</t>
  </si>
  <si>
    <t>100327201</t>
  </si>
  <si>
    <t>307278423</t>
  </si>
  <si>
    <t>PRELIMINARY FISCAL YEAR 2024 TITLE I ALLOCATIONS FOR SCHOOL YEAR 2024-2025</t>
  </si>
  <si>
    <t>0.665479746</t>
  </si>
  <si>
    <t>4353</t>
  </si>
  <si>
    <t>11552</t>
  </si>
  <si>
    <t>2024</t>
  </si>
  <si>
    <t>10201.43256</t>
  </si>
  <si>
    <t>212189.7973</t>
  </si>
  <si>
    <t>673067.8505</t>
  </si>
  <si>
    <t>2856.575894</t>
  </si>
  <si>
    <t>54229.15745</t>
  </si>
  <si>
    <t>39577.77105</t>
  </si>
  <si>
    <t>6120.859537</t>
  </si>
  <si>
    <t>26070.32766</t>
  </si>
  <si>
    <t>173877.7505</t>
  </si>
  <si>
    <t>39518.37902</t>
  </si>
  <si>
    <t>39801.62412</t>
  </si>
  <si>
    <t>135112.3068</t>
  </si>
  <si>
    <t>9521.337057</t>
  </si>
  <si>
    <t>73223.61594</t>
  </si>
  <si>
    <t>31737.79019</t>
  </si>
  <si>
    <t>11334.92507</t>
  </si>
  <si>
    <t>2620.909543</t>
  </si>
  <si>
    <t>9067.940054</t>
  </si>
  <si>
    <t>16095.5936</t>
  </si>
  <si>
    <t>10663.68958</t>
  </si>
  <si>
    <t>18661.45676</t>
  </si>
  <si>
    <t>19234.27769</t>
  </si>
  <si>
    <t>187252.9621</t>
  </si>
  <si>
    <t>75490.60095</t>
  </si>
  <si>
    <t>4186.110399</t>
  </si>
  <si>
    <t>16322.2921</t>
  </si>
  <si>
    <t>107001.6926</t>
  </si>
  <si>
    <t>6961.019585</t>
  </si>
  <si>
    <t>3615.277163</t>
  </si>
  <si>
    <t>966869.1083</t>
  </si>
  <si>
    <t>7934.447547</t>
  </si>
  <si>
    <t>3047.014287</t>
  </si>
  <si>
    <t>51007.1628</t>
  </si>
  <si>
    <t>24030.04114</t>
  </si>
  <si>
    <t>149847.7094</t>
  </si>
  <si>
    <t>84331.8425</t>
  </si>
  <si>
    <t>9748.035558</t>
  </si>
  <si>
    <t>53500.84632</t>
  </si>
  <si>
    <t>26661.37501</t>
  </si>
  <si>
    <t>112442.4567</t>
  </si>
  <si>
    <t>4987.36703</t>
  </si>
  <si>
    <t>7254.352043</t>
  </si>
  <si>
    <t>33551.3782</t>
  </si>
  <si>
    <t>3853.874523</t>
  </si>
  <si>
    <t>26090.05983</t>
  </si>
  <si>
    <t>4146.990391</t>
  </si>
  <si>
    <t>18589.27711</t>
  </si>
  <si>
    <t>304682.7858</t>
  </si>
  <si>
    <t>13375.21158</t>
  </si>
  <si>
    <t>10854.9884</t>
  </si>
  <si>
    <t>18190.99987</t>
  </si>
  <si>
    <t>43299.41376</t>
  </si>
  <si>
    <t>5141.836609</t>
  </si>
  <si>
    <t>27657.21717</t>
  </si>
  <si>
    <t>10506.87061</t>
  </si>
  <si>
    <t>34911.56921</t>
  </si>
  <si>
    <t>4080.573024</t>
  </si>
  <si>
    <t>48286.78079</t>
  </si>
  <si>
    <t>28564.01117</t>
  </si>
  <si>
    <t>61888.69087</t>
  </si>
  <si>
    <t>15868.89509</t>
  </si>
  <si>
    <t>61661.99237</t>
  </si>
  <si>
    <t>37631.95122</t>
  </si>
  <si>
    <t>93853.17956</t>
  </si>
  <si>
    <t>16548.9906</t>
  </si>
  <si>
    <t>25843.62915</t>
  </si>
  <si>
    <t>45113.00177</t>
  </si>
  <si>
    <t>49281.93606</t>
  </si>
  <si>
    <t>94187.48398</t>
  </si>
  <si>
    <t>4307.271526</t>
  </si>
  <si>
    <t>8161.146049</t>
  </si>
  <si>
    <t>57643.58588</t>
  </si>
  <si>
    <t>171013.6769</t>
  </si>
  <si>
    <t>2473.61069</t>
  </si>
  <si>
    <t>14735.40259</t>
  </si>
  <si>
    <t>64123.60021</t>
  </si>
  <si>
    <t>108135.1851</t>
  </si>
  <si>
    <t>25616.93065</t>
  </si>
  <si>
    <t>20176.16662</t>
  </si>
  <si>
    <t>61612.42867</t>
  </si>
  <si>
    <t>4189.644644</t>
  </si>
  <si>
    <t>19496.07112</t>
  </si>
  <si>
    <t>161053.0764</t>
  </si>
  <si>
    <t>35818.36321</t>
  </si>
  <si>
    <t>21763.05613</t>
  </si>
  <si>
    <t>13148.51308</t>
  </si>
  <si>
    <t>5214.065531</t>
  </si>
  <si>
    <t>3627.176022</t>
  </si>
  <si>
    <t>31511.09169</t>
  </si>
  <si>
    <t>271811.5031</t>
  </si>
  <si>
    <t>19722.76962</t>
  </si>
  <si>
    <t>6347.558038</t>
  </si>
  <si>
    <t>65645.82217</t>
  </si>
  <si>
    <t>164356.4135</t>
  </si>
  <si>
    <t>9141.042861</t>
  </si>
  <si>
    <t>45793.09727</t>
  </si>
  <si>
    <t>15188.79959</t>
  </si>
  <si>
    <t>25163.53365</t>
  </si>
  <si>
    <t>79797.87248</t>
  </si>
  <si>
    <t>193373.8217</t>
  </si>
  <si>
    <t>40579.03174</t>
  </si>
  <si>
    <t>17002.3876</t>
  </si>
  <si>
    <t>973896.7618</t>
  </si>
  <si>
    <t>214313.7365</t>
  </si>
  <si>
    <t>187933.0576</t>
  </si>
  <si>
    <t>1.30880597</t>
  </si>
  <si>
    <t>1.000601161</t>
  </si>
  <si>
    <t>1.233834608</t>
  </si>
  <si>
    <t>1.524817817</t>
  </si>
  <si>
    <t>1.0227207</t>
  </si>
  <si>
    <t>0.696207848</t>
  </si>
  <si>
    <t>2.060026618</t>
  </si>
  <si>
    <t>1.037519501</t>
  </si>
  <si>
    <t>1.19869384</t>
  </si>
  <si>
    <t>0.970387216</t>
  </si>
  <si>
    <t>0.862104539</t>
  </si>
  <si>
    <t>0.807868617</t>
  </si>
  <si>
    <t>1.122772277</t>
  </si>
  <si>
    <t>0.949200852</t>
  </si>
  <si>
    <t>1.095231753</t>
  </si>
  <si>
    <t>1.300516902</t>
  </si>
  <si>
    <t>3.115325875</t>
  </si>
  <si>
    <t>1.328385121</t>
  </si>
  <si>
    <t>1.04946102</t>
  </si>
  <si>
    <t>1.347040652</t>
  </si>
  <si>
    <t>2680</t>
  </si>
  <si>
    <t>4983</t>
  </si>
  <si>
    <t>11114</t>
  </si>
  <si>
    <t>18062</t>
  </si>
  <si>
    <t>1010</t>
  </si>
  <si>
    <t>2827</t>
  </si>
  <si>
    <t>6694</t>
  </si>
  <si>
    <t>14935</t>
  </si>
  <si>
    <t>11719</t>
  </si>
  <si>
    <t>51321</t>
  </si>
  <si>
    <t>2564</t>
  </si>
  <si>
    <t>3614</t>
  </si>
  <si>
    <t>18029</t>
  </si>
  <si>
    <t>30401</t>
  </si>
  <si>
    <t>15838</t>
  </si>
  <si>
    <t>28110</t>
  </si>
  <si>
    <t>9385</t>
  </si>
  <si>
    <t>22166</t>
  </si>
  <si>
    <t>4362</t>
  </si>
  <si>
    <t>7359</t>
  </si>
  <si>
    <t>215118.0144</t>
  </si>
  <si>
    <t>4083.026105</t>
  </si>
  <si>
    <t>10349.2129</t>
  </si>
  <si>
    <t>684193.2518</t>
  </si>
  <si>
    <t>12983.558</t>
  </si>
  <si>
    <t>16144.8954</t>
  </si>
  <si>
    <t>16826.20422</t>
  </si>
  <si>
    <t>12055.35973</t>
  </si>
  <si>
    <t>23629.284</t>
  </si>
  <si>
    <t>1363690.079</t>
  </si>
  <si>
    <t>104044.4343</t>
  </si>
  <si>
    <t>Basic Before State Reservations</t>
  </si>
  <si>
    <t>Concentration Before State Reservations</t>
  </si>
  <si>
    <t>Total Before State Reservations</t>
  </si>
  <si>
    <t>Allocation after School Improvemnt HH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</si>
</sst>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"/>
    <numFmt numFmtId="167" formatCode="_(&quot;$&quot;* #,##0.0000_);_(&quot;$&quot;* \(#,##0.0000\);_(&quot;$&quot;* &quot;-&quot;??_);_(@_)"/>
    <numFmt numFmtId="168" formatCode="_(&quot;$&quot;* #,##0.00000_);_(&quot;$&quot;* \(#,##0.00000\);_(&quot;$&quot;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3">
    <xf numFmtId="0" fontId="0" fillId="0" borderId="0" xfId="0"/>
    <xf numFmtId="2" fontId="4" fillId="0" borderId="0" xfId="2" applyNumberFormat="1"/>
    <xf numFmtId="0" fontId="4" fillId="0" borderId="0" xfId="2"/>
    <xf numFmtId="0" fontId="6" fillId="0" borderId="0" xfId="2" applyFont="1" applyAlignment="1">
      <alignment horizontal="center"/>
    </xf>
    <xf numFmtId="0" fontId="4" fillId="0" borderId="0" xfId="2" applyAlignment="1">
      <alignment horizontal="center"/>
    </xf>
    <xf numFmtId="49" fontId="4" fillId="0" borderId="0" xfId="2" applyNumberFormat="1" applyAlignment="1">
      <alignment horizontal="center"/>
    </xf>
    <xf numFmtId="0" fontId="4" fillId="0" borderId="0" xfId="2" applyAlignment="1">
      <alignment horizontal="left"/>
    </xf>
    <xf numFmtId="0" fontId="4" fillId="0" borderId="0" xfId="2" quotePrefix="1" applyAlignment="1">
      <alignment horizontal="left"/>
    </xf>
    <xf numFmtId="0" fontId="4" fillId="0" borderId="0" xfId="2" quotePrefix="1" applyAlignment="1">
      <alignment horizontal="center"/>
    </xf>
    <xf numFmtId="0" fontId="8" fillId="0" borderId="0" xfId="2" applyFont="1"/>
    <xf numFmtId="0" fontId="5" fillId="2" borderId="7" xfId="2" applyFont="1" applyFill="1" applyBorder="1" applyAlignment="1">
      <alignment horizontal="left"/>
    </xf>
    <xf numFmtId="0" fontId="0" fillId="3" borderId="0" xfId="0" applyFill="1"/>
    <xf numFmtId="4" fontId="0" fillId="4" borderId="0" xfId="0" applyNumberFormat="1" applyFill="1"/>
    <xf numFmtId="43" fontId="0" fillId="4" borderId="0" xfId="8" applyFont="1" applyFill="1"/>
    <xf numFmtId="2" fontId="4" fillId="0" borderId="0" xfId="2" applyNumberFormat="1" applyAlignment="1">
      <alignment horizontal="left" vertical="top"/>
    </xf>
    <xf numFmtId="49" fontId="4" fillId="0" borderId="0" xfId="2" applyNumberFormat="1" applyAlignment="1">
      <alignment horizontal="left" vertical="top"/>
    </xf>
    <xf numFmtId="0" fontId="6" fillId="0" borderId="0" xfId="2" applyFont="1" applyAlignment="1">
      <alignment horizontal="left" vertical="top"/>
    </xf>
    <xf numFmtId="0" fontId="5" fillId="6" borderId="1" xfId="0" applyFont="1" applyFill="1" applyBorder="1" applyAlignment="1">
      <alignment horizontal="left" vertical="top" wrapText="1"/>
    </xf>
    <xf numFmtId="0" fontId="5" fillId="6" borderId="0" xfId="0" applyFont="1" applyFill="1" applyAlignment="1">
      <alignment horizontal="left" vertical="top" wrapText="1"/>
    </xf>
    <xf numFmtId="3" fontId="5" fillId="2" borderId="0" xfId="0" applyNumberFormat="1" applyFont="1" applyFill="1" applyAlignment="1">
      <alignment horizontal="left" vertical="top" wrapText="1"/>
    </xf>
    <xf numFmtId="0" fontId="6" fillId="0" borderId="2" xfId="2" applyFont="1" applyBorder="1" applyAlignment="1">
      <alignment horizontal="left" vertical="top" wrapText="1"/>
    </xf>
    <xf numFmtId="0" fontId="6" fillId="0" borderId="3" xfId="2" applyFont="1" applyBorder="1" applyAlignment="1">
      <alignment horizontal="left" vertical="top"/>
    </xf>
    <xf numFmtId="0" fontId="6" fillId="0" borderId="4" xfId="2" applyFont="1" applyBorder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3" fillId="7" borderId="0" xfId="0" applyFont="1" applyFill="1" applyAlignment="1">
      <alignment horizontal="left" vertical="top" wrapText="1"/>
    </xf>
    <xf numFmtId="0" fontId="0" fillId="0" borderId="0" xfId="0" applyAlignment="1">
      <alignment horizontal="left" vertical="top"/>
    </xf>
    <xf numFmtId="0" fontId="3" fillId="0" borderId="0" xfId="0" applyFont="1"/>
    <xf numFmtId="43" fontId="3" fillId="0" borderId="0" xfId="8" applyFont="1"/>
    <xf numFmtId="43" fontId="0" fillId="0" borderId="0" xfId="0" applyNumberFormat="1"/>
    <xf numFmtId="10" fontId="0" fillId="0" borderId="0" xfId="0" applyNumberFormat="1"/>
    <xf numFmtId="3" fontId="0" fillId="0" borderId="0" xfId="0" applyNumberFormat="1"/>
    <xf numFmtId="2" fontId="0" fillId="0" borderId="0" xfId="0" applyNumberFormat="1"/>
    <xf numFmtId="10" fontId="0" fillId="0" borderId="0" xfId="1" applyNumberFormat="1" applyFont="1"/>
    <xf numFmtId="0" fontId="5" fillId="0" borderId="0" xfId="0" applyFont="1" applyAlignment="1">
      <alignment horizontal="left" vertical="top" wrapText="1"/>
    </xf>
    <xf numFmtId="164" fontId="5" fillId="0" borderId="0" xfId="8" applyNumberFormat="1" applyFont="1" applyAlignment="1">
      <alignment horizontal="left" vertical="top" wrapText="1"/>
    </xf>
    <xf numFmtId="3" fontId="5" fillId="0" borderId="0" xfId="0" applyNumberFormat="1" applyFont="1" applyAlignment="1">
      <alignment horizontal="left" vertical="top" wrapText="1"/>
    </xf>
    <xf numFmtId="165" fontId="5" fillId="0" borderId="0" xfId="0" applyNumberFormat="1" applyFont="1" applyAlignment="1">
      <alignment horizontal="left" vertical="top" wrapText="1"/>
    </xf>
    <xf numFmtId="165" fontId="5" fillId="0" borderId="0" xfId="1" applyNumberFormat="1" applyFont="1" applyAlignment="1">
      <alignment horizontal="left" vertical="top" wrapText="1"/>
    </xf>
    <xf numFmtId="164" fontId="4" fillId="0" borderId="0" xfId="8" applyNumberFormat="1" applyFont="1"/>
    <xf numFmtId="164" fontId="4" fillId="0" borderId="0" xfId="8" applyNumberFormat="1" applyFont="1" applyAlignment="1">
      <alignment horizontal="center"/>
    </xf>
    <xf numFmtId="44" fontId="0" fillId="4" borderId="0" xfId="0" applyNumberFormat="1" applyFill="1"/>
    <xf numFmtId="166" fontId="3" fillId="0" borderId="0" xfId="0" applyNumberFormat="1" applyFont="1"/>
    <xf numFmtId="4" fontId="0" fillId="0" borderId="0" xfId="0" applyNumberFormat="1"/>
    <xf numFmtId="167" fontId="0" fillId="4" borderId="0" xfId="0" applyNumberFormat="1" applyFill="1"/>
    <xf numFmtId="44" fontId="0" fillId="0" borderId="0" xfId="0" applyNumberFormat="1"/>
    <xf numFmtId="166" fontId="0" fillId="0" borderId="0" xfId="0" applyNumberFormat="1"/>
    <xf numFmtId="44" fontId="0" fillId="0" borderId="0" xfId="0" applyNumberFormat="1" applyAlignment="1">
      <alignment horizontal="left" vertical="top"/>
    </xf>
    <xf numFmtId="164" fontId="0" fillId="0" borderId="0" xfId="0" applyNumberFormat="1"/>
    <xf numFmtId="0" fontId="0" fillId="0" borderId="8" xfId="0" applyBorder="1"/>
    <xf numFmtId="1" fontId="0" fillId="0" borderId="0" xfId="0" applyNumberFormat="1"/>
    <xf numFmtId="43" fontId="3" fillId="0" borderId="0" xfId="0" applyNumberFormat="1" applyFont="1" applyAlignment="1">
      <alignment horizontal="left"/>
    </xf>
    <xf numFmtId="43" fontId="0" fillId="0" borderId="0" xfId="1" applyNumberFormat="1" applyFont="1"/>
    <xf numFmtId="0" fontId="0" fillId="2" borderId="0" xfId="0" applyFill="1"/>
    <xf numFmtId="0" fontId="5" fillId="0" borderId="5" xfId="2" applyFont="1" applyBorder="1"/>
    <xf numFmtId="0" fontId="5" fillId="0" borderId="6" xfId="2" applyFont="1" applyBorder="1" applyAlignment="1">
      <alignment horizontal="left"/>
    </xf>
    <xf numFmtId="0" fontId="5" fillId="0" borderId="6" xfId="2" applyFont="1" applyBorder="1"/>
    <xf numFmtId="0" fontId="4" fillId="0" borderId="6" xfId="2" applyBorder="1"/>
    <xf numFmtId="0" fontId="9" fillId="0" borderId="6" xfId="2" applyFont="1" applyBorder="1"/>
    <xf numFmtId="0" fontId="4" fillId="0" borderId="6" xfId="2" quotePrefix="1" applyBorder="1" applyAlignment="1">
      <alignment horizontal="left"/>
    </xf>
    <xf numFmtId="0" fontId="7" fillId="0" borderId="6" xfId="2" applyFont="1" applyBorder="1" applyAlignment="1">
      <alignment horizontal="left"/>
    </xf>
    <xf numFmtId="0" fontId="5" fillId="0" borderId="0" xfId="2" applyFont="1"/>
    <xf numFmtId="0" fontId="5" fillId="0" borderId="0" xfId="2" applyFont="1" applyAlignment="1">
      <alignment horizontal="left"/>
    </xf>
    <xf numFmtId="43" fontId="0" fillId="0" borderId="0" xfId="8" applyFont="1" applyFill="1" applyBorder="1"/>
    <xf numFmtId="0" fontId="9" fillId="0" borderId="0" xfId="2" applyFont="1"/>
    <xf numFmtId="0" fontId="7" fillId="0" borderId="0" xfId="2" applyFont="1" applyAlignment="1">
      <alignment horizontal="left"/>
    </xf>
    <xf numFmtId="168" fontId="0" fillId="0" borderId="9" xfId="0" applyNumberFormat="1" applyBorder="1" applyAlignment="1">
      <alignment horizontal="right" vertical="top"/>
    </xf>
    <xf numFmtId="44" fontId="0" fillId="0" borderId="10" xfId="0" applyNumberFormat="1" applyBorder="1" applyAlignment="1">
      <alignment horizontal="right" vertical="top"/>
    </xf>
    <xf numFmtId="44" fontId="0" fillId="0" borderId="10" xfId="0" quotePrefix="1" applyNumberFormat="1" applyBorder="1" applyAlignment="1">
      <alignment horizontal="right" vertical="top"/>
    </xf>
    <xf numFmtId="167" fontId="0" fillId="0" borderId="10" xfId="1" applyNumberFormat="1" applyFont="1" applyFill="1" applyBorder="1" applyAlignment="1">
      <alignment horizontal="right" vertical="top"/>
    </xf>
    <xf numFmtId="44" fontId="0" fillId="0" borderId="10" xfId="1" applyNumberFormat="1" applyFont="1" applyFill="1" applyBorder="1" applyAlignment="1">
      <alignment horizontal="right" vertical="top"/>
    </xf>
    <xf numFmtId="44" fontId="3" fillId="2" borderId="11" xfId="0" applyNumberFormat="1" applyFont="1" applyFill="1" applyBorder="1" applyAlignment="1">
      <alignment horizontal="right" vertical="top"/>
    </xf>
    <xf numFmtId="0" fontId="10" fillId="0" borderId="0" xfId="0" applyFont="1"/>
    <xf numFmtId="0" fontId="0" fillId="0" borderId="0" xfId="8" applyNumberFormat="1" applyFont="1" applyAlignment="1">
      <alignment horizontal="right"/>
    </xf>
    <xf numFmtId="44" fontId="0" fillId="0" borderId="0" xfId="9" applyFont="1"/>
    <xf numFmtId="0" fontId="12" fillId="0" borderId="12" xfId="0" applyFont="1" applyBorder="1"/>
    <xf numFmtId="44" fontId="12" fillId="0" borderId="14" xfId="0" applyNumberFormat="1" applyFont="1" applyBorder="1"/>
    <xf numFmtId="0" fontId="3" fillId="5" borderId="0" xfId="0" applyFont="1" applyFill="1" applyAlignment="1">
      <alignment horizontal="center" vertical="top" wrapText="1"/>
    </xf>
    <xf numFmtId="1" fontId="0" fillId="0" borderId="0" xfId="0" applyNumberFormat="1" applyAlignment="1">
      <alignment horizontal="right"/>
    </xf>
    <xf numFmtId="0" fontId="11" fillId="8" borderId="12" xfId="0" applyFont="1" applyFill="1" applyBorder="1" applyAlignment="1">
      <alignment horizontal="center"/>
    </xf>
    <xf numFmtId="0" fontId="11" fillId="8" borderId="13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</cellXfs>
  <cellStyles count="10">
    <cellStyle name="Comma" xfId="8" builtinId="3"/>
    <cellStyle name="Comma 2" xfId="3" xr:uid="{58667097-F9FC-467E-A96D-246981B5FC30}"/>
    <cellStyle name="Comma 3" xfId="6" xr:uid="{DF7BBE39-D694-4DB0-9074-AB80CF4D9198}"/>
    <cellStyle name="Currency 2" xfId="5" xr:uid="{74D298F3-93FB-4E59-9406-E8A6E2C548E2}"/>
    <cellStyle name="Currency 3" xfId="9" xr:uid="{0F77E0BA-6282-44D4-B838-2FF072193B39}"/>
    <cellStyle name="Normal" xfId="0" builtinId="0"/>
    <cellStyle name="Normal 2" xfId="2" xr:uid="{C7484222-43CD-4219-884F-C54E354A094A}"/>
    <cellStyle name="Normal 2 3" xfId="7" xr:uid="{6F744759-43BF-474B-8995-B842CA4C44C9}"/>
    <cellStyle name="Percent" xfId="1" builtinId="5"/>
    <cellStyle name="Percent 2" xfId="4" xr:uid="{6C9C1323-1BA1-4700-83F1-FCAE340F09FB}"/>
  </cellStyles>
  <dxfs count="7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4" formatCode="0.00%"/>
    </dxf>
    <dxf>
      <numFmt numFmtId="14" formatCode="0.0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4.xml"/><Relationship Id="rId39" Type="http://schemas.openxmlformats.org/officeDocument/2006/relationships/customXml" Target="../customXml/item17.xml"/><Relationship Id="rId21" Type="http://schemas.openxmlformats.org/officeDocument/2006/relationships/powerPivotData" Target="model/item.data"/><Relationship Id="rId34" Type="http://schemas.openxmlformats.org/officeDocument/2006/relationships/customXml" Target="../customXml/item1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3.xml"/><Relationship Id="rId33" Type="http://schemas.openxmlformats.org/officeDocument/2006/relationships/customXml" Target="../customXml/item11.xml"/><Relationship Id="rId38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29" Type="http://schemas.openxmlformats.org/officeDocument/2006/relationships/customXml" Target="../customXml/item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32" Type="http://schemas.openxmlformats.org/officeDocument/2006/relationships/customXml" Target="../customXml/item10.xml"/><Relationship Id="rId37" Type="http://schemas.openxmlformats.org/officeDocument/2006/relationships/customXml" Target="../customXml/item15.xml"/><Relationship Id="rId40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28" Type="http://schemas.openxmlformats.org/officeDocument/2006/relationships/customXml" Target="../customXml/item6.xml"/><Relationship Id="rId36" Type="http://schemas.openxmlformats.org/officeDocument/2006/relationships/customXml" Target="../customXml/item1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Relationship Id="rId30" Type="http://schemas.openxmlformats.org/officeDocument/2006/relationships/customXml" Target="../customXml/item8.xml"/><Relationship Id="rId35" Type="http://schemas.openxmlformats.org/officeDocument/2006/relationships/customXml" Target="../customXml/item1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3" xr16:uid="{77E29913-A648-42BE-A77B-0E8F85DF31DF}" autoFormatId="16" applyNumberFormats="0" applyBorderFormats="0" applyFontFormats="0" applyPatternFormats="0" applyAlignmentFormats="0" applyWidthHeightFormats="0">
  <queryTableRefresh nextId="33">
    <queryTableFields count="7">
      <queryTableField id="10" name="Column1" tableColumnId="1"/>
      <queryTableField id="21" name="BASIC GRANTS" tableColumnId="2"/>
      <queryTableField id="22" name="CONCENTRATION GRANTS" tableColumnId="3"/>
      <queryTableField id="23" name="TARGETED GRANTS" tableColumnId="4"/>
      <queryTableField id="24" name="EFIG GRANTS" tableColumnId="5"/>
      <queryTableField id="31" name="TOTAL LEA GRANTS" tableColumnId="8"/>
      <queryTableField id="20" name="Rev Fin  T-I State Adm  1004(b).TITLE I, PART A TOTAL LEA GRANTS" tableColumnId="7"/>
    </queryTableFields>
  </queryTableRefresh>
  <extLst>
    <ext xmlns:x15="http://schemas.microsoft.com/office/spreadsheetml/2010/11/main" uri="{883FBD77-0823-4a55-B5E3-86C4891E6966}">
      <x15:queryTable sourceDataName="Query - Assumptions"/>
    </ext>
  </extLst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backgroundRefresh="0" connectionId="10" xr16:uid="{5CB1711B-989C-481E-AF6B-B76D25F53936}" autoFormatId="16" applyNumberFormats="0" applyBorderFormats="0" applyFontFormats="0" applyPatternFormats="0" applyAlignmentFormats="0" applyWidthHeightFormats="0">
  <queryTableRefresh nextId="11">
    <queryTableFields count="5">
      <queryTableField id="1" name="LEAID" tableColumnId="1"/>
      <queryTableField id="2" name="LEANAME" tableColumnId="2"/>
      <queryTableField id="3" name="Conc. Eligigibility" tableColumnId="3"/>
      <queryTableField id="4" name="Eligibility Year" tableColumnId="4"/>
      <queryTableField id="6" name="Conc allocation" tableColumnId="6"/>
    </queryTableFields>
  </queryTableRefresh>
  <extLst>
    <ext xmlns:x15="http://schemas.microsoft.com/office/spreadsheetml/2010/11/main" uri="{883FBD77-0823-4a55-B5E3-86C4891E6966}">
      <x15:queryTable sourceDataName="Query - Conc eligibility year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backgroundRefresh="0" connectionId="9" xr16:uid="{DACDF6D1-3187-4684-9C1B-F2EF9D1DF51C}" autoFormatId="16" applyNumberFormats="0" applyBorderFormats="0" applyFontFormats="0" applyPatternFormats="0" applyAlignmentFormats="0" applyWidthHeightFormats="0">
  <queryTableRefresh nextId="6">
    <queryTableFields count="1">
      <queryTableField id="5" name="Column1" tableColumnId="2"/>
    </queryTableFields>
  </queryTableRefresh>
  <extLst>
    <ext xmlns:x15="http://schemas.microsoft.com/office/spreadsheetml/2010/11/main" uri="{883FBD77-0823-4a55-B5E3-86C4891E6966}">
      <x15:queryTable sourceDataName="Query - Title"/>
    </ext>
  </extLst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8" xr16:uid="{C26CC77E-7AAF-4FF5-83EA-7F9D6E358B11}" autoFormatId="16" applyNumberFormats="0" applyBorderFormats="0" applyFontFormats="0" applyPatternFormats="0" applyAlignmentFormats="0" applyWidthHeightFormats="0">
  <queryTableRefresh nextId="19">
    <queryTableFields count="12">
      <queryTableField id="1" name="LEAID" tableColumnId="1"/>
      <queryTableField id="2" name="LEANAME" tableColumnId="2"/>
      <queryTableField id="3" name="BASIC Hold Harmless Base" tableColumnId="3"/>
      <queryTableField id="4" name="Conc Hold Harmless Base" tableColumnId="4"/>
      <queryTableField id="5" name="Targeted Hold Harmless Base" tableColumnId="5"/>
      <queryTableField id="6" name="EFIG Hold Harmless Base" tableColumnId="6"/>
      <queryTableField id="13" name="Total Hold Harmless Base" tableColumnId="12"/>
      <queryTableField id="15" name="Basic Allocation" tableColumnId="7"/>
      <queryTableField id="8" name="Conc. Allocation" tableColumnId="8"/>
      <queryTableField id="9" name="Targeted Allocation" tableColumnId="9"/>
      <queryTableField id="10" name="EFIG Allocation" tableColumnId="10"/>
      <queryTableField id="11" name="Total Title I Allocation" tableColumnId="11"/>
    </queryTableFields>
  </queryTableRefresh>
  <extLst>
    <ext xmlns:x15="http://schemas.microsoft.com/office/spreadsheetml/2010/11/main" uri="{883FBD77-0823-4a55-B5E3-86C4891E6966}">
      <x15:queryTable sourceDataName="Query - Model allocations"/>
    </ext>
  </extLst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7" xr16:uid="{F562F35B-A02E-4AA2-A36F-7D5DEFCDDA15}" autoFormatId="16" applyNumberFormats="0" applyBorderFormats="0" applyFontFormats="0" applyPatternFormats="0" applyAlignmentFormats="0" applyWidthHeightFormats="0">
  <queryTableRefresh nextId="18">
    <queryTableFields count="12">
      <queryTableField id="1" name="LEAID" tableColumnId="1"/>
      <queryTableField id="2" name="LEANAME" tableColumnId="2"/>
      <queryTableField id="3" name="BASIC Hold Harmless base (Prior year adjusted alloc)" tableColumnId="3"/>
      <queryTableField id="13" name="Conc Hold Harmless Base ( 4 year lookback)" tableColumnId="4"/>
      <queryTableField id="5" name="TARGETED Hold Harmless Base (Prior Year adjusted alloc)" tableColumnId="5"/>
      <queryTableField id="6" name="EFIG Hold Harmless base (Prior Year adjusted alloc)" tableColumnId="6"/>
      <queryTableField id="7" name="Total Hold harmless base" tableColumnId="7"/>
      <queryTableField id="8" name="Adj Basic Allocation" tableColumnId="8"/>
      <queryTableField id="9" name="Adj Conc. Allocation" tableColumnId="9"/>
      <queryTableField id="10" name="Adj Targeted allocation" tableColumnId="10"/>
      <queryTableField id="11" name="Adj EFIG Allocation" tableColumnId="11"/>
      <queryTableField id="12" name="Adj Total Title I Allocation" tableColumnId="12"/>
    </queryTableFields>
  </queryTableRefresh>
  <extLst>
    <ext xmlns:x15="http://schemas.microsoft.com/office/spreadsheetml/2010/11/main" uri="{883FBD77-0823-4a55-B5E3-86C4891E6966}">
      <x15:queryTable sourceDataName="Query - Initial adjusted allocations"/>
    </ext>
  </extLst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5" xr16:uid="{AA3A86F7-173F-472C-A015-A89063E9AA53}" autoFormatId="16" applyNumberFormats="0" applyBorderFormats="0" applyFontFormats="0" applyPatternFormats="0" applyAlignmentFormats="0" applyWidthHeightFormats="0">
  <queryTableRefresh nextId="61">
    <queryTableFields count="16">
      <queryTableField id="1" name="LEAid" tableColumnId="1"/>
      <queryTableField id="30" name="LEANAME" tableColumnId="2"/>
      <queryTableField id="36" name="SendingLEAid" tableColumnId="5"/>
      <queryTableField id="41" name="NEG. adj" tableColumnId="3"/>
      <queryTableField id="42" name="Adj DEL." tableColumnId="4"/>
      <queryTableField id="43" name="Adj Foster" tableColumnId="7"/>
      <queryTableField id="44" name="Adj TANF" tableColumnId="8"/>
      <queryTableField id="21" name="Adj - 5-17 pop" tableColumnId="21"/>
      <queryTableField id="22" name="Adj poverty" tableColumnId="22"/>
      <queryTableField id="23" name="Adj Total formula count" tableColumnId="23"/>
      <queryTableField id="37" name="Total Formula Count DOE" tableColumnId="6"/>
      <queryTableField id="24" name="Adj poverty percentage" tableColumnId="24"/>
      <queryTableField id="25" name="BASIC eligibility" tableColumnId="25"/>
      <queryTableField id="26" name="Conc. Eligigibility" tableColumnId="26"/>
      <queryTableField id="27" name="Targeted Eligibility" tableColumnId="27"/>
      <queryTableField id="28" name="EFIG eligibility" tableColumnId="28"/>
    </queryTableFields>
  </queryTableRefresh>
  <extLst>
    <ext xmlns:x15="http://schemas.microsoft.com/office/spreadsheetml/2010/11/main" uri="{883FBD77-0823-4a55-B5E3-86C4891E6966}">
      <x15:queryTable sourceDataName="Query - Initial adjusted formula count"/>
    </ext>
  </extLst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4" xr16:uid="{F3E6E355-E8AF-4050-983B-95B550ED6E3B}" autoFormatId="16" applyNumberFormats="0" applyBorderFormats="0" applyFontFormats="0" applyPatternFormats="0" applyAlignmentFormats="0" applyWidthHeightFormats="0">
  <queryTableRefresh nextId="56">
    <queryTableFields count="25">
      <queryTableField id="1" name="CCDDD" tableColumnId="1"/>
      <queryTableField id="2" name="DistrictName" tableColumnId="2"/>
      <queryTableField id="3" name="SendingLEAid" tableColumnId="3"/>
      <queryTableField id="4" name="LEAid" tableColumnId="4"/>
      <queryTableField id="6" name="IsNew" tableColumnId="6"/>
      <queryTableField id="5" name="IsExpanded" tableColumnId="5"/>
      <queryTableField id="7" name="Initial adjusted formula count.Adj Total formula count" tableColumnId="7"/>
      <queryTableField id="8" name="Initial adjusted formula count.Adj poverty percentage" tableColumnId="8"/>
      <queryTableField id="39" name="Prior Year Adjusted Formula counts.Adj Total formula count" tableColumnId="9"/>
      <queryTableField id="10" name="Total Formula Count increase" tableColumnId="10"/>
      <queryTableField id="11" name="Initial adjusted allocations.BASIC Hold Harmless base (Prior year adjusted alloc" tableColumnId="11"/>
      <queryTableField id="13" name="Initial adjusted allocations.TARGETED Hold Harmless Base (Prior Year adjusted al" tableColumnId="13"/>
      <queryTableField id="37" name="Initial adjusted allocations.Conc Hold Harmless Base ( 4 year lookback)" tableColumnId="12"/>
      <queryTableField id="14" name="Initial adjusted allocations.EFIG Hold Harmless base (Prior Year adjusted alloc)" tableColumnId="14"/>
      <queryTableField id="15" name="Initial adjusted allocations.Total Hold harmless base" tableColumnId="15"/>
      <queryTableField id="16" name="Initial adjusted allocations.Adj Basic Allocation" tableColumnId="16"/>
      <queryTableField id="17" name="Initial adjusted allocations.Adj Conc. Allocation" tableColumnId="17"/>
      <queryTableField id="18" name="Initial adjusted allocations.Adj Targeted allocation" tableColumnId="18"/>
      <queryTableField id="19" name="Initial adjusted allocations.Adj EFIG Allocation" tableColumnId="19"/>
      <queryTableField id="20" name="Initial adjusted allocations.Adj Total Title I Allocation" tableColumnId="20"/>
      <queryTableField id="21" name="New/Expanded Basic HH base" tableColumnId="21"/>
      <queryTableField id="22" name="New/Expanding Conc HH base" tableColumnId="22"/>
      <queryTableField id="23" name="New/Expanding Targeted HH Base" tableColumnId="23"/>
      <queryTableField id="24" name="New Expanding EFIG HH Base" tableColumnId="24"/>
      <queryTableField id="25" name="New Expanded total HH base" tableColumnId="25"/>
    </queryTableFields>
  </queryTableRefresh>
  <extLst>
    <ext xmlns:x15="http://schemas.microsoft.com/office/spreadsheetml/2010/11/main" uri="{883FBD77-0823-4a55-B5E3-86C4891E6966}">
      <x15:queryTable sourceDataName="Query - New or Expanded HH check"/>
    </ext>
  </extLst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6" xr16:uid="{09C07932-8235-4A40-B9C4-4EA9B21234FB}" autoFormatId="16" applyNumberFormats="0" applyBorderFormats="0" applyFontFormats="0" applyPatternFormats="0" applyAlignmentFormats="0" applyWidthHeightFormats="0">
  <queryTableRefresh nextId="25">
    <queryTableFields count="9">
      <queryTableField id="1" name="CCDDD" tableColumnId="1"/>
      <queryTableField id="2" name="DistrictName" tableColumnId="2"/>
      <queryTableField id="3" name="SendingLEAid" tableColumnId="3"/>
      <queryTableField id="4" name="DistrictType" tableColumnId="4"/>
      <queryTableField id="5" name="LEAid" tableColumnId="5"/>
      <queryTableField id="7" name="IsNew" tableColumnId="7"/>
      <queryTableField id="6" name="IsExpanded" tableColumnId="6"/>
      <queryTableField id="8" name="poverty Multiplier" tableColumnId="8"/>
      <queryTableField id="9" name="Enrollment multiplier" tableColumnId="9"/>
    </queryTableFields>
  </queryTableRefresh>
  <extLst>
    <ext xmlns:x15="http://schemas.microsoft.com/office/spreadsheetml/2010/11/main" uri="{883FBD77-0823-4a55-B5E3-86C4891E6966}">
      <x15:queryTable sourceDataName="Query - Multipliers"/>
    </ext>
  </extLst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2F5B8B09-CED2-4B28-B5CC-1DB4F66706A7}" autoFormatId="16" applyNumberFormats="0" applyBorderFormats="0" applyFontFormats="0" applyPatternFormats="0" applyAlignmentFormats="0" applyWidthHeightFormats="0">
  <queryTableRefresh nextId="55">
    <queryTableFields count="19">
      <queryTableField id="1" name="CCDDD" tableColumnId="1"/>
      <queryTableField id="2" name="Charter/Tribal" tableColumnId="2"/>
      <queryTableField id="3" name="Sending District" tableColumnId="3"/>
      <queryTableField id="4" name="Sending District CCDDD" tableColumnId="4"/>
      <queryTableField id="5" name="LEAID" tableColumnId="5"/>
      <queryTableField id="6" name="IsNew" tableColumnId="6"/>
      <queryTableField id="17" name="IsExpanded" tableColumnId="7"/>
      <queryTableField id="24" name="FRPL.TotalStudents" tableColumnId="9"/>
      <queryTableField id="8" name="TotalStudentsInPoverty" tableColumnId="8"/>
      <queryTableField id="25" name="SendingTotalStudents" tableColumnId="10"/>
      <queryTableField id="11" name="SendingTotalStudentsInPoverty" tableColumnId="11"/>
      <queryTableField id="16" name="SendingLEAId" tableColumnId="17"/>
      <queryTableField id="33" name="ChartersTotalStudents" tableColumnId="20"/>
      <queryTableField id="21" name="Sum of Charters RFPL+Sending RFPL" tableColumnId="12"/>
      <queryTableField id="34" name="Share of FRPL" tableColumnId="21"/>
      <queryTableField id="35" name="Sending Share of FRPL" tableColumnId="22"/>
      <queryTableField id="27" name="Sum of charter total students + Sending total students" tableColumnId="15"/>
      <queryTableField id="28" name="Share of Total Enrollment" tableColumnId="16"/>
      <queryTableField id="29" name="Sending Share of Total enrollment" tableColumnId="19"/>
    </queryTableFields>
  </queryTableRefresh>
  <extLst>
    <ext xmlns:x15="http://schemas.microsoft.com/office/spreadsheetml/2010/11/main" uri="{883FBD77-0823-4a55-B5E3-86C4891E6966}">
      <x15:queryTable sourceDataName="Query - Split Calc"/>
    </ext>
  </extLst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2" xr16:uid="{714762AA-6969-417F-AE38-B3B316E8E3A3}" autoFormatId="16" applyNumberFormats="0" applyBorderFormats="0" applyFontFormats="0" applyPatternFormats="0" applyAlignmentFormats="0" applyWidthHeightFormats="0">
  <queryTableRefresh nextId="55">
    <queryTableFields count="15">
      <queryTableField id="1" name="LEAID" tableColumnId="1"/>
      <queryTableField id="12" name="LEANAME" tableColumnId="3"/>
      <queryTableField id="39" name="Basic Before State Reservations" tableColumnId="15"/>
      <queryTableField id="40" name="Concentration Before State Reservations" tableColumnId="16"/>
      <queryTableField id="41" name="Targeted Before State Reservations" tableColumnId="17"/>
      <queryTableField id="42" name="EFIG Before State Reservations" tableColumnId="18"/>
      <queryTableField id="43" name="Total Before State Reservations" tableColumnId="19"/>
      <queryTableField id="51" name="Allocation after School Improvemnt HH" tableColumnId="21"/>
      <queryTableField id="52" name="Net School Improvement taken out" tableColumnId="22"/>
      <queryTableField id="20" name="State Admin" tableColumnId="9"/>
      <queryTableField id="22" name="MOE Reduction" tableColumnId="11"/>
      <queryTableField id="13" name="NET TO DISTRICS" tableColumnId="4"/>
      <queryTableField id="36" name="Adj - 5-17 pop" tableColumnId="10"/>
      <queryTableField id="37" name="Adj Total formula count" tableColumnId="13"/>
      <queryTableField id="38" name="Adj poverty percentage" tableColumnId="14"/>
    </queryTableFields>
  </queryTableRefresh>
  <extLst>
    <ext xmlns:x15="http://schemas.microsoft.com/office/spreadsheetml/2010/11/main" uri="{883FBD77-0823-4a55-B5E3-86C4891E6966}">
      <x15:queryTable sourceDataName="Query - Prior Year Net to district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960C2BC-5429-410B-9BF6-DDB23B30E161}" name="Assumptions" displayName="Assumptions" ref="C1:I2" tableType="queryTable" totalsRowShown="0">
  <autoFilter ref="C1:I2" xr:uid="{5960C2BC-5429-410B-9BF6-DDB23B30E161}"/>
  <tableColumns count="7">
    <tableColumn id="1" xr3:uid="{4C43D153-7362-442D-965F-93F57B5EB338}" uniqueName="1" name="Column1" queryTableFieldId="10"/>
    <tableColumn id="2" xr3:uid="{176F702E-9B23-49D9-B01D-3410DCD1CBAE}" uniqueName="2" name="BASIC GRANTS" queryTableFieldId="21" dataDxfId="78"/>
    <tableColumn id="3" xr3:uid="{D156B8BB-69CF-401E-93B1-C0306FFA7125}" uniqueName="3" name="CONCENTRATION GRANTS" queryTableFieldId="22" dataDxfId="77"/>
    <tableColumn id="4" xr3:uid="{7A27A1B6-041D-4E7D-9A81-9AD80C7A0880}" uniqueName="4" name="TARGETED GRANTS" queryTableFieldId="23" dataDxfId="76"/>
    <tableColumn id="5" xr3:uid="{9624981D-3659-47C1-9C4D-E629B93ADCED}" uniqueName="5" name="EFIG GRANTS" queryTableFieldId="24" dataDxfId="75"/>
    <tableColumn id="8" xr3:uid="{8567D87E-F19A-4B8D-A516-116A36E73B8C}" uniqueName="8" name="TOTAL LEA GRANTS" queryTableFieldId="31" dataDxfId="74"/>
    <tableColumn id="7" xr3:uid="{8C8C46E0-0363-4B47-8A5E-8CC3F11260DE}" uniqueName="7" name="Rev Fin  T-I State Adm  1004(b).TITLE I, PART A TOTAL LEA GRANTS" queryTableFieldId="20" dataDxfId="73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B337D1D-C8DF-4CAF-87FD-F8C9B228595A}" name="Table_Conc_eligibility_year" displayName="Table_Conc_eligibility_year" ref="A1:E319" tableType="queryTable" totalsRowShown="0">
  <autoFilter ref="A1:E319" xr:uid="{2B337D1D-C8DF-4CAF-87FD-F8C9B228595A}"/>
  <sortState xmlns:xlrd2="http://schemas.microsoft.com/office/spreadsheetml/2017/richdata2" ref="A2:E319">
    <sortCondition ref="B1:B319"/>
  </sortState>
  <tableColumns count="5">
    <tableColumn id="1" xr3:uid="{6CF86675-12D2-4E94-9CC5-AB88A974E08A}" uniqueName="1" name="LEAID" queryTableFieldId="1"/>
    <tableColumn id="2" xr3:uid="{417E763F-84DC-4723-B21F-94132676A0BB}" uniqueName="2" name="LEANAME" queryTableFieldId="2"/>
    <tableColumn id="3" xr3:uid="{70146315-0094-43C2-80DB-34E73068048A}" uniqueName="3" name="Conc. Eligigibility" queryTableFieldId="3"/>
    <tableColumn id="4" xr3:uid="{8A58C6BF-D0A5-43F3-859C-0755FA06DCAE}" uniqueName="4" name="Eligibility Year" queryTableFieldId="4"/>
    <tableColumn id="6" xr3:uid="{2EA2D433-255C-447D-8B64-28387F2FFF7D}" uniqueName="6" name="Conc allocation" queryTableFieldId="6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C2E26F9-E31D-4B7A-96F9-9F6076E14753}" name="Title" displayName="Title" ref="B1:B2" tableType="queryTable" totalsRowShown="0">
  <autoFilter ref="B1:B2" xr:uid="{6C2E26F9-E31D-4B7A-96F9-9F6076E14753}"/>
  <tableColumns count="1">
    <tableColumn id="2" xr3:uid="{5A455F30-8D92-46E0-B12D-AB27650392EA}" uniqueName="2" name="Column1" queryTableFieldId="5" dataDxfId="72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FD285AD-9F01-4D8A-BCD2-8854BAE871D8}" name="Model_allocations" displayName="Model_allocations" ref="A1:L318" tableType="queryTable" totalsRowShown="0">
  <autoFilter ref="A1:L318" xr:uid="{CFD285AD-9F01-4D8A-BCD2-8854BAE871D8}"/>
  <sortState xmlns:xlrd2="http://schemas.microsoft.com/office/spreadsheetml/2017/richdata2" ref="A2:L318">
    <sortCondition ref="B1:B318"/>
  </sortState>
  <tableColumns count="12">
    <tableColumn id="1" xr3:uid="{611B6677-F2BD-4D9B-89FD-C3C60B4033F5}" uniqueName="1" name="LEAID" queryTableFieldId="1" dataDxfId="71"/>
    <tableColumn id="2" xr3:uid="{6788495D-F0A7-49F8-8054-A54649BD3378}" uniqueName="2" name="LEANAME" queryTableFieldId="2" dataDxfId="70"/>
    <tableColumn id="3" xr3:uid="{7505CC4A-EF50-4982-9C21-FFEA45C075A0}" uniqueName="3" name="BASIC Hold Harmless Base" queryTableFieldId="3" dataDxfId="69"/>
    <tableColumn id="4" xr3:uid="{FD266F2C-12C2-46CA-B4DA-0044BF30CCE8}" uniqueName="4" name="Conc Hold Harmless Base" queryTableFieldId="4" dataDxfId="68"/>
    <tableColumn id="5" xr3:uid="{1A7C4DAA-23A9-48C0-AC40-1DB58FCA39B1}" uniqueName="5" name="Targeted Hold Harmless Base" queryTableFieldId="5" dataDxfId="67"/>
    <tableColumn id="6" xr3:uid="{209E7CB3-66F1-4B6D-A71D-700AA1F3164D}" uniqueName="6" name="EFIG Hold Harmless Base" queryTableFieldId="6" dataDxfId="66"/>
    <tableColumn id="12" xr3:uid="{662121D9-6418-4ADE-9FE1-B711736E963C}" uniqueName="12" name="Total Hold Harmless Base" queryTableFieldId="13" dataDxfId="65"/>
    <tableColumn id="7" xr3:uid="{71B5EE69-600C-4933-9901-610FB7C85727}" uniqueName="7" name="Basic Allocation" queryTableFieldId="15"/>
    <tableColumn id="8" xr3:uid="{3319A4ED-43F5-4158-8136-F59BD1DEBA2E}" uniqueName="8" name="Conc. Allocation" queryTableFieldId="8" dataDxfId="64"/>
    <tableColumn id="9" xr3:uid="{F91E0153-FD90-4DFE-9321-BFAB19AB6AF0}" uniqueName="9" name="Targeted Allocation" queryTableFieldId="9" dataDxfId="63"/>
    <tableColumn id="10" xr3:uid="{DEAFA6E0-AC9F-4ED9-BFE5-21F80B208ECD}" uniqueName="10" name="EFIG Allocation" queryTableFieldId="10" dataDxfId="62"/>
    <tableColumn id="11" xr3:uid="{4ED7FCD7-2EBF-4103-9C8D-702DB30D89D1}" uniqueName="11" name="Total Title I Allocation" queryTableFieldId="11" dataDxfId="61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F32EF4C-1258-4E2D-B0B9-BE4D2282A993}" name="Initial_adjusted_allocations" displayName="Initial_adjusted_allocations" ref="A1:L318" tableType="queryTable" totalsRowShown="0">
  <autoFilter ref="A1:L318" xr:uid="{6F32EF4C-1258-4E2D-B0B9-BE4D2282A993}"/>
  <sortState xmlns:xlrd2="http://schemas.microsoft.com/office/spreadsheetml/2017/richdata2" ref="A2:L318">
    <sortCondition ref="B1:B318"/>
  </sortState>
  <tableColumns count="12">
    <tableColumn id="1" xr3:uid="{BB592B86-CBB1-4B7C-9D64-5D339665B4A8}" uniqueName="1" name="LEAID" queryTableFieldId="1" dataDxfId="60"/>
    <tableColumn id="2" xr3:uid="{AF4A4BC3-D921-4DCF-9937-78D414B81BE2}" uniqueName="2" name="LEANAME" queryTableFieldId="2" dataDxfId="59"/>
    <tableColumn id="3" xr3:uid="{11229CAA-8F87-4ABD-B2CB-66865C362217}" uniqueName="3" name="BASIC Hold Harmless base (Prior year adjusted alloc)" queryTableFieldId="3" dataDxfId="58"/>
    <tableColumn id="4" xr3:uid="{877EAC2C-B599-4614-9F9E-6FC007BB07C4}" uniqueName="4" name="Conc Hold Harmless Base ( 4 year lookback)" queryTableFieldId="13" dataDxfId="57"/>
    <tableColumn id="5" xr3:uid="{3927C376-8129-4830-A597-A29B7BDB1B1B}" uniqueName="5" name="TARGETED Hold Harmless Base (Prior Year adjusted alloc)" queryTableFieldId="5" dataDxfId="56"/>
    <tableColumn id="6" xr3:uid="{B6E7B67B-B6D2-4A9D-AADA-A3FDAEDC8F2B}" uniqueName="6" name="EFIG Hold Harmless base (Prior Year adjusted alloc)" queryTableFieldId="6" dataDxfId="55"/>
    <tableColumn id="7" xr3:uid="{248C4D64-741B-4814-97AF-7C42F159548B}" uniqueName="7" name="Total Hold Harmless base" queryTableFieldId="7" dataDxfId="54"/>
    <tableColumn id="8" xr3:uid="{2283AABA-6403-4214-8A67-3EECAF8E5318}" uniqueName="8" name="Adj Basic Allocation" queryTableFieldId="8" dataDxfId="53"/>
    <tableColumn id="9" xr3:uid="{F211104A-967A-4973-A33D-410EF5757E45}" uniqueName="9" name="Adj Conc. Allocation" queryTableFieldId="9" dataDxfId="52"/>
    <tableColumn id="10" xr3:uid="{76DF5FA6-3C22-49A9-89CA-C19B88D75E68}" uniqueName="10" name="Adj Targeted allocation" queryTableFieldId="10" dataDxfId="51"/>
    <tableColumn id="11" xr3:uid="{E116C028-FADA-46D1-A46A-C491918364E2}" uniqueName="11" name="Adj EFIG Allocation" queryTableFieldId="11" dataDxfId="50"/>
    <tableColumn id="12" xr3:uid="{340F5974-2F89-4558-B5A2-F258176198FC}" uniqueName="12" name="Adj Total Title I Allocation" queryTableFieldId="12" dataDxfId="49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5B8CB27-6799-4997-8EA6-06DF76B21895}" name="Initial_adjusted_formula_count" displayName="Initial_adjusted_formula_count" ref="A1:P318" tableType="queryTable" totalsRowShown="0">
  <autoFilter ref="A1:P318" xr:uid="{85B8CB27-6799-4997-8EA6-06DF76B21895}"/>
  <sortState xmlns:xlrd2="http://schemas.microsoft.com/office/spreadsheetml/2017/richdata2" ref="A2:P318">
    <sortCondition ref="B1:B318"/>
  </sortState>
  <tableColumns count="16">
    <tableColumn id="1" xr3:uid="{D4450982-D1E4-47D0-B829-97602D6DD2D7}" uniqueName="1" name="LEAID" queryTableFieldId="1" dataDxfId="48"/>
    <tableColumn id="2" xr3:uid="{A08BBAC3-99DF-47AA-9666-D57A7C658A9B}" uniqueName="2" name="LEANAME" queryTableFieldId="30"/>
    <tableColumn id="5" xr3:uid="{C3276C96-6825-4339-A7ED-0E3FC010F422}" uniqueName="5" name="SendingLEAid" queryTableFieldId="36" dataDxfId="47"/>
    <tableColumn id="3" xr3:uid="{C187E937-45FF-4B15-A3D5-099CF49E5EA2}" uniqueName="3" name="NEG. adj" queryTableFieldId="41" dataDxfId="46"/>
    <tableColumn id="4" xr3:uid="{38996AC4-6D97-4D6D-9C61-06C5D36C8838}" uniqueName="4" name="Adj DEL." queryTableFieldId="42" dataDxfId="45"/>
    <tableColumn id="7" xr3:uid="{4B33D5B5-F8BE-4B15-9324-7D10EB241113}" uniqueName="7" name="Adj Foster" queryTableFieldId="43" dataDxfId="44"/>
    <tableColumn id="8" xr3:uid="{C9B7EDC5-ED7B-4DF8-846D-249EE4653327}" uniqueName="8" name="Adj TANF" queryTableFieldId="44" dataDxfId="43"/>
    <tableColumn id="21" xr3:uid="{811D0937-E776-4C41-8989-1A7D496C7CBB}" uniqueName="21" name="Adj - 5-17 pop" queryTableFieldId="21" dataDxfId="42"/>
    <tableColumn id="22" xr3:uid="{15D21245-8488-405A-9D4C-079EA84B1718}" uniqueName="22" name="Adj poverty" queryTableFieldId="22" dataDxfId="41"/>
    <tableColumn id="23" xr3:uid="{65940B37-A5FA-45C2-9969-DFA8622DB07E}" uniqueName="23" name="Adj Total formula count" queryTableFieldId="23" dataDxfId="40"/>
    <tableColumn id="6" xr3:uid="{14835AAA-20BA-457D-8CAE-AF7D912FFBBC}" uniqueName="6" name="Total Formula Count DOE" queryTableFieldId="37" dataDxfId="39"/>
    <tableColumn id="24" xr3:uid="{2130EE01-004F-4566-A60A-D3B8CE1A3362}" uniqueName="24" name="Adj poverty percentage" queryTableFieldId="24"/>
    <tableColumn id="25" xr3:uid="{3F74F5D5-2990-4002-92CF-4625DA740D40}" uniqueName="25" name="BASIC eligibility" queryTableFieldId="25"/>
    <tableColumn id="26" xr3:uid="{2A6BAE65-83C9-40C1-809D-5BB78521E846}" uniqueName="26" name="Conc. Eligigibility" queryTableFieldId="26"/>
    <tableColumn id="27" xr3:uid="{6D7FC1DA-5A46-46F1-92F5-1B19A1197F98}" uniqueName="27" name="Targeted Eligibility" queryTableFieldId="27"/>
    <tableColumn id="28" xr3:uid="{886B5EA4-C474-40F7-8FE4-726B686EC411}" uniqueName="28" name="EFIG eligibility" queryTableFieldId="28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F6E1E93-B710-4806-80CA-97D04C2CA9C5}" name="New_or_Expanded_HH_check" displayName="New_or_Expanded_HH_check" ref="A1:Y22" tableType="queryTable" totalsRowShown="0">
  <autoFilter ref="A1:Y22" xr:uid="{BF6E1E93-B710-4806-80CA-97D04C2CA9C5}"/>
  <tableColumns count="25">
    <tableColumn id="1" xr3:uid="{05678A1B-8182-4A93-A935-7FFC88362CE1}" uniqueName="1" name="CCDDD" queryTableFieldId="1" dataDxfId="38"/>
    <tableColumn id="2" xr3:uid="{9129C4CB-F5B3-46A1-857F-364562E11239}" uniqueName="2" name="DistrictName" queryTableFieldId="2" dataDxfId="37"/>
    <tableColumn id="3" xr3:uid="{8BF1D670-3D30-4FCC-AA04-6FFB836BFE38}" uniqueName="3" name="SendingLEAid" queryTableFieldId="3" dataDxfId="36"/>
    <tableColumn id="4" xr3:uid="{42229B68-7610-4EAE-AC8A-4B35A7D29E4C}" uniqueName="4" name="LEAid" queryTableFieldId="4" dataDxfId="35"/>
    <tableColumn id="6" xr3:uid="{E53BD975-D551-456F-88F9-337E0969ABEB}" uniqueName="6" name="IsNew" queryTableFieldId="6" dataDxfId="34"/>
    <tableColumn id="5" xr3:uid="{53914E26-3AFF-49CD-AF44-AF067D18C5F1}" uniqueName="5" name="IsExpanded" queryTableFieldId="5"/>
    <tableColumn id="7" xr3:uid="{EB6AA613-17CE-433E-97F5-8B51332CFE71}" uniqueName="7" name="Initial adjusted formula count.Adj Total formula count" queryTableFieldId="7" dataDxfId="33"/>
    <tableColumn id="8" xr3:uid="{3115BD99-CD6F-4DE4-AC86-C52B0A17D5C6}" uniqueName="8" name="Initial adjusted formula count.Adj poverty percentage" queryTableFieldId="8"/>
    <tableColumn id="9" xr3:uid="{60E71B6A-2AFB-4487-9007-ECE305622211}" uniqueName="9" name="Prior Year Adjusted Formula counts.Adj Total formula count" queryTableFieldId="39"/>
    <tableColumn id="10" xr3:uid="{46F9479A-A837-4BCA-84F6-0364141169D0}" uniqueName="10" name="Total Formula Count increase" queryTableFieldId="10"/>
    <tableColumn id="11" xr3:uid="{D355C088-70CA-40E8-9EC5-7D5CA4691E4D}" uniqueName="11" name="Initial adjusted allocations.BASIC Hold Harmless base (Prior year adjusted alloc" queryTableFieldId="11"/>
    <tableColumn id="13" xr3:uid="{FF2D5A8E-5A5D-49E1-B5AE-B1A48B8B26F1}" uniqueName="13" name="Initial adjusted allocations.TARGETED Hold Harmless Base (Prior Year adjusted al" queryTableFieldId="13"/>
    <tableColumn id="12" xr3:uid="{31CCE0EA-10F3-42B4-B4E7-8F194A9E9252}" uniqueName="12" name="Initial adjusted allocations.Conc Hold Harmless Base ( 4 year lookback)" queryTableFieldId="37"/>
    <tableColumn id="14" xr3:uid="{9F1EFE74-42D5-49CA-86ED-FE074890E432}" uniqueName="14" name="Initial adjusted allocations.EFIG Hold Harmless base (Prior Year adjusted alloc)" queryTableFieldId="14"/>
    <tableColumn id="15" xr3:uid="{E3CCB486-4678-45DC-A6CA-1CD9FA45AFFF}" uniqueName="15" name="Initial adjusted allocations.Total Hold Harmless base" queryTableFieldId="15" dataDxfId="32"/>
    <tableColumn id="16" xr3:uid="{253BF4D9-5866-4C9B-8D54-E3FD927D13D5}" uniqueName="16" name="Initial adjusted allocations.Adj Basic Allocation" queryTableFieldId="16"/>
    <tableColumn id="17" xr3:uid="{17E528B7-08C5-43E3-8B96-DA0C845D634D}" uniqueName="17" name="Initial adjusted allocations.Adj Conc. Allocation" queryTableFieldId="17"/>
    <tableColumn id="18" xr3:uid="{B5942ED9-C596-4334-8257-8332DAAB9E12}" uniqueName="18" name="Initial adjusted allocations.Adj Targeted allocation" queryTableFieldId="18"/>
    <tableColumn id="19" xr3:uid="{B4F8C7B7-2909-4E7C-8902-1079B1C03B25}" uniqueName="19" name="Initial adjusted allocations.Adj EFIG Allocation" queryTableFieldId="19"/>
    <tableColumn id="20" xr3:uid="{20BCA529-F64F-4DA9-9196-0E1FB7FA7865}" uniqueName="20" name="Initial adjusted allocations.Adj Total Title I Allocation" queryTableFieldId="20"/>
    <tableColumn id="21" xr3:uid="{8A82F529-A755-4079-A67C-10B541FB2947}" uniqueName="21" name="New/Expanded Basic HH base" queryTableFieldId="21" dataDxfId="31"/>
    <tableColumn id="22" xr3:uid="{88FAA249-272C-4B55-8BA8-9E9C3E81FFE8}" uniqueName="22" name="New/Expanding Conc HH base" queryTableFieldId="22" dataDxfId="30"/>
    <tableColumn id="23" xr3:uid="{1117A25E-487A-4931-A0AB-7D76CF57B9CB}" uniqueName="23" name="New/Expanding Targeted HH Base" queryTableFieldId="23" dataDxfId="29"/>
    <tableColumn id="24" xr3:uid="{C99510BF-DAA2-4F85-9F7E-83D3284E240B}" uniqueName="24" name="New Expanding EFIG HH Base" queryTableFieldId="24" dataDxfId="28"/>
    <tableColumn id="25" xr3:uid="{F2921C0B-6A9E-48A9-81E7-AECB85D4BE69}" uniqueName="25" name="New Expanded total HH base" queryTableFieldId="25" dataDxfId="27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84827DA-6F09-4A06-92A3-4B5F97C50D43}" name="Multipliers" displayName="Multipliers" ref="A1:I33" tableType="queryTable" totalsRowShown="0">
  <autoFilter ref="A1:I33" xr:uid="{484827DA-6F09-4A06-92A3-4B5F97C50D43}"/>
  <sortState xmlns:xlrd2="http://schemas.microsoft.com/office/spreadsheetml/2017/richdata2" ref="A2:I33">
    <sortCondition ref="C1:C33"/>
  </sortState>
  <tableColumns count="9">
    <tableColumn id="1" xr3:uid="{84928E93-7480-4F08-91A6-5E0CD8893E38}" uniqueName="1" name="CCDDD" queryTableFieldId="1" dataDxfId="26"/>
    <tableColumn id="2" xr3:uid="{AC59F4DA-A1E7-4F4D-8B6B-BA5DB41B703E}" uniqueName="2" name="DistrictName" queryTableFieldId="2" dataDxfId="25"/>
    <tableColumn id="3" xr3:uid="{1C4A60BD-575B-4FE4-BA11-4CEEC045530D}" uniqueName="3" name="SendingLEAid" queryTableFieldId="3" dataDxfId="24"/>
    <tableColumn id="4" xr3:uid="{A5E8685C-666D-47D7-AB04-53248EBB2F17}" uniqueName="4" name="DistrictType" queryTableFieldId="4"/>
    <tableColumn id="5" xr3:uid="{AE31F690-E25C-4A52-82D0-B4F77192A8A1}" uniqueName="5" name="LEAid" queryTableFieldId="5" dataDxfId="23"/>
    <tableColumn id="7" xr3:uid="{FBC64837-6A24-40FC-B610-73D4EA702102}" uniqueName="7" name="IsNew" queryTableFieldId="7" dataDxfId="22"/>
    <tableColumn id="6" xr3:uid="{FE3213F8-C272-4CCB-BEF4-ED26B0444655}" uniqueName="6" name="IsExpanded" queryTableFieldId="6"/>
    <tableColumn id="8" xr3:uid="{35439A1B-AA2B-465B-BA50-AB0D3848EBB3}" uniqueName="8" name="poverty Multiplier" queryTableFieldId="8" dataDxfId="21" dataCellStyle="Percent"/>
    <tableColumn id="9" xr3:uid="{A2652D78-643D-4DD7-AC11-951305F2A8F8}" uniqueName="9" name="Enrollment multiplier" queryTableFieldId="9" dataDxfId="20" dataCellStyle="Percent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78EB4D-0B02-4958-A2CD-9C0465C6D110}" name="Split_Calc" displayName="Split_Calc" ref="A1:S22" tableType="queryTable" totalsRowShown="0">
  <autoFilter ref="A1:S22" xr:uid="{1F78EB4D-0B02-4958-A2CD-9C0465C6D110}"/>
  <tableColumns count="19">
    <tableColumn id="1" xr3:uid="{B5F7AECA-D304-4AA0-9256-EAF1EAAF3FB8}" uniqueName="1" name="CCDDD" queryTableFieldId="1" dataDxfId="19"/>
    <tableColumn id="2" xr3:uid="{F0F095AC-9FA8-4E0D-BA30-3344380C1A81}" uniqueName="2" name="Charter/Tribal" queryTableFieldId="2" dataDxfId="18"/>
    <tableColumn id="3" xr3:uid="{906E6615-D133-405E-BD4E-3F984256E693}" uniqueName="3" name="Sending District" queryTableFieldId="3" dataDxfId="17"/>
    <tableColumn id="4" xr3:uid="{6325567C-4292-4020-BCF1-FC929A17822A}" uniqueName="4" name="Sending District CCDDD" queryTableFieldId="4" dataDxfId="16"/>
    <tableColumn id="5" xr3:uid="{D50ED8F1-8953-43F7-9674-641552F905C3}" uniqueName="5" name="LEAID" queryTableFieldId="5" dataDxfId="15"/>
    <tableColumn id="6" xr3:uid="{EBC749D4-F587-4AC8-B50B-A19B79F97D81}" uniqueName="6" name="IsNew" queryTableFieldId="6" dataDxfId="14"/>
    <tableColumn id="7" xr3:uid="{3E36513F-9F0A-4B23-856E-2253CF24C489}" uniqueName="7" name="IsExpanded" queryTableFieldId="17"/>
    <tableColumn id="9" xr3:uid="{C6CFCFC5-6F6F-4E12-AAFA-1B59C2D2A5A2}" uniqueName="9" name="FRPL.TotalStudents" queryTableFieldId="24" dataDxfId="13"/>
    <tableColumn id="8" xr3:uid="{C6AEB83E-26F3-4A05-A748-DAF1F81B7EA3}" uniqueName="8" name="TotalStudentsInPoverty" queryTableFieldId="8"/>
    <tableColumn id="10" xr3:uid="{38589DCF-2BF0-465E-BA38-60719BF8C7F4}" uniqueName="10" name="SendingTotalStudents" queryTableFieldId="25" dataDxfId="12"/>
    <tableColumn id="11" xr3:uid="{2CD90EC8-1F91-4BAA-B3E5-9026141E4B1A}" uniqueName="11" name="SendingTotalStudentsInPoverty" queryTableFieldId="11"/>
    <tableColumn id="17" xr3:uid="{B646AC6A-1FBA-4D71-89E6-163042FDA3BF}" uniqueName="17" name="SendingLEAId" queryTableFieldId="16" dataDxfId="11"/>
    <tableColumn id="20" xr3:uid="{CEA2D6AD-8CCD-4A5E-97C6-3407F224D29D}" uniqueName="20" name="ChartersTotalStudents" queryTableFieldId="33"/>
    <tableColumn id="12" xr3:uid="{CCD2667B-D8AF-4FF0-A498-14B073BDFBA5}" uniqueName="12" name="Sum of Charters RFPL+Sending RFPL" queryTableFieldId="21"/>
    <tableColumn id="21" xr3:uid="{89EF60DC-7943-452D-8BCB-AFD3DD8D81A9}" uniqueName="21" name="Share of FRPL" queryTableFieldId="34"/>
    <tableColumn id="22" xr3:uid="{21596939-9B54-4755-AE20-2F8C5FA95FE1}" uniqueName="22" name="Sending Share of FRPL" queryTableFieldId="35"/>
    <tableColumn id="15" xr3:uid="{6D59F98D-E68E-4199-811D-FB83FFF7E405}" uniqueName="15" name="Sum of charter total students + Sending total students" queryTableFieldId="27" dataDxfId="10"/>
    <tableColumn id="16" xr3:uid="{777BCDC3-7ECB-48FB-A60F-78FCCD5ABA36}" uniqueName="16" name="Share of Total Enrollment" queryTableFieldId="28" dataDxfId="9"/>
    <tableColumn id="19" xr3:uid="{A2435003-4B7A-48D3-8533-2EF415147154}" uniqueName="19" name="Sending Share of Total enrollment" queryTableFieldId="29" dataDxfId="8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2274DD2-59B1-4CB3-9B41-A78345DA1C37}" name="Table_Prior_Year_Net_to_district" displayName="Table_Prior_Year_Net_to_district" ref="A1:O318" tableType="queryTable" totalsRowShown="0">
  <autoFilter ref="A1:O318" xr:uid="{82274DD2-59B1-4CB3-9B41-A78345DA1C37}"/>
  <sortState xmlns:xlrd2="http://schemas.microsoft.com/office/spreadsheetml/2017/richdata2" ref="A2:O318">
    <sortCondition ref="B1:B318"/>
  </sortState>
  <tableColumns count="15">
    <tableColumn id="1" xr3:uid="{DCE06B1D-A5CE-48E6-9A85-26D61791F6A6}" uniqueName="1" name="LEAID" queryTableFieldId="1" dataDxfId="7"/>
    <tableColumn id="3" xr3:uid="{AB650683-BA3F-4873-AEF1-1DE352F24398}" uniqueName="3" name="LEANAME" queryTableFieldId="12" dataDxfId="6"/>
    <tableColumn id="15" xr3:uid="{97FFD9D6-49DD-4C8B-B34C-A2A995490BFE}" uniqueName="15" name="Basic Before State Reservations" queryTableFieldId="39"/>
    <tableColumn id="16" xr3:uid="{74EDC3A3-869E-449F-BC14-0C31B86C9408}" uniqueName="16" name="Concentration Before State Reservations" queryTableFieldId="40"/>
    <tableColumn id="17" xr3:uid="{F2E55405-4A04-4E2F-A81A-CDE376107E4F}" uniqueName="17" name="Targeted Before State Reservations" queryTableFieldId="41"/>
    <tableColumn id="18" xr3:uid="{78EA2C5B-F0CB-4FCC-86F7-728A88CC4D29}" uniqueName="18" name="EFIG Before State Reservations" queryTableFieldId="42"/>
    <tableColumn id="19" xr3:uid="{BA73CEB0-384A-479F-B4B1-0FA38E0FFECE}" uniqueName="19" name="Total Before State Reservations" queryTableFieldId="43"/>
    <tableColumn id="21" xr3:uid="{21E2C724-79EB-4C98-BE90-BF542E3A0512}" uniqueName="21" name="Allocation after School Improvemnt HH" queryTableFieldId="51"/>
    <tableColumn id="22" xr3:uid="{7FB5F679-E1C9-4D69-869F-E1420A5DBD46}" uniqueName="22" name="Net School Improvement taken out" queryTableFieldId="52"/>
    <tableColumn id="9" xr3:uid="{649F93AB-DB96-4519-985C-69EA02C21565}" uniqueName="9" name="State Admin" queryTableFieldId="20"/>
    <tableColumn id="11" xr3:uid="{8164232E-1C9C-411A-978D-49FA871FD551}" uniqueName="11" name="MOE Reduction" queryTableFieldId="22"/>
    <tableColumn id="4" xr3:uid="{5CBB891A-EF0F-47E0-90E9-8351AF936710}" uniqueName="4" name="NET TO DISTRICS" queryTableFieldId="13"/>
    <tableColumn id="10" xr3:uid="{B7C702E7-6B34-4E57-A669-3845D4AB1B1E}" uniqueName="10" name="Adj - 5-17 pop" queryTableFieldId="36"/>
    <tableColumn id="13" xr3:uid="{AF30A016-7E3F-48A3-A5DA-92815AD2810E}" uniqueName="13" name="Adj Total formula count" queryTableFieldId="37"/>
    <tableColumn id="14" xr3:uid="{2216A8A1-F4E2-4E1A-AFA2-945E879018C7}" uniqueName="14" name="Adj poverty percentage" queryTableFieldId="3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E9700-6A66-4A00-8318-0C5AB1792D97}">
  <dimension ref="B1:E24"/>
  <sheetViews>
    <sheetView tabSelected="1" workbookViewId="0">
      <selection activeCell="C2" sqref="C2:D2"/>
    </sheetView>
  </sheetViews>
  <sheetFormatPr defaultRowHeight="15" x14ac:dyDescent="0.25"/>
  <cols>
    <col min="1" max="1" width="7.7109375" customWidth="1"/>
    <col min="2" max="2" width="39.140625" customWidth="1"/>
    <col min="3" max="3" width="43.5703125" customWidth="1"/>
    <col min="4" max="4" width="44.28515625" customWidth="1"/>
    <col min="5" max="5" width="35.85546875" customWidth="1"/>
  </cols>
  <sheetData>
    <row r="1" spans="2:5" ht="15.75" thickBot="1" x14ac:dyDescent="0.3"/>
    <row r="2" spans="2:5" ht="27" thickBot="1" x14ac:dyDescent="0.45">
      <c r="B2" s="71" t="s">
        <v>1417</v>
      </c>
      <c r="C2" s="78" t="s">
        <v>666</v>
      </c>
      <c r="D2" s="79"/>
      <c r="E2" t="s">
        <v>1418</v>
      </c>
    </row>
    <row r="3" spans="2:5" ht="23.25" x14ac:dyDescent="0.35">
      <c r="B3" s="71" t="s">
        <v>0</v>
      </c>
      <c r="C3" s="80" t="str">
        <f>VLOOKUP(District!$C$2,'State Reservations'!$B$4:$C$320,2,FALSE)</f>
        <v>14005</v>
      </c>
      <c r="D3" s="80"/>
    </row>
    <row r="4" spans="2:5" x14ac:dyDescent="0.25">
      <c r="B4" t="s">
        <v>1419</v>
      </c>
      <c r="C4" s="81" t="str">
        <f>VLOOKUP($C$2,'State Reservations'!$B$4:$AG$320,32,FALSE)</f>
        <v>5300030</v>
      </c>
      <c r="D4" s="81"/>
    </row>
    <row r="6" spans="2:5" ht="30" x14ac:dyDescent="0.25">
      <c r="C6" s="76" t="str" cm="1">
        <f t="array" ref="C6">Title[Column1]</f>
        <v>PRELIMINARY FISCAL YEAR 2024 TITLE I ALLOCATIONS FOR SCHOOL YEAR 2024-2025</v>
      </c>
      <c r="D6" s="76" t="s">
        <v>1431</v>
      </c>
    </row>
    <row r="7" spans="2:5" ht="15.75" x14ac:dyDescent="0.25">
      <c r="B7" s="71" t="s">
        <v>1420</v>
      </c>
      <c r="C7" s="72">
        <f>VLOOKUP($C$4,'Initial adjusted formula count'!$A$1:$J$319,8,FALSE)</f>
        <v>3494</v>
      </c>
      <c r="D7">
        <f>VLOOKUP($C$4,Table_Prior_Year_Net_to_district[#All],13,FALSE)</f>
        <v>3541</v>
      </c>
    </row>
    <row r="8" spans="2:5" ht="15.75" x14ac:dyDescent="0.25">
      <c r="B8" s="71" t="s">
        <v>1421</v>
      </c>
      <c r="C8" s="77">
        <f>VLOOKUP($C$4,'Initial adjusted formula count'!$A$1:$J$319,10,FALSE)</f>
        <v>829</v>
      </c>
      <c r="D8">
        <f>VLOOKUP($C$4,Table_Prior_Year_Net_to_district[#All],14,FALSE)</f>
        <v>753</v>
      </c>
    </row>
    <row r="9" spans="2:5" ht="15.75" x14ac:dyDescent="0.25">
      <c r="B9" s="71" t="s">
        <v>1422</v>
      </c>
      <c r="C9" s="32">
        <f>C8/C7</f>
        <v>0.23726388093875214</v>
      </c>
      <c r="D9" s="29">
        <f>VLOOKUP($C$4,Table_Prior_Year_Net_to_district[#All],15,FALSE)</f>
        <v>0.21265179327873501</v>
      </c>
    </row>
    <row r="10" spans="2:5" ht="15.75" x14ac:dyDescent="0.25">
      <c r="B10" s="71"/>
    </row>
    <row r="11" spans="2:5" ht="15.75" x14ac:dyDescent="0.25">
      <c r="B11" s="71" t="s">
        <v>1423</v>
      </c>
      <c r="C11" s="73">
        <f>VLOOKUP($C$3,'State Reservations'!$C$4:$AE$321,3,FALSE)</f>
        <v>713048.77462766541</v>
      </c>
      <c r="D11" s="73">
        <f>VLOOKUP($C$4,Table_Prior_Year_Net_to_district[#All],3,FALSE)</f>
        <v>608099.02162910427</v>
      </c>
    </row>
    <row r="12" spans="2:5" ht="15.75" x14ac:dyDescent="0.25">
      <c r="B12" s="71" t="s">
        <v>1424</v>
      </c>
      <c r="C12" s="73">
        <f>VLOOKUP($C$3,'State Reservations'!$C$4:$AE$321,4,FALSE)</f>
        <v>187444.52597315577</v>
      </c>
      <c r="D12" s="73">
        <f>VLOOKUP($C$4,Table_Prior_Year_Net_to_district[#All],4,FALSE)</f>
        <v>159077.55906511011</v>
      </c>
    </row>
    <row r="13" spans="2:5" ht="15.75" x14ac:dyDescent="0.25">
      <c r="B13" s="71" t="s">
        <v>1425</v>
      </c>
      <c r="C13" s="73">
        <f>VLOOKUP($C$3,'State Reservations'!$C$4:$AE$321,5,FALSE)</f>
        <v>446513.47640977893</v>
      </c>
      <c r="D13" s="73">
        <f>VLOOKUP($C$4,Table_Prior_Year_Net_to_district[#All],5,FALSE)</f>
        <v>354894.19893907284</v>
      </c>
    </row>
    <row r="14" spans="2:5" ht="15.75" x14ac:dyDescent="0.25">
      <c r="B14" s="71" t="s">
        <v>1426</v>
      </c>
      <c r="C14" s="73">
        <f>VLOOKUP($C$3,'State Reservations'!$C$4:$AE$321,6,FALSE)</f>
        <v>615646.74240324274</v>
      </c>
      <c r="D14" s="73">
        <f>VLOOKUP($C$4,Table_Prior_Year_Net_to_district[#All],6,FALSE)</f>
        <v>489383.50087358837</v>
      </c>
    </row>
    <row r="15" spans="2:5" ht="15.75" x14ac:dyDescent="0.25">
      <c r="B15" s="71"/>
      <c r="C15" s="73"/>
      <c r="D15" s="73"/>
    </row>
    <row r="16" spans="2:5" ht="15.75" x14ac:dyDescent="0.25">
      <c r="B16" s="71" t="s">
        <v>1427</v>
      </c>
      <c r="C16" s="73">
        <f>VLOOKUP($C$3,'State Reservations'!$C$4:$AE$321,7,FALSE)</f>
        <v>1962653.5194138428</v>
      </c>
      <c r="D16" s="73">
        <f>VLOOKUP($C$4,Table_Prior_Year_Net_to_district[#All],7,FALSE)</f>
        <v>1611454.2805068758</v>
      </c>
    </row>
    <row r="17" spans="2:4" ht="15.75" x14ac:dyDescent="0.25">
      <c r="B17" s="71"/>
      <c r="D17" s="73"/>
    </row>
    <row r="18" spans="2:4" ht="15.75" x14ac:dyDescent="0.25">
      <c r="B18" s="71" t="s">
        <v>1428</v>
      </c>
      <c r="C18" s="44">
        <f>$C$16-$C$19</f>
        <v>228594.25866948883</v>
      </c>
      <c r="D18" s="73">
        <f>VLOOKUP($C$4,Table_Prior_Year_Net_to_district[#All],9,FALSE)</f>
        <v>111179.78036034503</v>
      </c>
    </row>
    <row r="19" spans="2:4" ht="15.75" x14ac:dyDescent="0.25">
      <c r="B19" s="71" t="s">
        <v>1429</v>
      </c>
      <c r="C19" s="44">
        <f>VLOOKUP($C$3,'State Reservations'!$C$4:$AE$321,21,FALSE)</f>
        <v>1734059.260744354</v>
      </c>
      <c r="D19" s="73">
        <f>VLOOKUP($C$4,Table_Prior_Year_Net_to_district[#All],8,FALSE)</f>
        <v>1500274.5001465308</v>
      </c>
    </row>
    <row r="20" spans="2:4" ht="15.75" x14ac:dyDescent="0.25">
      <c r="B20" s="71"/>
      <c r="C20" s="44"/>
      <c r="D20" s="73"/>
    </row>
    <row r="21" spans="2:4" ht="15.75" x14ac:dyDescent="0.25">
      <c r="B21" s="71" t="s">
        <v>1292</v>
      </c>
      <c r="C21" s="73">
        <f>VLOOKUP($C$3,'State Reservations'!$C$4:$AE$321,23,FALSE)</f>
        <v>13372.834346286792</v>
      </c>
      <c r="D21" s="73">
        <f>VLOOKUP($C$4,Table_Prior_Year_Net_to_district[#All],10,FALSE)</f>
        <v>11510.88346591194</v>
      </c>
    </row>
    <row r="22" spans="2:4" ht="15.75" x14ac:dyDescent="0.25">
      <c r="B22" s="71" t="s">
        <v>1276</v>
      </c>
      <c r="C22" s="73">
        <f>VLOOKUP($C$3,'State Reservations'!$C$4:$AE$321,28,FALSE)</f>
        <v>0</v>
      </c>
      <c r="D22" s="73">
        <f>VLOOKUP($C$4,Table_Prior_Year_Net_to_district[#All],11,FALSE)</f>
        <v>0</v>
      </c>
    </row>
    <row r="23" spans="2:4" ht="15.75" thickBot="1" x14ac:dyDescent="0.3">
      <c r="D23" s="73"/>
    </row>
    <row r="24" spans="2:4" ht="24" thickBot="1" x14ac:dyDescent="0.4">
      <c r="B24" s="74" t="s">
        <v>1430</v>
      </c>
      <c r="C24" s="75">
        <f>C16-C18-C21-C22</f>
        <v>1720686.4263980673</v>
      </c>
      <c r="D24" s="75">
        <f>VLOOKUP($C$4,Table_Prior_Year_Net_to_district[#All],12,FALSE)</f>
        <v>1488763.6166806188</v>
      </c>
    </row>
  </sheetData>
  <mergeCells count="3">
    <mergeCell ref="C2:D2"/>
    <mergeCell ref="C3:D3"/>
    <mergeCell ref="C4:D4"/>
  </mergeCell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1DFAF89-1491-4DB0-9732-1C383FE3B107}">
          <x14:formula1>
            <xm:f>'State Reservations'!$B$4:$B$320</xm:f>
          </x14:formula1>
          <xm:sqref>C2:D2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EFF0D-1EFE-4C9C-9C20-84011A9B7705}">
  <sheetPr>
    <tabColor theme="4" tint="0.79998168889431442"/>
  </sheetPr>
  <dimension ref="A1:P318"/>
  <sheetViews>
    <sheetView workbookViewId="0"/>
  </sheetViews>
  <sheetFormatPr defaultRowHeight="15" x14ac:dyDescent="0.25"/>
  <cols>
    <col min="1" max="1" width="8.28515625" bestFit="1" customWidth="1"/>
    <col min="2" max="2" width="47.5703125" bestFit="1" customWidth="1"/>
    <col min="3" max="3" width="15.42578125" bestFit="1" customWidth="1"/>
    <col min="4" max="4" width="10.85546875" bestFit="1" customWidth="1"/>
    <col min="5" max="5" width="10.42578125" bestFit="1" customWidth="1"/>
    <col min="6" max="6" width="12.28515625" bestFit="1" customWidth="1"/>
    <col min="7" max="7" width="11.42578125" bestFit="1" customWidth="1"/>
    <col min="8" max="8" width="15.5703125" bestFit="1" customWidth="1"/>
    <col min="9" max="9" width="13.5703125" bestFit="1" customWidth="1"/>
    <col min="10" max="10" width="24.42578125" bestFit="1" customWidth="1"/>
    <col min="11" max="11" width="25.7109375" bestFit="1" customWidth="1"/>
    <col min="12" max="12" width="24.42578125" bestFit="1" customWidth="1"/>
    <col min="13" max="13" width="17.42578125" bestFit="1" customWidth="1"/>
    <col min="14" max="14" width="18.5703125" bestFit="1" customWidth="1"/>
    <col min="15" max="15" width="20.140625" bestFit="1" customWidth="1"/>
    <col min="16" max="16" width="16.28515625" bestFit="1" customWidth="1"/>
    <col min="17" max="17" width="20.140625" bestFit="1" customWidth="1"/>
    <col min="18" max="18" width="16.28515625" bestFit="1" customWidth="1"/>
    <col min="19" max="19" width="20.85546875" bestFit="1" customWidth="1"/>
    <col min="20" max="20" width="17.42578125" bestFit="1" customWidth="1"/>
    <col min="21" max="21" width="18" bestFit="1" customWidth="1"/>
    <col min="22" max="22" width="28.28515625" bestFit="1" customWidth="1"/>
    <col min="23" max="23" width="20.5703125" bestFit="1" customWidth="1"/>
    <col min="24" max="24" width="15.140625" bestFit="1" customWidth="1"/>
    <col min="25" max="25" width="47.5703125" bestFit="1" customWidth="1"/>
    <col min="26" max="26" width="16.85546875" bestFit="1" customWidth="1"/>
    <col min="27" max="27" width="21.140625" bestFit="1" customWidth="1"/>
    <col min="28" max="28" width="38" bestFit="1" customWidth="1"/>
    <col min="29" max="29" width="24.28515625" bestFit="1" customWidth="1"/>
    <col min="30" max="30" width="15.5703125" bestFit="1" customWidth="1"/>
    <col min="31" max="31" width="13.5703125" bestFit="1" customWidth="1"/>
    <col min="32" max="33" width="24.42578125" bestFit="1" customWidth="1"/>
    <col min="34" max="34" width="17.42578125" bestFit="1" customWidth="1"/>
    <col min="35" max="35" width="18.5703125" bestFit="1" customWidth="1"/>
    <col min="36" max="36" width="20.140625" bestFit="1" customWidth="1"/>
    <col min="37" max="37" width="16.28515625" bestFit="1" customWidth="1"/>
    <col min="38" max="38" width="22.7109375" bestFit="1" customWidth="1"/>
  </cols>
  <sheetData>
    <row r="1" spans="1:16" x14ac:dyDescent="0.25">
      <c r="A1" t="s">
        <v>4</v>
      </c>
      <c r="B1" t="s">
        <v>1284</v>
      </c>
      <c r="C1" t="s">
        <v>1319</v>
      </c>
      <c r="D1" t="s">
        <v>1328</v>
      </c>
      <c r="E1" t="s">
        <v>1329</v>
      </c>
      <c r="F1" t="s">
        <v>1330</v>
      </c>
      <c r="G1" t="s">
        <v>1331</v>
      </c>
      <c r="H1" t="s">
        <v>1305</v>
      </c>
      <c r="I1" t="s">
        <v>1306</v>
      </c>
      <c r="J1" t="s">
        <v>1307</v>
      </c>
      <c r="K1" t="s">
        <v>1327</v>
      </c>
      <c r="L1" t="s">
        <v>1308</v>
      </c>
      <c r="M1" t="s">
        <v>1309</v>
      </c>
      <c r="N1" t="s">
        <v>1310</v>
      </c>
      <c r="O1" t="s">
        <v>1311</v>
      </c>
      <c r="P1" t="s">
        <v>1312</v>
      </c>
    </row>
    <row r="2" spans="1:16" x14ac:dyDescent="0.25">
      <c r="A2" t="s">
        <v>313</v>
      </c>
      <c r="B2" t="s">
        <v>1388</v>
      </c>
      <c r="D2">
        <v>0</v>
      </c>
      <c r="F2">
        <v>25</v>
      </c>
      <c r="G2">
        <v>0</v>
      </c>
      <c r="H2">
        <v>3494</v>
      </c>
      <c r="I2">
        <v>804</v>
      </c>
      <c r="J2">
        <v>829</v>
      </c>
      <c r="K2">
        <v>829</v>
      </c>
      <c r="L2">
        <v>0.237263880938752</v>
      </c>
      <c r="M2" t="s">
        <v>657</v>
      </c>
      <c r="N2" t="s">
        <v>657</v>
      </c>
      <c r="O2" t="s">
        <v>657</v>
      </c>
      <c r="P2" t="s">
        <v>657</v>
      </c>
    </row>
    <row r="3" spans="1:16" x14ac:dyDescent="0.25">
      <c r="A3" t="s">
        <v>264</v>
      </c>
      <c r="B3" t="s">
        <v>265</v>
      </c>
      <c r="D3">
        <v>0</v>
      </c>
      <c r="F3">
        <v>1</v>
      </c>
      <c r="G3">
        <v>0</v>
      </c>
      <c r="H3">
        <v>737</v>
      </c>
      <c r="I3">
        <v>38</v>
      </c>
      <c r="J3">
        <v>39</v>
      </c>
      <c r="K3">
        <v>39</v>
      </c>
      <c r="L3">
        <v>5.2917232021709601E-2</v>
      </c>
      <c r="M3" t="s">
        <v>657</v>
      </c>
      <c r="N3" t="s">
        <v>92</v>
      </c>
      <c r="O3" t="s">
        <v>657</v>
      </c>
      <c r="P3" t="s">
        <v>657</v>
      </c>
    </row>
    <row r="4" spans="1:16" x14ac:dyDescent="0.25">
      <c r="A4" t="s">
        <v>266</v>
      </c>
      <c r="B4" t="s">
        <v>267</v>
      </c>
      <c r="D4">
        <v>0</v>
      </c>
      <c r="F4">
        <v>0</v>
      </c>
      <c r="G4">
        <v>0</v>
      </c>
      <c r="H4">
        <v>98</v>
      </c>
      <c r="I4">
        <v>6</v>
      </c>
      <c r="J4">
        <v>6</v>
      </c>
      <c r="K4">
        <v>6</v>
      </c>
      <c r="L4">
        <v>6.1224489795918401E-2</v>
      </c>
      <c r="M4" t="s">
        <v>92</v>
      </c>
      <c r="N4" t="s">
        <v>92</v>
      </c>
      <c r="O4" t="s">
        <v>92</v>
      </c>
      <c r="P4" t="s">
        <v>92</v>
      </c>
    </row>
    <row r="5" spans="1:16" x14ac:dyDescent="0.25">
      <c r="A5" t="s">
        <v>93</v>
      </c>
      <c r="B5" t="s">
        <v>94</v>
      </c>
      <c r="D5">
        <v>0</v>
      </c>
      <c r="F5">
        <v>7</v>
      </c>
      <c r="G5">
        <v>0</v>
      </c>
      <c r="H5">
        <v>2828</v>
      </c>
      <c r="I5">
        <v>255</v>
      </c>
      <c r="J5">
        <v>262</v>
      </c>
      <c r="K5">
        <v>262</v>
      </c>
      <c r="L5">
        <v>9.2644978783592596E-2</v>
      </c>
      <c r="M5" t="s">
        <v>657</v>
      </c>
      <c r="N5" t="s">
        <v>92</v>
      </c>
      <c r="O5" t="s">
        <v>657</v>
      </c>
      <c r="P5" t="s">
        <v>657</v>
      </c>
    </row>
    <row r="6" spans="1:16" x14ac:dyDescent="0.25">
      <c r="A6" t="s">
        <v>95</v>
      </c>
      <c r="B6" t="s">
        <v>96</v>
      </c>
      <c r="D6">
        <v>0</v>
      </c>
      <c r="F6">
        <v>21</v>
      </c>
      <c r="G6">
        <v>0</v>
      </c>
      <c r="H6">
        <v>5915</v>
      </c>
      <c r="I6">
        <v>554</v>
      </c>
      <c r="J6">
        <v>575</v>
      </c>
      <c r="K6">
        <v>575</v>
      </c>
      <c r="L6">
        <v>9.7210481825866404E-2</v>
      </c>
      <c r="M6" t="s">
        <v>657</v>
      </c>
      <c r="N6" t="s">
        <v>92</v>
      </c>
      <c r="O6" t="s">
        <v>657</v>
      </c>
      <c r="P6" t="s">
        <v>657</v>
      </c>
    </row>
    <row r="7" spans="1:16" x14ac:dyDescent="0.25">
      <c r="A7" t="s">
        <v>314</v>
      </c>
      <c r="B7" t="s">
        <v>315</v>
      </c>
      <c r="D7">
        <v>0</v>
      </c>
      <c r="F7">
        <v>0</v>
      </c>
      <c r="G7">
        <v>0</v>
      </c>
      <c r="H7">
        <v>493</v>
      </c>
      <c r="I7">
        <v>48</v>
      </c>
      <c r="J7">
        <v>48</v>
      </c>
      <c r="K7">
        <v>48</v>
      </c>
      <c r="L7">
        <v>9.7363083164300201E-2</v>
      </c>
      <c r="M7" t="s">
        <v>657</v>
      </c>
      <c r="N7" t="s">
        <v>92</v>
      </c>
      <c r="O7" t="s">
        <v>657</v>
      </c>
      <c r="P7" t="s">
        <v>657</v>
      </c>
    </row>
    <row r="8" spans="1:16" x14ac:dyDescent="0.25">
      <c r="A8" t="s">
        <v>316</v>
      </c>
      <c r="B8" t="s">
        <v>317</v>
      </c>
      <c r="D8">
        <v>0</v>
      </c>
      <c r="F8">
        <v>51</v>
      </c>
      <c r="G8">
        <v>0</v>
      </c>
      <c r="H8">
        <v>18293</v>
      </c>
      <c r="I8">
        <v>2918</v>
      </c>
      <c r="J8">
        <v>2969</v>
      </c>
      <c r="K8">
        <v>2969</v>
      </c>
      <c r="L8">
        <v>0.16230252008965201</v>
      </c>
      <c r="M8" t="s">
        <v>657</v>
      </c>
      <c r="N8" t="s">
        <v>657</v>
      </c>
      <c r="O8" t="s">
        <v>657</v>
      </c>
      <c r="P8" t="s">
        <v>657</v>
      </c>
    </row>
    <row r="9" spans="1:16" x14ac:dyDescent="0.25">
      <c r="A9" t="s">
        <v>97</v>
      </c>
      <c r="B9" t="s">
        <v>98</v>
      </c>
      <c r="D9">
        <v>0</v>
      </c>
      <c r="F9">
        <v>1</v>
      </c>
      <c r="G9">
        <v>0</v>
      </c>
      <c r="H9">
        <v>3975</v>
      </c>
      <c r="I9">
        <v>141</v>
      </c>
      <c r="J9">
        <v>142</v>
      </c>
      <c r="K9">
        <v>142</v>
      </c>
      <c r="L9">
        <v>3.57232704402516E-2</v>
      </c>
      <c r="M9" t="s">
        <v>657</v>
      </c>
      <c r="N9" t="s">
        <v>92</v>
      </c>
      <c r="O9" t="s">
        <v>92</v>
      </c>
      <c r="P9" t="s">
        <v>92</v>
      </c>
    </row>
    <row r="10" spans="1:16" x14ac:dyDescent="0.25">
      <c r="A10" t="s">
        <v>99</v>
      </c>
      <c r="B10" t="s">
        <v>100</v>
      </c>
      <c r="D10">
        <v>0</v>
      </c>
      <c r="F10">
        <v>30</v>
      </c>
      <c r="G10">
        <v>0</v>
      </c>
      <c r="H10">
        <v>15822</v>
      </c>
      <c r="I10">
        <v>788</v>
      </c>
      <c r="J10">
        <v>818</v>
      </c>
      <c r="K10">
        <v>818</v>
      </c>
      <c r="L10">
        <v>5.1700164328150701E-2</v>
      </c>
      <c r="M10" t="s">
        <v>657</v>
      </c>
      <c r="N10" t="s">
        <v>92</v>
      </c>
      <c r="O10" t="s">
        <v>657</v>
      </c>
      <c r="P10" t="s">
        <v>657</v>
      </c>
    </row>
    <row r="11" spans="1:16" x14ac:dyDescent="0.25">
      <c r="A11" t="s">
        <v>101</v>
      </c>
      <c r="B11" t="s">
        <v>102</v>
      </c>
      <c r="D11">
        <v>0</v>
      </c>
      <c r="F11">
        <v>12</v>
      </c>
      <c r="G11">
        <v>0</v>
      </c>
      <c r="H11">
        <v>22393</v>
      </c>
      <c r="I11">
        <v>1339</v>
      </c>
      <c r="J11">
        <v>1351</v>
      </c>
      <c r="K11">
        <v>1351</v>
      </c>
      <c r="L11">
        <v>6.0331353547983801E-2</v>
      </c>
      <c r="M11" t="s">
        <v>657</v>
      </c>
      <c r="N11" t="s">
        <v>92</v>
      </c>
      <c r="O11" t="s">
        <v>657</v>
      </c>
      <c r="P11" t="s">
        <v>657</v>
      </c>
    </row>
    <row r="12" spans="1:16" x14ac:dyDescent="0.25">
      <c r="A12" t="s">
        <v>59</v>
      </c>
      <c r="B12" t="s">
        <v>1390</v>
      </c>
      <c r="C12" t="s">
        <v>59</v>
      </c>
      <c r="D12">
        <v>0</v>
      </c>
      <c r="F12">
        <v>35</v>
      </c>
      <c r="G12">
        <v>0</v>
      </c>
      <c r="H12">
        <v>12465.098684210523</v>
      </c>
      <c r="I12">
        <v>1329.0142430507692</v>
      </c>
      <c r="J12">
        <v>1364.0142430507692</v>
      </c>
      <c r="K12">
        <v>1372</v>
      </c>
      <c r="L12">
        <v>0.109426670225929</v>
      </c>
      <c r="M12" t="s">
        <v>657</v>
      </c>
      <c r="N12" t="s">
        <v>92</v>
      </c>
      <c r="O12" t="s">
        <v>657</v>
      </c>
      <c r="P12" t="s">
        <v>657</v>
      </c>
    </row>
    <row r="13" spans="1:16" x14ac:dyDescent="0.25">
      <c r="A13" t="s">
        <v>103</v>
      </c>
      <c r="B13" t="s">
        <v>104</v>
      </c>
      <c r="D13">
        <v>0</v>
      </c>
      <c r="F13">
        <v>0</v>
      </c>
      <c r="G13">
        <v>0</v>
      </c>
      <c r="H13">
        <v>16</v>
      </c>
      <c r="I13">
        <v>1</v>
      </c>
      <c r="J13">
        <v>1</v>
      </c>
      <c r="K13">
        <v>1</v>
      </c>
      <c r="L13">
        <v>6.25E-2</v>
      </c>
      <c r="M13" t="s">
        <v>92</v>
      </c>
      <c r="N13" t="s">
        <v>92</v>
      </c>
      <c r="O13" t="s">
        <v>92</v>
      </c>
      <c r="P13" t="s">
        <v>92</v>
      </c>
    </row>
    <row r="14" spans="1:16" x14ac:dyDescent="0.25">
      <c r="A14" t="s">
        <v>268</v>
      </c>
      <c r="B14" t="s">
        <v>269</v>
      </c>
      <c r="D14">
        <v>0</v>
      </c>
      <c r="F14">
        <v>91</v>
      </c>
      <c r="G14">
        <v>0</v>
      </c>
      <c r="H14">
        <v>24134</v>
      </c>
      <c r="I14">
        <v>2228</v>
      </c>
      <c r="J14">
        <v>2319</v>
      </c>
      <c r="K14">
        <v>2319</v>
      </c>
      <c r="L14">
        <v>9.6088505842380004E-2</v>
      </c>
      <c r="M14" t="s">
        <v>657</v>
      </c>
      <c r="N14" t="s">
        <v>92</v>
      </c>
      <c r="O14" t="s">
        <v>657</v>
      </c>
      <c r="P14" t="s">
        <v>657</v>
      </c>
    </row>
    <row r="15" spans="1:16" x14ac:dyDescent="0.25">
      <c r="A15" t="s">
        <v>318</v>
      </c>
      <c r="B15" t="s">
        <v>319</v>
      </c>
      <c r="D15">
        <v>0</v>
      </c>
      <c r="F15">
        <v>0</v>
      </c>
      <c r="G15">
        <v>0</v>
      </c>
      <c r="H15">
        <v>78</v>
      </c>
      <c r="I15">
        <v>12</v>
      </c>
      <c r="J15">
        <v>12</v>
      </c>
      <c r="K15">
        <v>12</v>
      </c>
      <c r="L15">
        <v>0.15384615384615399</v>
      </c>
      <c r="M15" t="s">
        <v>657</v>
      </c>
      <c r="N15" t="s">
        <v>657</v>
      </c>
      <c r="O15" t="s">
        <v>657</v>
      </c>
      <c r="P15" t="s">
        <v>657</v>
      </c>
    </row>
    <row r="16" spans="1:16" x14ac:dyDescent="0.25">
      <c r="A16" t="s">
        <v>320</v>
      </c>
      <c r="B16" t="s">
        <v>321</v>
      </c>
      <c r="D16">
        <v>0</v>
      </c>
      <c r="F16">
        <v>4</v>
      </c>
      <c r="G16">
        <v>0</v>
      </c>
      <c r="H16">
        <v>2473</v>
      </c>
      <c r="I16">
        <v>265</v>
      </c>
      <c r="J16">
        <v>269</v>
      </c>
      <c r="K16">
        <v>269</v>
      </c>
      <c r="L16">
        <v>0.10877476748888</v>
      </c>
      <c r="M16" t="s">
        <v>657</v>
      </c>
      <c r="N16" t="s">
        <v>92</v>
      </c>
      <c r="O16" t="s">
        <v>657</v>
      </c>
      <c r="P16" t="s">
        <v>657</v>
      </c>
    </row>
    <row r="17" spans="1:16" x14ac:dyDescent="0.25">
      <c r="A17" t="s">
        <v>322</v>
      </c>
      <c r="B17" t="s">
        <v>323</v>
      </c>
      <c r="D17">
        <v>0</v>
      </c>
      <c r="F17">
        <v>2</v>
      </c>
      <c r="G17">
        <v>0</v>
      </c>
      <c r="H17">
        <v>215</v>
      </c>
      <c r="I17">
        <v>28</v>
      </c>
      <c r="J17">
        <v>30</v>
      </c>
      <c r="K17">
        <v>30</v>
      </c>
      <c r="L17">
        <v>0.13953488372093001</v>
      </c>
      <c r="M17" t="s">
        <v>657</v>
      </c>
      <c r="N17" t="s">
        <v>92</v>
      </c>
      <c r="O17" t="s">
        <v>657</v>
      </c>
      <c r="P17" t="s">
        <v>657</v>
      </c>
    </row>
    <row r="18" spans="1:16" x14ac:dyDescent="0.25">
      <c r="A18" t="s">
        <v>58</v>
      </c>
      <c r="B18" t="s">
        <v>9</v>
      </c>
      <c r="C18" t="s">
        <v>58</v>
      </c>
      <c r="D18">
        <v>0</v>
      </c>
      <c r="F18">
        <v>25</v>
      </c>
      <c r="G18">
        <v>0</v>
      </c>
      <c r="H18">
        <v>4867.243829018661</v>
      </c>
      <c r="I18">
        <v>923.91679104477635</v>
      </c>
      <c r="J18">
        <v>948.91679104477635</v>
      </c>
      <c r="K18">
        <v>1052</v>
      </c>
      <c r="L18">
        <v>0.19495978101349801</v>
      </c>
      <c r="M18" t="s">
        <v>657</v>
      </c>
      <c r="N18" t="s">
        <v>657</v>
      </c>
      <c r="O18" t="s">
        <v>657</v>
      </c>
      <c r="P18" t="s">
        <v>657</v>
      </c>
    </row>
    <row r="19" spans="1:16" x14ac:dyDescent="0.25">
      <c r="A19" t="s">
        <v>324</v>
      </c>
      <c r="B19" t="s">
        <v>325</v>
      </c>
      <c r="D19">
        <v>0</v>
      </c>
      <c r="F19">
        <v>12</v>
      </c>
      <c r="G19">
        <v>0</v>
      </c>
      <c r="H19">
        <v>968</v>
      </c>
      <c r="I19">
        <v>178</v>
      </c>
      <c r="J19">
        <v>190</v>
      </c>
      <c r="K19">
        <v>190</v>
      </c>
      <c r="L19">
        <v>0.19628099173553701</v>
      </c>
      <c r="M19" t="s">
        <v>657</v>
      </c>
      <c r="N19" t="s">
        <v>657</v>
      </c>
      <c r="O19" t="s">
        <v>657</v>
      </c>
      <c r="P19" t="s">
        <v>657</v>
      </c>
    </row>
    <row r="20" spans="1:16" x14ac:dyDescent="0.25">
      <c r="A20" t="s">
        <v>326</v>
      </c>
      <c r="B20" t="s">
        <v>327</v>
      </c>
      <c r="D20">
        <v>0</v>
      </c>
      <c r="F20">
        <v>0</v>
      </c>
      <c r="G20">
        <v>0</v>
      </c>
      <c r="H20">
        <v>677</v>
      </c>
      <c r="I20">
        <v>163</v>
      </c>
      <c r="J20">
        <v>163</v>
      </c>
      <c r="K20">
        <v>163</v>
      </c>
      <c r="L20">
        <v>0.24076809453471201</v>
      </c>
      <c r="M20" t="s">
        <v>657</v>
      </c>
      <c r="N20" t="s">
        <v>657</v>
      </c>
      <c r="O20" t="s">
        <v>657</v>
      </c>
      <c r="P20" t="s">
        <v>657</v>
      </c>
    </row>
    <row r="21" spans="1:16" x14ac:dyDescent="0.25">
      <c r="A21" t="s">
        <v>328</v>
      </c>
      <c r="B21" t="s">
        <v>329</v>
      </c>
      <c r="D21">
        <v>0</v>
      </c>
      <c r="F21">
        <v>0</v>
      </c>
      <c r="G21">
        <v>0</v>
      </c>
      <c r="H21">
        <v>116</v>
      </c>
      <c r="I21">
        <v>27</v>
      </c>
      <c r="J21">
        <v>27</v>
      </c>
      <c r="K21">
        <v>27</v>
      </c>
      <c r="L21">
        <v>0.232758620689655</v>
      </c>
      <c r="M21" t="s">
        <v>657</v>
      </c>
      <c r="N21" t="s">
        <v>657</v>
      </c>
      <c r="O21" t="s">
        <v>657</v>
      </c>
      <c r="P21" t="s">
        <v>657</v>
      </c>
    </row>
    <row r="22" spans="1:16" x14ac:dyDescent="0.25">
      <c r="A22" t="s">
        <v>330</v>
      </c>
      <c r="B22" t="s">
        <v>331</v>
      </c>
      <c r="D22">
        <v>0</v>
      </c>
      <c r="F22">
        <v>10</v>
      </c>
      <c r="G22">
        <v>0</v>
      </c>
      <c r="H22">
        <v>3721</v>
      </c>
      <c r="I22">
        <v>390</v>
      </c>
      <c r="J22">
        <v>400</v>
      </c>
      <c r="K22">
        <v>400</v>
      </c>
      <c r="L22">
        <v>0.107497984412792</v>
      </c>
      <c r="M22" t="s">
        <v>657</v>
      </c>
      <c r="N22" t="s">
        <v>92</v>
      </c>
      <c r="O22" t="s">
        <v>657</v>
      </c>
      <c r="P22" t="s">
        <v>657</v>
      </c>
    </row>
    <row r="23" spans="1:16" x14ac:dyDescent="0.25">
      <c r="A23" t="s">
        <v>105</v>
      </c>
      <c r="B23" t="s">
        <v>106</v>
      </c>
      <c r="D23">
        <v>0</v>
      </c>
      <c r="F23">
        <v>8</v>
      </c>
      <c r="G23">
        <v>0</v>
      </c>
      <c r="H23">
        <v>7408</v>
      </c>
      <c r="I23">
        <v>246</v>
      </c>
      <c r="J23">
        <v>254</v>
      </c>
      <c r="K23">
        <v>254</v>
      </c>
      <c r="L23">
        <v>3.4287257019438397E-2</v>
      </c>
      <c r="M23" t="s">
        <v>657</v>
      </c>
      <c r="N23" t="s">
        <v>92</v>
      </c>
      <c r="O23" t="s">
        <v>92</v>
      </c>
      <c r="P23" t="s">
        <v>92</v>
      </c>
    </row>
    <row r="24" spans="1:16" x14ac:dyDescent="0.25">
      <c r="A24" t="s">
        <v>332</v>
      </c>
      <c r="B24" t="s">
        <v>333</v>
      </c>
      <c r="D24">
        <v>0</v>
      </c>
      <c r="F24">
        <v>3</v>
      </c>
      <c r="G24">
        <v>0</v>
      </c>
      <c r="H24">
        <v>550</v>
      </c>
      <c r="I24">
        <v>112</v>
      </c>
      <c r="J24">
        <v>115</v>
      </c>
      <c r="K24">
        <v>115</v>
      </c>
      <c r="L24">
        <v>0.20909090909090899</v>
      </c>
      <c r="M24" t="s">
        <v>657</v>
      </c>
      <c r="N24" t="s">
        <v>657</v>
      </c>
      <c r="O24" t="s">
        <v>657</v>
      </c>
      <c r="P24" t="s">
        <v>657</v>
      </c>
    </row>
    <row r="25" spans="1:16" x14ac:dyDescent="0.25">
      <c r="A25" t="s">
        <v>107</v>
      </c>
      <c r="B25" t="s">
        <v>108</v>
      </c>
      <c r="D25">
        <v>0</v>
      </c>
      <c r="F25">
        <v>0</v>
      </c>
      <c r="G25">
        <v>0</v>
      </c>
      <c r="H25">
        <v>208</v>
      </c>
      <c r="I25">
        <v>7</v>
      </c>
      <c r="J25">
        <v>7</v>
      </c>
      <c r="K25">
        <v>7</v>
      </c>
      <c r="L25">
        <v>3.3653846153846201E-2</v>
      </c>
      <c r="M25" t="s">
        <v>92</v>
      </c>
      <c r="N25" t="s">
        <v>92</v>
      </c>
      <c r="O25" t="s">
        <v>92</v>
      </c>
      <c r="P25" t="s">
        <v>92</v>
      </c>
    </row>
    <row r="26" spans="1:16" x14ac:dyDescent="0.25">
      <c r="A26" t="s">
        <v>334</v>
      </c>
      <c r="B26" t="s">
        <v>335</v>
      </c>
      <c r="D26">
        <v>0</v>
      </c>
      <c r="F26">
        <v>1</v>
      </c>
      <c r="G26">
        <v>0</v>
      </c>
      <c r="H26">
        <v>1554</v>
      </c>
      <c r="I26">
        <v>176</v>
      </c>
      <c r="J26">
        <v>177</v>
      </c>
      <c r="K26">
        <v>177</v>
      </c>
      <c r="L26">
        <v>0.11389961389961401</v>
      </c>
      <c r="M26" t="s">
        <v>657</v>
      </c>
      <c r="N26" t="s">
        <v>92</v>
      </c>
      <c r="O26" t="s">
        <v>657</v>
      </c>
      <c r="P26" t="s">
        <v>657</v>
      </c>
    </row>
    <row r="27" spans="1:16" x14ac:dyDescent="0.25">
      <c r="A27" t="s">
        <v>336</v>
      </c>
      <c r="B27" t="s">
        <v>337</v>
      </c>
      <c r="D27">
        <v>0</v>
      </c>
      <c r="F27">
        <v>8</v>
      </c>
      <c r="G27">
        <v>0</v>
      </c>
      <c r="H27">
        <v>1496</v>
      </c>
      <c r="I27">
        <v>161</v>
      </c>
      <c r="J27">
        <v>169</v>
      </c>
      <c r="K27">
        <v>169</v>
      </c>
      <c r="L27">
        <v>0.112967914438503</v>
      </c>
      <c r="M27" t="s">
        <v>657</v>
      </c>
      <c r="N27" t="s">
        <v>92</v>
      </c>
      <c r="O27" t="s">
        <v>657</v>
      </c>
      <c r="P27" t="s">
        <v>657</v>
      </c>
    </row>
    <row r="28" spans="1:16" x14ac:dyDescent="0.25">
      <c r="A28" t="s">
        <v>109</v>
      </c>
      <c r="B28" t="s">
        <v>110</v>
      </c>
      <c r="D28">
        <v>0</v>
      </c>
      <c r="F28">
        <v>2</v>
      </c>
      <c r="G28">
        <v>0</v>
      </c>
      <c r="H28">
        <v>1636</v>
      </c>
      <c r="I28">
        <v>181</v>
      </c>
      <c r="J28">
        <v>183</v>
      </c>
      <c r="K28">
        <v>183</v>
      </c>
      <c r="L28">
        <v>0.111858190709046</v>
      </c>
      <c r="M28" t="s">
        <v>657</v>
      </c>
      <c r="N28" t="s">
        <v>92</v>
      </c>
      <c r="O28" t="s">
        <v>657</v>
      </c>
      <c r="P28" t="s">
        <v>657</v>
      </c>
    </row>
    <row r="29" spans="1:16" x14ac:dyDescent="0.25">
      <c r="A29" t="s">
        <v>69</v>
      </c>
      <c r="B29" t="s">
        <v>1403</v>
      </c>
      <c r="C29" t="s">
        <v>58</v>
      </c>
      <c r="D29">
        <v>0</v>
      </c>
      <c r="E29">
        <v>0</v>
      </c>
      <c r="F29">
        <v>0</v>
      </c>
      <c r="G29">
        <v>0</v>
      </c>
      <c r="H29">
        <v>610.77824603652425</v>
      </c>
      <c r="I29">
        <v>85.072388059701495</v>
      </c>
      <c r="J29">
        <v>85.072388059701495</v>
      </c>
      <c r="K29">
        <v>0</v>
      </c>
      <c r="L29">
        <v>0.13928522931482101</v>
      </c>
      <c r="M29" t="s">
        <v>657</v>
      </c>
      <c r="N29" t="s">
        <v>92</v>
      </c>
      <c r="O29" t="s">
        <v>657</v>
      </c>
      <c r="P29" t="s">
        <v>657</v>
      </c>
    </row>
    <row r="30" spans="1:16" x14ac:dyDescent="0.25">
      <c r="A30" t="s">
        <v>338</v>
      </c>
      <c r="B30" t="s">
        <v>339</v>
      </c>
      <c r="D30">
        <v>0</v>
      </c>
      <c r="F30">
        <v>0</v>
      </c>
      <c r="G30">
        <v>0</v>
      </c>
      <c r="H30">
        <v>93</v>
      </c>
      <c r="I30">
        <v>27</v>
      </c>
      <c r="J30">
        <v>27</v>
      </c>
      <c r="K30">
        <v>27</v>
      </c>
      <c r="L30">
        <v>0.29032258064516098</v>
      </c>
      <c r="M30" t="s">
        <v>657</v>
      </c>
      <c r="N30" t="s">
        <v>657</v>
      </c>
      <c r="O30" t="s">
        <v>657</v>
      </c>
      <c r="P30" t="s">
        <v>657</v>
      </c>
    </row>
    <row r="31" spans="1:16" x14ac:dyDescent="0.25">
      <c r="A31" t="s">
        <v>111</v>
      </c>
      <c r="B31" t="s">
        <v>112</v>
      </c>
      <c r="D31">
        <v>0</v>
      </c>
      <c r="F31">
        <v>33</v>
      </c>
      <c r="G31">
        <v>0</v>
      </c>
      <c r="H31">
        <v>11148</v>
      </c>
      <c r="I31">
        <v>853</v>
      </c>
      <c r="J31">
        <v>886</v>
      </c>
      <c r="K31">
        <v>886</v>
      </c>
      <c r="L31">
        <v>7.9476139217796907E-2</v>
      </c>
      <c r="M31" t="s">
        <v>657</v>
      </c>
      <c r="N31" t="s">
        <v>92</v>
      </c>
      <c r="O31" t="s">
        <v>657</v>
      </c>
      <c r="P31" t="s">
        <v>657</v>
      </c>
    </row>
    <row r="32" spans="1:16" x14ac:dyDescent="0.25">
      <c r="A32" t="s">
        <v>270</v>
      </c>
      <c r="B32" t="s">
        <v>271</v>
      </c>
      <c r="D32">
        <v>0</v>
      </c>
      <c r="F32">
        <v>78</v>
      </c>
      <c r="G32">
        <v>0</v>
      </c>
      <c r="H32">
        <v>17019</v>
      </c>
      <c r="I32">
        <v>1806</v>
      </c>
      <c r="J32">
        <v>1884</v>
      </c>
      <c r="K32">
        <v>1884</v>
      </c>
      <c r="L32">
        <v>0.110699806099066</v>
      </c>
      <c r="M32" t="s">
        <v>657</v>
      </c>
      <c r="N32" t="s">
        <v>92</v>
      </c>
      <c r="O32" t="s">
        <v>657</v>
      </c>
      <c r="P32" t="s">
        <v>657</v>
      </c>
    </row>
    <row r="33" spans="1:16" x14ac:dyDescent="0.25">
      <c r="A33" t="s">
        <v>340</v>
      </c>
      <c r="B33" t="s">
        <v>341</v>
      </c>
      <c r="D33">
        <v>0</v>
      </c>
      <c r="F33">
        <v>19</v>
      </c>
      <c r="G33">
        <v>0</v>
      </c>
      <c r="H33">
        <v>4274</v>
      </c>
      <c r="I33">
        <v>748</v>
      </c>
      <c r="J33">
        <v>767</v>
      </c>
      <c r="K33">
        <v>767</v>
      </c>
      <c r="L33">
        <v>0.17945718296677601</v>
      </c>
      <c r="M33" t="s">
        <v>657</v>
      </c>
      <c r="N33" t="s">
        <v>657</v>
      </c>
      <c r="O33" t="s">
        <v>657</v>
      </c>
      <c r="P33" t="s">
        <v>657</v>
      </c>
    </row>
    <row r="34" spans="1:16" x14ac:dyDescent="0.25">
      <c r="A34" t="s">
        <v>342</v>
      </c>
      <c r="B34" t="s">
        <v>343</v>
      </c>
      <c r="D34">
        <v>0</v>
      </c>
      <c r="F34">
        <v>15</v>
      </c>
      <c r="G34">
        <v>0</v>
      </c>
      <c r="H34">
        <v>2864</v>
      </c>
      <c r="I34">
        <v>249</v>
      </c>
      <c r="J34">
        <v>264</v>
      </c>
      <c r="K34">
        <v>264</v>
      </c>
      <c r="L34">
        <v>9.2178770949720698E-2</v>
      </c>
      <c r="M34" t="s">
        <v>657</v>
      </c>
      <c r="N34" t="s">
        <v>92</v>
      </c>
      <c r="O34" t="s">
        <v>657</v>
      </c>
      <c r="P34" t="s">
        <v>657</v>
      </c>
    </row>
    <row r="35" spans="1:16" x14ac:dyDescent="0.25">
      <c r="A35" t="s">
        <v>272</v>
      </c>
      <c r="B35" t="s">
        <v>273</v>
      </c>
      <c r="D35">
        <v>0</v>
      </c>
      <c r="F35">
        <v>24</v>
      </c>
      <c r="G35">
        <v>0</v>
      </c>
      <c r="H35">
        <v>6241</v>
      </c>
      <c r="I35">
        <v>860</v>
      </c>
      <c r="J35">
        <v>884</v>
      </c>
      <c r="K35">
        <v>884</v>
      </c>
      <c r="L35">
        <v>0.141643967312931</v>
      </c>
      <c r="M35" t="s">
        <v>657</v>
      </c>
      <c r="N35" t="s">
        <v>92</v>
      </c>
      <c r="O35" t="s">
        <v>657</v>
      </c>
      <c r="P35" t="s">
        <v>657</v>
      </c>
    </row>
    <row r="36" spans="1:16" x14ac:dyDescent="0.25">
      <c r="A36" t="s">
        <v>344</v>
      </c>
      <c r="B36" t="s">
        <v>345</v>
      </c>
      <c r="D36">
        <v>0</v>
      </c>
      <c r="F36">
        <v>1</v>
      </c>
      <c r="G36">
        <v>0</v>
      </c>
      <c r="H36">
        <v>938</v>
      </c>
      <c r="I36">
        <v>160</v>
      </c>
      <c r="J36">
        <v>161</v>
      </c>
      <c r="K36">
        <v>161</v>
      </c>
      <c r="L36">
        <v>0.171641791044776</v>
      </c>
      <c r="M36" t="s">
        <v>657</v>
      </c>
      <c r="N36" t="s">
        <v>657</v>
      </c>
      <c r="O36" t="s">
        <v>657</v>
      </c>
      <c r="P36" t="s">
        <v>657</v>
      </c>
    </row>
    <row r="37" spans="1:16" x14ac:dyDescent="0.25">
      <c r="A37" t="s">
        <v>113</v>
      </c>
      <c r="B37" t="s">
        <v>114</v>
      </c>
      <c r="D37">
        <v>0</v>
      </c>
      <c r="F37">
        <v>5</v>
      </c>
      <c r="G37">
        <v>0</v>
      </c>
      <c r="H37">
        <v>1152</v>
      </c>
      <c r="I37">
        <v>170</v>
      </c>
      <c r="J37">
        <v>175</v>
      </c>
      <c r="K37">
        <v>175</v>
      </c>
      <c r="L37">
        <v>0.15190972222222199</v>
      </c>
      <c r="M37" t="s">
        <v>657</v>
      </c>
      <c r="N37" t="s">
        <v>657</v>
      </c>
      <c r="O37" t="s">
        <v>657</v>
      </c>
      <c r="P37" t="s">
        <v>657</v>
      </c>
    </row>
    <row r="38" spans="1:16" x14ac:dyDescent="0.25">
      <c r="A38" t="s">
        <v>346</v>
      </c>
      <c r="B38" t="s">
        <v>347</v>
      </c>
      <c r="D38">
        <v>0</v>
      </c>
      <c r="F38">
        <v>12</v>
      </c>
      <c r="G38">
        <v>0</v>
      </c>
      <c r="H38">
        <v>2795</v>
      </c>
      <c r="I38">
        <v>584</v>
      </c>
      <c r="J38">
        <v>596</v>
      </c>
      <c r="K38">
        <v>596</v>
      </c>
      <c r="L38">
        <v>0.21323792486583201</v>
      </c>
      <c r="M38" t="s">
        <v>657</v>
      </c>
      <c r="N38" t="s">
        <v>657</v>
      </c>
      <c r="O38" t="s">
        <v>657</v>
      </c>
      <c r="P38" t="s">
        <v>657</v>
      </c>
    </row>
    <row r="39" spans="1:16" x14ac:dyDescent="0.25">
      <c r="A39" t="s">
        <v>348</v>
      </c>
      <c r="B39" t="s">
        <v>349</v>
      </c>
      <c r="D39">
        <v>0</v>
      </c>
      <c r="F39">
        <v>7</v>
      </c>
      <c r="G39">
        <v>0</v>
      </c>
      <c r="H39">
        <v>1062</v>
      </c>
      <c r="I39">
        <v>148</v>
      </c>
      <c r="J39">
        <v>155</v>
      </c>
      <c r="K39">
        <v>155</v>
      </c>
      <c r="L39">
        <v>0.145951035781544</v>
      </c>
      <c r="M39" t="s">
        <v>657</v>
      </c>
      <c r="N39" t="s">
        <v>92</v>
      </c>
      <c r="O39" t="s">
        <v>657</v>
      </c>
      <c r="P39" t="s">
        <v>657</v>
      </c>
    </row>
    <row r="40" spans="1:16" x14ac:dyDescent="0.25">
      <c r="A40" t="s">
        <v>350</v>
      </c>
      <c r="B40" t="s">
        <v>351</v>
      </c>
      <c r="D40">
        <v>0</v>
      </c>
      <c r="F40">
        <v>36</v>
      </c>
      <c r="G40">
        <v>0</v>
      </c>
      <c r="H40">
        <v>13680</v>
      </c>
      <c r="I40">
        <v>1961</v>
      </c>
      <c r="J40">
        <v>1997</v>
      </c>
      <c r="K40">
        <v>1997</v>
      </c>
      <c r="L40">
        <v>0.14597953216374299</v>
      </c>
      <c r="M40" t="s">
        <v>657</v>
      </c>
      <c r="N40" t="s">
        <v>92</v>
      </c>
      <c r="O40" t="s">
        <v>657</v>
      </c>
      <c r="P40" t="s">
        <v>657</v>
      </c>
    </row>
    <row r="41" spans="1:16" x14ac:dyDescent="0.25">
      <c r="A41" t="s">
        <v>274</v>
      </c>
      <c r="B41" t="s">
        <v>275</v>
      </c>
      <c r="D41">
        <v>0</v>
      </c>
      <c r="F41">
        <v>0</v>
      </c>
      <c r="G41">
        <v>0</v>
      </c>
      <c r="H41">
        <v>597</v>
      </c>
      <c r="I41">
        <v>45</v>
      </c>
      <c r="J41">
        <v>45</v>
      </c>
      <c r="K41">
        <v>45</v>
      </c>
      <c r="L41">
        <v>7.5376884422110602E-2</v>
      </c>
      <c r="M41" t="s">
        <v>657</v>
      </c>
      <c r="N41" t="s">
        <v>92</v>
      </c>
      <c r="O41" t="s">
        <v>657</v>
      </c>
      <c r="P41" t="s">
        <v>657</v>
      </c>
    </row>
    <row r="42" spans="1:16" x14ac:dyDescent="0.25">
      <c r="A42" t="s">
        <v>352</v>
      </c>
      <c r="B42" t="s">
        <v>353</v>
      </c>
      <c r="D42">
        <v>0</v>
      </c>
      <c r="F42">
        <v>6</v>
      </c>
      <c r="G42">
        <v>0</v>
      </c>
      <c r="H42">
        <v>2035</v>
      </c>
      <c r="I42">
        <v>208</v>
      </c>
      <c r="J42">
        <v>214</v>
      </c>
      <c r="K42">
        <v>214</v>
      </c>
      <c r="L42">
        <v>0.10515970515970501</v>
      </c>
      <c r="M42" t="s">
        <v>657</v>
      </c>
      <c r="N42" t="s">
        <v>92</v>
      </c>
      <c r="O42" t="s">
        <v>657</v>
      </c>
      <c r="P42" t="s">
        <v>657</v>
      </c>
    </row>
    <row r="43" spans="1:16" x14ac:dyDescent="0.25">
      <c r="A43" t="s">
        <v>354</v>
      </c>
      <c r="B43" t="s">
        <v>355</v>
      </c>
      <c r="D43">
        <v>0</v>
      </c>
      <c r="F43">
        <v>0</v>
      </c>
      <c r="G43">
        <v>0</v>
      </c>
      <c r="H43">
        <v>240</v>
      </c>
      <c r="I43">
        <v>17</v>
      </c>
      <c r="J43">
        <v>17</v>
      </c>
      <c r="K43">
        <v>17</v>
      </c>
      <c r="L43">
        <v>7.0833333333333304E-2</v>
      </c>
      <c r="M43" t="s">
        <v>657</v>
      </c>
      <c r="N43" t="s">
        <v>92</v>
      </c>
      <c r="O43" t="s">
        <v>657</v>
      </c>
      <c r="P43" t="s">
        <v>657</v>
      </c>
    </row>
    <row r="44" spans="1:16" x14ac:dyDescent="0.25">
      <c r="A44" t="s">
        <v>356</v>
      </c>
      <c r="B44" t="s">
        <v>1394</v>
      </c>
      <c r="D44">
        <v>0</v>
      </c>
      <c r="F44">
        <v>0</v>
      </c>
      <c r="G44">
        <v>0</v>
      </c>
      <c r="H44">
        <v>205</v>
      </c>
      <c r="I44">
        <v>42</v>
      </c>
      <c r="J44">
        <v>42</v>
      </c>
      <c r="K44">
        <v>42</v>
      </c>
      <c r="L44">
        <v>0.20487804878048799</v>
      </c>
      <c r="M44" t="s">
        <v>657</v>
      </c>
      <c r="N44" t="s">
        <v>657</v>
      </c>
      <c r="O44" t="s">
        <v>657</v>
      </c>
      <c r="P44" t="s">
        <v>657</v>
      </c>
    </row>
    <row r="45" spans="1:16" x14ac:dyDescent="0.25">
      <c r="A45" t="s">
        <v>357</v>
      </c>
      <c r="B45" t="s">
        <v>1395</v>
      </c>
      <c r="D45">
        <v>0</v>
      </c>
      <c r="F45">
        <v>4</v>
      </c>
      <c r="G45">
        <v>0</v>
      </c>
      <c r="H45">
        <v>756</v>
      </c>
      <c r="I45">
        <v>98</v>
      </c>
      <c r="J45">
        <v>102</v>
      </c>
      <c r="K45">
        <v>102</v>
      </c>
      <c r="L45">
        <v>0.134920634920635</v>
      </c>
      <c r="M45" t="s">
        <v>657</v>
      </c>
      <c r="N45" t="s">
        <v>92</v>
      </c>
      <c r="O45" t="s">
        <v>657</v>
      </c>
      <c r="P45" t="s">
        <v>657</v>
      </c>
    </row>
    <row r="46" spans="1:16" x14ac:dyDescent="0.25">
      <c r="A46" t="s">
        <v>358</v>
      </c>
      <c r="B46" t="s">
        <v>359</v>
      </c>
      <c r="D46">
        <v>0</v>
      </c>
      <c r="F46">
        <v>5</v>
      </c>
      <c r="G46">
        <v>0</v>
      </c>
      <c r="H46">
        <v>1998</v>
      </c>
      <c r="I46">
        <v>318</v>
      </c>
      <c r="J46">
        <v>323</v>
      </c>
      <c r="K46">
        <v>323</v>
      </c>
      <c r="L46">
        <v>0.16166166166166199</v>
      </c>
      <c r="M46" t="s">
        <v>657</v>
      </c>
      <c r="N46" t="s">
        <v>657</v>
      </c>
      <c r="O46" t="s">
        <v>657</v>
      </c>
      <c r="P46" t="s">
        <v>657</v>
      </c>
    </row>
    <row r="47" spans="1:16" x14ac:dyDescent="0.25">
      <c r="A47" t="s">
        <v>360</v>
      </c>
      <c r="B47" t="s">
        <v>361</v>
      </c>
      <c r="D47">
        <v>0</v>
      </c>
      <c r="F47">
        <v>0</v>
      </c>
      <c r="G47">
        <v>0</v>
      </c>
      <c r="H47">
        <v>716</v>
      </c>
      <c r="I47">
        <v>140</v>
      </c>
      <c r="J47">
        <v>140</v>
      </c>
      <c r="K47">
        <v>140</v>
      </c>
      <c r="L47">
        <v>0.19553072625698301</v>
      </c>
      <c r="M47" t="s">
        <v>657</v>
      </c>
      <c r="N47" t="s">
        <v>657</v>
      </c>
      <c r="O47" t="s">
        <v>657</v>
      </c>
      <c r="P47" t="s">
        <v>657</v>
      </c>
    </row>
    <row r="48" spans="1:16" x14ac:dyDescent="0.25">
      <c r="A48" t="s">
        <v>115</v>
      </c>
      <c r="B48" t="s">
        <v>116</v>
      </c>
      <c r="D48">
        <v>0</v>
      </c>
      <c r="F48">
        <v>1</v>
      </c>
      <c r="G48">
        <v>0</v>
      </c>
      <c r="H48">
        <v>542</v>
      </c>
      <c r="I48">
        <v>58</v>
      </c>
      <c r="J48">
        <v>59</v>
      </c>
      <c r="K48">
        <v>59</v>
      </c>
      <c r="L48">
        <v>0.10885608856088599</v>
      </c>
      <c r="M48" t="s">
        <v>657</v>
      </c>
      <c r="N48" t="s">
        <v>92</v>
      </c>
      <c r="O48" t="s">
        <v>657</v>
      </c>
      <c r="P48" t="s">
        <v>657</v>
      </c>
    </row>
    <row r="49" spans="1:16" x14ac:dyDescent="0.25">
      <c r="A49" t="s">
        <v>117</v>
      </c>
      <c r="B49" t="s">
        <v>118</v>
      </c>
      <c r="D49">
        <v>0</v>
      </c>
      <c r="F49">
        <v>2</v>
      </c>
      <c r="G49">
        <v>0</v>
      </c>
      <c r="H49">
        <v>315</v>
      </c>
      <c r="I49">
        <v>48</v>
      </c>
      <c r="J49">
        <v>50</v>
      </c>
      <c r="K49">
        <v>50</v>
      </c>
      <c r="L49">
        <v>0.158730158730159</v>
      </c>
      <c r="M49" t="s">
        <v>657</v>
      </c>
      <c r="N49" t="s">
        <v>657</v>
      </c>
      <c r="O49" t="s">
        <v>657</v>
      </c>
      <c r="P49" t="s">
        <v>657</v>
      </c>
    </row>
    <row r="50" spans="1:16" x14ac:dyDescent="0.25">
      <c r="A50" t="s">
        <v>362</v>
      </c>
      <c r="B50" t="s">
        <v>363</v>
      </c>
      <c r="D50">
        <v>0</v>
      </c>
      <c r="F50">
        <v>0</v>
      </c>
      <c r="G50">
        <v>0</v>
      </c>
      <c r="H50">
        <v>247</v>
      </c>
      <c r="I50">
        <v>40</v>
      </c>
      <c r="J50">
        <v>40</v>
      </c>
      <c r="K50">
        <v>40</v>
      </c>
      <c r="L50">
        <v>0.16194331983805699</v>
      </c>
      <c r="M50" t="s">
        <v>657</v>
      </c>
      <c r="N50" t="s">
        <v>657</v>
      </c>
      <c r="O50" t="s">
        <v>657</v>
      </c>
      <c r="P50" t="s">
        <v>657</v>
      </c>
    </row>
    <row r="51" spans="1:16" x14ac:dyDescent="0.25">
      <c r="A51" t="s">
        <v>364</v>
      </c>
      <c r="B51" t="s">
        <v>365</v>
      </c>
      <c r="D51">
        <v>0</v>
      </c>
      <c r="F51">
        <v>1</v>
      </c>
      <c r="G51">
        <v>0</v>
      </c>
      <c r="H51">
        <v>1094</v>
      </c>
      <c r="I51">
        <v>95</v>
      </c>
      <c r="J51">
        <v>96</v>
      </c>
      <c r="K51">
        <v>96</v>
      </c>
      <c r="L51">
        <v>8.7751371115173699E-2</v>
      </c>
      <c r="M51" t="s">
        <v>657</v>
      </c>
      <c r="N51" t="s">
        <v>92</v>
      </c>
      <c r="O51" t="s">
        <v>657</v>
      </c>
      <c r="P51" t="s">
        <v>657</v>
      </c>
    </row>
    <row r="52" spans="1:16" x14ac:dyDescent="0.25">
      <c r="A52" t="s">
        <v>366</v>
      </c>
      <c r="B52" t="s">
        <v>367</v>
      </c>
      <c r="D52">
        <v>0</v>
      </c>
      <c r="F52">
        <v>9</v>
      </c>
      <c r="G52">
        <v>0</v>
      </c>
      <c r="H52">
        <v>345</v>
      </c>
      <c r="I52">
        <v>62</v>
      </c>
      <c r="J52">
        <v>71</v>
      </c>
      <c r="K52">
        <v>71</v>
      </c>
      <c r="L52">
        <v>0.20579710144927499</v>
      </c>
      <c r="M52" t="s">
        <v>657</v>
      </c>
      <c r="N52" t="s">
        <v>657</v>
      </c>
      <c r="O52" t="s">
        <v>657</v>
      </c>
      <c r="P52" t="s">
        <v>657</v>
      </c>
    </row>
    <row r="53" spans="1:16" x14ac:dyDescent="0.25">
      <c r="A53" t="s">
        <v>368</v>
      </c>
      <c r="B53" t="s">
        <v>369</v>
      </c>
      <c r="D53">
        <v>0</v>
      </c>
      <c r="F53">
        <v>0</v>
      </c>
      <c r="G53">
        <v>0</v>
      </c>
      <c r="H53">
        <v>114</v>
      </c>
      <c r="I53">
        <v>13</v>
      </c>
      <c r="J53">
        <v>13</v>
      </c>
      <c r="K53">
        <v>13</v>
      </c>
      <c r="L53">
        <v>0.114035087719298</v>
      </c>
      <c r="M53" t="s">
        <v>657</v>
      </c>
      <c r="N53" t="s">
        <v>92</v>
      </c>
      <c r="O53" t="s">
        <v>657</v>
      </c>
      <c r="P53" t="s">
        <v>657</v>
      </c>
    </row>
    <row r="54" spans="1:16" x14ac:dyDescent="0.25">
      <c r="A54" t="s">
        <v>370</v>
      </c>
      <c r="B54" t="s">
        <v>371</v>
      </c>
      <c r="D54">
        <v>0</v>
      </c>
      <c r="F54">
        <v>0</v>
      </c>
      <c r="G54">
        <v>0</v>
      </c>
      <c r="H54">
        <v>158</v>
      </c>
      <c r="I54">
        <v>41</v>
      </c>
      <c r="J54">
        <v>41</v>
      </c>
      <c r="K54">
        <v>41</v>
      </c>
      <c r="L54">
        <v>0.259493670886076</v>
      </c>
      <c r="M54" t="s">
        <v>657</v>
      </c>
      <c r="N54" t="s">
        <v>657</v>
      </c>
      <c r="O54" t="s">
        <v>657</v>
      </c>
      <c r="P54" t="s">
        <v>657</v>
      </c>
    </row>
    <row r="55" spans="1:16" x14ac:dyDescent="0.25">
      <c r="A55" t="s">
        <v>372</v>
      </c>
      <c r="B55" t="s">
        <v>373</v>
      </c>
      <c r="D55">
        <v>0</v>
      </c>
      <c r="F55">
        <v>5</v>
      </c>
      <c r="G55">
        <v>0</v>
      </c>
      <c r="H55">
        <v>316</v>
      </c>
      <c r="I55">
        <v>70</v>
      </c>
      <c r="J55">
        <v>75</v>
      </c>
      <c r="K55">
        <v>75</v>
      </c>
      <c r="L55">
        <v>0.237341772151899</v>
      </c>
      <c r="M55" t="s">
        <v>657</v>
      </c>
      <c r="N55" t="s">
        <v>657</v>
      </c>
      <c r="O55" t="s">
        <v>657</v>
      </c>
      <c r="P55" t="s">
        <v>657</v>
      </c>
    </row>
    <row r="56" spans="1:16" x14ac:dyDescent="0.25">
      <c r="A56" t="s">
        <v>119</v>
      </c>
      <c r="B56" t="s">
        <v>120</v>
      </c>
      <c r="D56">
        <v>0</v>
      </c>
      <c r="F56">
        <v>0</v>
      </c>
      <c r="G56">
        <v>0</v>
      </c>
      <c r="H56">
        <v>111</v>
      </c>
      <c r="I56">
        <v>2</v>
      </c>
      <c r="J56">
        <v>2</v>
      </c>
      <c r="K56">
        <v>2</v>
      </c>
      <c r="L56">
        <v>1.8018018018018001E-2</v>
      </c>
      <c r="M56" t="s">
        <v>92</v>
      </c>
      <c r="N56" t="s">
        <v>92</v>
      </c>
      <c r="O56" t="s">
        <v>92</v>
      </c>
      <c r="P56" t="s">
        <v>92</v>
      </c>
    </row>
    <row r="57" spans="1:16" x14ac:dyDescent="0.25">
      <c r="A57" t="s">
        <v>276</v>
      </c>
      <c r="B57" t="s">
        <v>277</v>
      </c>
      <c r="D57">
        <v>0</v>
      </c>
      <c r="F57">
        <v>4</v>
      </c>
      <c r="G57">
        <v>0</v>
      </c>
      <c r="H57">
        <v>504</v>
      </c>
      <c r="I57">
        <v>61</v>
      </c>
      <c r="J57">
        <v>65</v>
      </c>
      <c r="K57">
        <v>65</v>
      </c>
      <c r="L57">
        <v>0.12896825396825401</v>
      </c>
      <c r="M57" t="s">
        <v>657</v>
      </c>
      <c r="N57" t="s">
        <v>92</v>
      </c>
      <c r="O57" t="s">
        <v>657</v>
      </c>
      <c r="P57" t="s">
        <v>657</v>
      </c>
    </row>
    <row r="58" spans="1:16" x14ac:dyDescent="0.25">
      <c r="A58" t="s">
        <v>374</v>
      </c>
      <c r="B58" t="s">
        <v>375</v>
      </c>
      <c r="D58">
        <v>0</v>
      </c>
      <c r="F58">
        <v>1</v>
      </c>
      <c r="G58">
        <v>0</v>
      </c>
      <c r="H58">
        <v>588</v>
      </c>
      <c r="I58">
        <v>80</v>
      </c>
      <c r="J58">
        <v>81</v>
      </c>
      <c r="K58">
        <v>81</v>
      </c>
      <c r="L58">
        <v>0.13775510204081601</v>
      </c>
      <c r="M58" t="s">
        <v>657</v>
      </c>
      <c r="N58" t="s">
        <v>92</v>
      </c>
      <c r="O58" t="s">
        <v>657</v>
      </c>
      <c r="P58" t="s">
        <v>657</v>
      </c>
    </row>
    <row r="59" spans="1:16" x14ac:dyDescent="0.25">
      <c r="A59" t="s">
        <v>376</v>
      </c>
      <c r="B59" t="s">
        <v>377</v>
      </c>
      <c r="D59">
        <v>0</v>
      </c>
      <c r="F59">
        <v>4</v>
      </c>
      <c r="G59">
        <v>0</v>
      </c>
      <c r="H59">
        <v>505</v>
      </c>
      <c r="I59">
        <v>72</v>
      </c>
      <c r="J59">
        <v>76</v>
      </c>
      <c r="K59">
        <v>76</v>
      </c>
      <c r="L59">
        <v>0.15049504950494999</v>
      </c>
      <c r="M59" t="s">
        <v>657</v>
      </c>
      <c r="N59" t="s">
        <v>657</v>
      </c>
      <c r="O59" t="s">
        <v>657</v>
      </c>
      <c r="P59" t="s">
        <v>657</v>
      </c>
    </row>
    <row r="60" spans="1:16" x14ac:dyDescent="0.25">
      <c r="A60" t="s">
        <v>378</v>
      </c>
      <c r="B60" t="s">
        <v>379</v>
      </c>
      <c r="D60">
        <v>0</v>
      </c>
      <c r="F60">
        <v>12</v>
      </c>
      <c r="G60">
        <v>0</v>
      </c>
      <c r="H60">
        <v>2369</v>
      </c>
      <c r="I60">
        <v>329</v>
      </c>
      <c r="J60">
        <v>341</v>
      </c>
      <c r="K60">
        <v>341</v>
      </c>
      <c r="L60">
        <v>0.143942591810891</v>
      </c>
      <c r="M60" t="s">
        <v>657</v>
      </c>
      <c r="N60" t="s">
        <v>92</v>
      </c>
      <c r="O60" t="s">
        <v>657</v>
      </c>
      <c r="P60" t="s">
        <v>657</v>
      </c>
    </row>
    <row r="61" spans="1:16" x14ac:dyDescent="0.25">
      <c r="A61" t="s">
        <v>278</v>
      </c>
      <c r="B61" t="s">
        <v>279</v>
      </c>
      <c r="D61">
        <v>0</v>
      </c>
      <c r="F61">
        <v>5</v>
      </c>
      <c r="G61">
        <v>0</v>
      </c>
      <c r="H61">
        <v>2275</v>
      </c>
      <c r="I61">
        <v>87</v>
      </c>
      <c r="J61">
        <v>92</v>
      </c>
      <c r="K61">
        <v>92</v>
      </c>
      <c r="L61">
        <v>4.0439560439560401E-2</v>
      </c>
      <c r="M61" t="s">
        <v>657</v>
      </c>
      <c r="N61" t="s">
        <v>92</v>
      </c>
      <c r="O61" t="s">
        <v>92</v>
      </c>
      <c r="P61" t="s">
        <v>92</v>
      </c>
    </row>
    <row r="62" spans="1:16" x14ac:dyDescent="0.25">
      <c r="A62" t="s">
        <v>380</v>
      </c>
      <c r="B62" t="s">
        <v>381</v>
      </c>
      <c r="D62">
        <v>0</v>
      </c>
      <c r="F62">
        <v>0</v>
      </c>
      <c r="G62">
        <v>0</v>
      </c>
      <c r="H62">
        <v>74</v>
      </c>
      <c r="I62">
        <v>2</v>
      </c>
      <c r="J62">
        <v>2</v>
      </c>
      <c r="K62">
        <v>2</v>
      </c>
      <c r="L62">
        <v>2.7027027027027001E-2</v>
      </c>
      <c r="M62" t="s">
        <v>92</v>
      </c>
      <c r="N62" t="s">
        <v>92</v>
      </c>
      <c r="O62" t="s">
        <v>92</v>
      </c>
      <c r="P62" t="s">
        <v>92</v>
      </c>
    </row>
    <row r="63" spans="1:16" x14ac:dyDescent="0.25">
      <c r="A63" t="s">
        <v>382</v>
      </c>
      <c r="B63" t="s">
        <v>383</v>
      </c>
      <c r="D63">
        <v>0</v>
      </c>
      <c r="F63">
        <v>54</v>
      </c>
      <c r="G63">
        <v>0</v>
      </c>
      <c r="H63">
        <v>4679</v>
      </c>
      <c r="I63">
        <v>772</v>
      </c>
      <c r="J63">
        <v>826</v>
      </c>
      <c r="K63">
        <v>826</v>
      </c>
      <c r="L63">
        <v>0.17653344731780299</v>
      </c>
      <c r="M63" t="s">
        <v>657</v>
      </c>
      <c r="N63" t="s">
        <v>657</v>
      </c>
      <c r="O63" t="s">
        <v>657</v>
      </c>
      <c r="P63" t="s">
        <v>657</v>
      </c>
    </row>
    <row r="64" spans="1:16" x14ac:dyDescent="0.25">
      <c r="A64" t="s">
        <v>384</v>
      </c>
      <c r="B64" t="s">
        <v>385</v>
      </c>
      <c r="D64">
        <v>0</v>
      </c>
      <c r="F64">
        <v>6</v>
      </c>
      <c r="G64">
        <v>0</v>
      </c>
      <c r="H64">
        <v>3556</v>
      </c>
      <c r="I64">
        <v>411</v>
      </c>
      <c r="J64">
        <v>417</v>
      </c>
      <c r="K64">
        <v>417</v>
      </c>
      <c r="L64">
        <v>0.11726659167604001</v>
      </c>
      <c r="M64" t="s">
        <v>657</v>
      </c>
      <c r="N64" t="s">
        <v>92</v>
      </c>
      <c r="O64" t="s">
        <v>657</v>
      </c>
      <c r="P64" t="s">
        <v>657</v>
      </c>
    </row>
    <row r="65" spans="1:16" x14ac:dyDescent="0.25">
      <c r="A65" t="s">
        <v>386</v>
      </c>
      <c r="B65" t="s">
        <v>387</v>
      </c>
      <c r="D65">
        <v>0</v>
      </c>
      <c r="F65">
        <v>13</v>
      </c>
      <c r="G65">
        <v>0</v>
      </c>
      <c r="H65">
        <v>6325</v>
      </c>
      <c r="I65">
        <v>597</v>
      </c>
      <c r="J65">
        <v>610</v>
      </c>
      <c r="K65">
        <v>610</v>
      </c>
      <c r="L65">
        <v>9.6442687747035599E-2</v>
      </c>
      <c r="M65" t="s">
        <v>657</v>
      </c>
      <c r="N65" t="s">
        <v>92</v>
      </c>
      <c r="O65" t="s">
        <v>657</v>
      </c>
      <c r="P65" t="s">
        <v>657</v>
      </c>
    </row>
    <row r="66" spans="1:16" x14ac:dyDescent="0.25">
      <c r="A66" t="s">
        <v>121</v>
      </c>
      <c r="B66" t="s">
        <v>122</v>
      </c>
      <c r="D66">
        <v>0</v>
      </c>
      <c r="F66">
        <v>0</v>
      </c>
      <c r="G66">
        <v>0</v>
      </c>
      <c r="H66">
        <v>150</v>
      </c>
      <c r="I66">
        <v>7</v>
      </c>
      <c r="J66">
        <v>7</v>
      </c>
      <c r="K66">
        <v>7</v>
      </c>
      <c r="L66">
        <v>4.6666666666666697E-2</v>
      </c>
      <c r="M66" t="s">
        <v>92</v>
      </c>
      <c r="N66" t="s">
        <v>92</v>
      </c>
      <c r="O66" t="s">
        <v>92</v>
      </c>
      <c r="P66" t="s">
        <v>92</v>
      </c>
    </row>
    <row r="67" spans="1:16" x14ac:dyDescent="0.25">
      <c r="A67" t="s">
        <v>123</v>
      </c>
      <c r="B67" t="s">
        <v>124</v>
      </c>
      <c r="D67">
        <v>0</v>
      </c>
      <c r="F67">
        <v>7</v>
      </c>
      <c r="G67">
        <v>0</v>
      </c>
      <c r="H67">
        <v>2204</v>
      </c>
      <c r="I67">
        <v>180</v>
      </c>
      <c r="J67">
        <v>187</v>
      </c>
      <c r="K67">
        <v>187</v>
      </c>
      <c r="L67">
        <v>8.4845735027223201E-2</v>
      </c>
      <c r="M67" t="s">
        <v>657</v>
      </c>
      <c r="N67" t="s">
        <v>92</v>
      </c>
      <c r="O67" t="s">
        <v>657</v>
      </c>
      <c r="P67" t="s">
        <v>657</v>
      </c>
    </row>
    <row r="68" spans="1:16" x14ac:dyDescent="0.25">
      <c r="A68" t="s">
        <v>125</v>
      </c>
      <c r="B68" t="s">
        <v>126</v>
      </c>
      <c r="D68">
        <v>0</v>
      </c>
      <c r="F68">
        <v>23</v>
      </c>
      <c r="G68">
        <v>0</v>
      </c>
      <c r="H68">
        <v>24249</v>
      </c>
      <c r="I68">
        <v>2088</v>
      </c>
      <c r="J68">
        <v>2111</v>
      </c>
      <c r="K68">
        <v>2111</v>
      </c>
      <c r="L68">
        <v>8.7055136294280203E-2</v>
      </c>
      <c r="M68" t="s">
        <v>657</v>
      </c>
      <c r="N68" t="s">
        <v>92</v>
      </c>
      <c r="O68" t="s">
        <v>657</v>
      </c>
      <c r="P68" t="s">
        <v>657</v>
      </c>
    </row>
    <row r="69" spans="1:16" x14ac:dyDescent="0.25">
      <c r="A69" t="s">
        <v>388</v>
      </c>
      <c r="B69" t="s">
        <v>389</v>
      </c>
      <c r="D69">
        <v>0</v>
      </c>
      <c r="F69">
        <v>21</v>
      </c>
      <c r="G69">
        <v>0</v>
      </c>
      <c r="H69">
        <v>3543</v>
      </c>
      <c r="I69">
        <v>377</v>
      </c>
      <c r="J69">
        <v>398</v>
      </c>
      <c r="K69">
        <v>398</v>
      </c>
      <c r="L69">
        <v>0.112334180073384</v>
      </c>
      <c r="M69" t="s">
        <v>657</v>
      </c>
      <c r="N69" t="s">
        <v>92</v>
      </c>
      <c r="O69" t="s">
        <v>657</v>
      </c>
      <c r="P69" t="s">
        <v>657</v>
      </c>
    </row>
    <row r="70" spans="1:16" x14ac:dyDescent="0.25">
      <c r="A70" t="s">
        <v>390</v>
      </c>
      <c r="B70" t="s">
        <v>391</v>
      </c>
      <c r="D70">
        <v>0</v>
      </c>
      <c r="F70">
        <v>8</v>
      </c>
      <c r="G70">
        <v>0</v>
      </c>
      <c r="H70">
        <v>1588</v>
      </c>
      <c r="I70">
        <v>325</v>
      </c>
      <c r="J70">
        <v>333</v>
      </c>
      <c r="K70">
        <v>333</v>
      </c>
      <c r="L70">
        <v>0.20969773299748101</v>
      </c>
      <c r="M70" t="s">
        <v>657</v>
      </c>
      <c r="N70" t="s">
        <v>657</v>
      </c>
      <c r="O70" t="s">
        <v>657</v>
      </c>
      <c r="P70" t="s">
        <v>657</v>
      </c>
    </row>
    <row r="71" spans="1:16" x14ac:dyDescent="0.25">
      <c r="A71" t="s">
        <v>392</v>
      </c>
      <c r="B71" t="s">
        <v>393</v>
      </c>
      <c r="D71">
        <v>0</v>
      </c>
      <c r="F71">
        <v>0</v>
      </c>
      <c r="G71">
        <v>0</v>
      </c>
      <c r="H71">
        <v>87</v>
      </c>
      <c r="I71">
        <v>17</v>
      </c>
      <c r="J71">
        <v>17</v>
      </c>
      <c r="K71">
        <v>17</v>
      </c>
      <c r="L71">
        <v>0.195402298850575</v>
      </c>
      <c r="M71" t="s">
        <v>657</v>
      </c>
      <c r="N71" t="s">
        <v>657</v>
      </c>
      <c r="O71" t="s">
        <v>657</v>
      </c>
      <c r="P71" t="s">
        <v>657</v>
      </c>
    </row>
    <row r="72" spans="1:16" x14ac:dyDescent="0.25">
      <c r="A72" t="s">
        <v>394</v>
      </c>
      <c r="B72" t="s">
        <v>395</v>
      </c>
      <c r="D72">
        <v>0</v>
      </c>
      <c r="F72">
        <v>6</v>
      </c>
      <c r="G72">
        <v>0</v>
      </c>
      <c r="H72">
        <v>406</v>
      </c>
      <c r="I72">
        <v>66</v>
      </c>
      <c r="J72">
        <v>72</v>
      </c>
      <c r="K72">
        <v>72</v>
      </c>
      <c r="L72">
        <v>0.17733990147783299</v>
      </c>
      <c r="M72" t="s">
        <v>657</v>
      </c>
      <c r="N72" t="s">
        <v>657</v>
      </c>
      <c r="O72" t="s">
        <v>657</v>
      </c>
      <c r="P72" t="s">
        <v>657</v>
      </c>
    </row>
    <row r="73" spans="1:16" x14ac:dyDescent="0.25">
      <c r="A73" t="s">
        <v>127</v>
      </c>
      <c r="B73" t="s">
        <v>128</v>
      </c>
      <c r="D73">
        <v>0</v>
      </c>
      <c r="F73">
        <v>15</v>
      </c>
      <c r="G73">
        <v>0</v>
      </c>
      <c r="H73">
        <v>4662</v>
      </c>
      <c r="I73">
        <v>282</v>
      </c>
      <c r="J73">
        <v>297</v>
      </c>
      <c r="K73">
        <v>297</v>
      </c>
      <c r="L73">
        <v>6.3706563706563704E-2</v>
      </c>
      <c r="M73" t="s">
        <v>657</v>
      </c>
      <c r="N73" t="s">
        <v>92</v>
      </c>
      <c r="O73" t="s">
        <v>657</v>
      </c>
      <c r="P73" t="s">
        <v>657</v>
      </c>
    </row>
    <row r="74" spans="1:16" x14ac:dyDescent="0.25">
      <c r="A74" t="s">
        <v>396</v>
      </c>
      <c r="B74" t="s">
        <v>397</v>
      </c>
      <c r="D74">
        <v>0</v>
      </c>
      <c r="F74">
        <v>11</v>
      </c>
      <c r="G74">
        <v>0</v>
      </c>
      <c r="H74">
        <v>2905</v>
      </c>
      <c r="I74">
        <v>461</v>
      </c>
      <c r="J74">
        <v>472</v>
      </c>
      <c r="K74">
        <v>472</v>
      </c>
      <c r="L74">
        <v>0.16247848537005199</v>
      </c>
      <c r="M74" t="s">
        <v>657</v>
      </c>
      <c r="N74" t="s">
        <v>657</v>
      </c>
      <c r="O74" t="s">
        <v>657</v>
      </c>
      <c r="P74" t="s">
        <v>657</v>
      </c>
    </row>
    <row r="75" spans="1:16" x14ac:dyDescent="0.25">
      <c r="A75" t="s">
        <v>398</v>
      </c>
      <c r="B75" t="s">
        <v>399</v>
      </c>
      <c r="D75">
        <v>0</v>
      </c>
      <c r="F75">
        <v>0</v>
      </c>
      <c r="G75">
        <v>0</v>
      </c>
      <c r="H75">
        <v>128</v>
      </c>
      <c r="I75">
        <v>22</v>
      </c>
      <c r="J75">
        <v>22</v>
      </c>
      <c r="K75">
        <v>22</v>
      </c>
      <c r="L75">
        <v>0.171875</v>
      </c>
      <c r="M75" t="s">
        <v>657</v>
      </c>
      <c r="N75" t="s">
        <v>657</v>
      </c>
      <c r="O75" t="s">
        <v>657</v>
      </c>
      <c r="P75" t="s">
        <v>657</v>
      </c>
    </row>
    <row r="76" spans="1:16" x14ac:dyDescent="0.25">
      <c r="A76" t="s">
        <v>129</v>
      </c>
      <c r="B76" t="s">
        <v>130</v>
      </c>
      <c r="D76">
        <v>0</v>
      </c>
      <c r="F76">
        <v>36</v>
      </c>
      <c r="G76">
        <v>0</v>
      </c>
      <c r="H76">
        <v>22803</v>
      </c>
      <c r="I76">
        <v>2315</v>
      </c>
      <c r="J76">
        <v>2351</v>
      </c>
      <c r="K76">
        <v>2351</v>
      </c>
      <c r="L76">
        <v>0.103100469236504</v>
      </c>
      <c r="M76" t="s">
        <v>657</v>
      </c>
      <c r="N76" t="s">
        <v>92</v>
      </c>
      <c r="O76" t="s">
        <v>657</v>
      </c>
      <c r="P76" t="s">
        <v>657</v>
      </c>
    </row>
    <row r="77" spans="1:16" x14ac:dyDescent="0.25">
      <c r="A77" t="s">
        <v>280</v>
      </c>
      <c r="B77" t="s">
        <v>281</v>
      </c>
      <c r="D77">
        <v>0</v>
      </c>
      <c r="F77">
        <v>58</v>
      </c>
      <c r="G77">
        <v>0</v>
      </c>
      <c r="H77">
        <v>26645</v>
      </c>
      <c r="I77">
        <v>2599</v>
      </c>
      <c r="J77">
        <v>2657</v>
      </c>
      <c r="K77">
        <v>2657</v>
      </c>
      <c r="L77">
        <v>9.9718521298555102E-2</v>
      </c>
      <c r="M77" t="s">
        <v>657</v>
      </c>
      <c r="N77" t="s">
        <v>92</v>
      </c>
      <c r="O77" t="s">
        <v>657</v>
      </c>
      <c r="P77" t="s">
        <v>657</v>
      </c>
    </row>
    <row r="78" spans="1:16" x14ac:dyDescent="0.25">
      <c r="A78" t="s">
        <v>400</v>
      </c>
      <c r="B78" t="s">
        <v>401</v>
      </c>
      <c r="D78">
        <v>0</v>
      </c>
      <c r="F78">
        <v>0</v>
      </c>
      <c r="G78">
        <v>0</v>
      </c>
      <c r="H78">
        <v>56</v>
      </c>
      <c r="I78">
        <v>14</v>
      </c>
      <c r="J78">
        <v>14</v>
      </c>
      <c r="K78">
        <v>14</v>
      </c>
      <c r="L78">
        <v>0.25</v>
      </c>
      <c r="M78" t="s">
        <v>657</v>
      </c>
      <c r="N78" t="s">
        <v>657</v>
      </c>
      <c r="O78" t="s">
        <v>657</v>
      </c>
      <c r="P78" t="s">
        <v>657</v>
      </c>
    </row>
    <row r="79" spans="1:16" x14ac:dyDescent="0.25">
      <c r="A79" t="s">
        <v>402</v>
      </c>
      <c r="B79" t="s">
        <v>403</v>
      </c>
      <c r="D79">
        <v>0</v>
      </c>
      <c r="F79">
        <v>58</v>
      </c>
      <c r="G79">
        <v>0</v>
      </c>
      <c r="H79">
        <v>24062</v>
      </c>
      <c r="I79">
        <v>4207</v>
      </c>
      <c r="J79">
        <v>4265</v>
      </c>
      <c r="K79">
        <v>4265</v>
      </c>
      <c r="L79">
        <v>0.17725043637270399</v>
      </c>
      <c r="M79" t="s">
        <v>657</v>
      </c>
      <c r="N79" t="s">
        <v>657</v>
      </c>
      <c r="O79" t="s">
        <v>657</v>
      </c>
      <c r="P79" t="s">
        <v>657</v>
      </c>
    </row>
    <row r="80" spans="1:16" x14ac:dyDescent="0.25">
      <c r="A80" t="s">
        <v>131</v>
      </c>
      <c r="B80" t="s">
        <v>132</v>
      </c>
      <c r="D80">
        <v>0</v>
      </c>
      <c r="F80">
        <v>21</v>
      </c>
      <c r="G80">
        <v>0</v>
      </c>
      <c r="H80">
        <v>6171</v>
      </c>
      <c r="I80">
        <v>768</v>
      </c>
      <c r="J80">
        <v>789</v>
      </c>
      <c r="K80">
        <v>789</v>
      </c>
      <c r="L80">
        <v>0.127856101118133</v>
      </c>
      <c r="M80" t="s">
        <v>657</v>
      </c>
      <c r="N80" t="s">
        <v>92</v>
      </c>
      <c r="O80" t="s">
        <v>657</v>
      </c>
      <c r="P80" t="s">
        <v>657</v>
      </c>
    </row>
    <row r="81" spans="1:16" x14ac:dyDescent="0.25">
      <c r="A81" t="s">
        <v>133</v>
      </c>
      <c r="B81" t="s">
        <v>134</v>
      </c>
      <c r="D81">
        <v>0</v>
      </c>
      <c r="F81">
        <v>4</v>
      </c>
      <c r="G81">
        <v>0</v>
      </c>
      <c r="H81">
        <v>4064</v>
      </c>
      <c r="I81">
        <v>357</v>
      </c>
      <c r="J81">
        <v>361</v>
      </c>
      <c r="K81">
        <v>361</v>
      </c>
      <c r="L81">
        <v>8.8828740157480296E-2</v>
      </c>
      <c r="M81" t="s">
        <v>657</v>
      </c>
      <c r="N81" t="s">
        <v>92</v>
      </c>
      <c r="O81" t="s">
        <v>657</v>
      </c>
      <c r="P81" t="s">
        <v>657</v>
      </c>
    </row>
    <row r="82" spans="1:16" x14ac:dyDescent="0.25">
      <c r="A82" t="s">
        <v>404</v>
      </c>
      <c r="B82" t="s">
        <v>405</v>
      </c>
      <c r="D82">
        <v>0</v>
      </c>
      <c r="F82">
        <v>10</v>
      </c>
      <c r="G82">
        <v>0</v>
      </c>
      <c r="H82">
        <v>905</v>
      </c>
      <c r="I82">
        <v>118</v>
      </c>
      <c r="J82">
        <v>128</v>
      </c>
      <c r="K82">
        <v>128</v>
      </c>
      <c r="L82">
        <v>0.141436464088398</v>
      </c>
      <c r="M82" t="s">
        <v>657</v>
      </c>
      <c r="N82" t="s">
        <v>92</v>
      </c>
      <c r="O82" t="s">
        <v>657</v>
      </c>
      <c r="P82" t="s">
        <v>657</v>
      </c>
    </row>
    <row r="83" spans="1:16" x14ac:dyDescent="0.25">
      <c r="A83" t="s">
        <v>406</v>
      </c>
      <c r="B83" t="s">
        <v>407</v>
      </c>
      <c r="D83">
        <v>0</v>
      </c>
      <c r="F83">
        <v>43</v>
      </c>
      <c r="G83">
        <v>0</v>
      </c>
      <c r="H83">
        <v>9266</v>
      </c>
      <c r="I83">
        <v>1208</v>
      </c>
      <c r="J83">
        <v>1251</v>
      </c>
      <c r="K83">
        <v>1251</v>
      </c>
      <c r="L83">
        <v>0.135009712928988</v>
      </c>
      <c r="M83" t="s">
        <v>657</v>
      </c>
      <c r="N83" t="s">
        <v>92</v>
      </c>
      <c r="O83" t="s">
        <v>657</v>
      </c>
      <c r="P83" t="s">
        <v>657</v>
      </c>
    </row>
    <row r="84" spans="1:16" x14ac:dyDescent="0.25">
      <c r="A84" t="s">
        <v>135</v>
      </c>
      <c r="B84" t="s">
        <v>136</v>
      </c>
      <c r="D84">
        <v>0</v>
      </c>
      <c r="F84">
        <v>1</v>
      </c>
      <c r="G84">
        <v>0</v>
      </c>
      <c r="H84">
        <v>994</v>
      </c>
      <c r="I84">
        <v>49</v>
      </c>
      <c r="J84">
        <v>50</v>
      </c>
      <c r="K84">
        <v>50</v>
      </c>
      <c r="L84">
        <v>5.0301810865191199E-2</v>
      </c>
      <c r="M84" t="s">
        <v>657</v>
      </c>
      <c r="N84" t="s">
        <v>92</v>
      </c>
      <c r="O84" t="s">
        <v>657</v>
      </c>
      <c r="P84" t="s">
        <v>657</v>
      </c>
    </row>
    <row r="85" spans="1:16" x14ac:dyDescent="0.25">
      <c r="A85" t="s">
        <v>408</v>
      </c>
      <c r="B85" t="s">
        <v>409</v>
      </c>
      <c r="D85">
        <v>0</v>
      </c>
      <c r="F85">
        <v>0</v>
      </c>
      <c r="G85">
        <v>0</v>
      </c>
      <c r="H85">
        <v>127</v>
      </c>
      <c r="I85">
        <v>35</v>
      </c>
      <c r="J85">
        <v>35</v>
      </c>
      <c r="K85">
        <v>35</v>
      </c>
      <c r="L85">
        <v>0.27559055118110198</v>
      </c>
      <c r="M85" t="s">
        <v>657</v>
      </c>
      <c r="N85" t="s">
        <v>657</v>
      </c>
      <c r="O85" t="s">
        <v>657</v>
      </c>
      <c r="P85" t="s">
        <v>657</v>
      </c>
    </row>
    <row r="86" spans="1:16" x14ac:dyDescent="0.25">
      <c r="A86" t="s">
        <v>137</v>
      </c>
      <c r="B86" t="s">
        <v>138</v>
      </c>
      <c r="D86">
        <v>0</v>
      </c>
      <c r="F86">
        <v>0</v>
      </c>
      <c r="G86">
        <v>0</v>
      </c>
      <c r="H86">
        <v>60</v>
      </c>
      <c r="I86">
        <v>13</v>
      </c>
      <c r="J86">
        <v>13</v>
      </c>
      <c r="K86">
        <v>13</v>
      </c>
      <c r="L86">
        <v>0.21666666666666701</v>
      </c>
      <c r="M86" t="s">
        <v>657</v>
      </c>
      <c r="N86" t="s">
        <v>657</v>
      </c>
      <c r="O86" t="s">
        <v>657</v>
      </c>
      <c r="P86" t="s">
        <v>657</v>
      </c>
    </row>
    <row r="87" spans="1:16" x14ac:dyDescent="0.25">
      <c r="A87" t="s">
        <v>410</v>
      </c>
      <c r="B87" t="s">
        <v>411</v>
      </c>
      <c r="D87">
        <v>0</v>
      </c>
      <c r="F87">
        <v>9</v>
      </c>
      <c r="G87">
        <v>0</v>
      </c>
      <c r="H87">
        <v>1055</v>
      </c>
      <c r="I87">
        <v>216</v>
      </c>
      <c r="J87">
        <v>225</v>
      </c>
      <c r="K87">
        <v>225</v>
      </c>
      <c r="L87">
        <v>0.21327014218009499</v>
      </c>
      <c r="M87" t="s">
        <v>657</v>
      </c>
      <c r="N87" t="s">
        <v>657</v>
      </c>
      <c r="O87" t="s">
        <v>657</v>
      </c>
      <c r="P87" t="s">
        <v>657</v>
      </c>
    </row>
    <row r="88" spans="1:16" x14ac:dyDescent="0.25">
      <c r="A88" t="s">
        <v>412</v>
      </c>
      <c r="B88" t="s">
        <v>413</v>
      </c>
      <c r="D88">
        <v>0</v>
      </c>
      <c r="F88">
        <v>5</v>
      </c>
      <c r="G88">
        <v>0</v>
      </c>
      <c r="H88">
        <v>679</v>
      </c>
      <c r="I88">
        <v>101</v>
      </c>
      <c r="J88">
        <v>106</v>
      </c>
      <c r="K88">
        <v>106</v>
      </c>
      <c r="L88">
        <v>0.15611192930780601</v>
      </c>
      <c r="M88" t="s">
        <v>657</v>
      </c>
      <c r="N88" t="s">
        <v>657</v>
      </c>
      <c r="O88" t="s">
        <v>657</v>
      </c>
      <c r="P88" t="s">
        <v>657</v>
      </c>
    </row>
    <row r="89" spans="1:16" x14ac:dyDescent="0.25">
      <c r="A89" t="s">
        <v>414</v>
      </c>
      <c r="B89" t="s">
        <v>415</v>
      </c>
      <c r="D89">
        <v>0</v>
      </c>
      <c r="F89">
        <v>10</v>
      </c>
      <c r="G89">
        <v>0</v>
      </c>
      <c r="H89">
        <v>3732</v>
      </c>
      <c r="I89">
        <v>651</v>
      </c>
      <c r="J89">
        <v>661</v>
      </c>
      <c r="K89">
        <v>661</v>
      </c>
      <c r="L89">
        <v>0.17711682743837101</v>
      </c>
      <c r="M89" t="s">
        <v>657</v>
      </c>
      <c r="N89" t="s">
        <v>657</v>
      </c>
      <c r="O89" t="s">
        <v>657</v>
      </c>
      <c r="P89" t="s">
        <v>657</v>
      </c>
    </row>
    <row r="90" spans="1:16" x14ac:dyDescent="0.25">
      <c r="A90" t="s">
        <v>416</v>
      </c>
      <c r="B90" t="s">
        <v>417</v>
      </c>
      <c r="D90">
        <v>0</v>
      </c>
      <c r="F90">
        <v>4</v>
      </c>
      <c r="G90">
        <v>0</v>
      </c>
      <c r="H90">
        <v>1587</v>
      </c>
      <c r="I90">
        <v>368</v>
      </c>
      <c r="J90">
        <v>372</v>
      </c>
      <c r="K90">
        <v>372</v>
      </c>
      <c r="L90">
        <v>0.23440453686200399</v>
      </c>
      <c r="M90" t="s">
        <v>657</v>
      </c>
      <c r="N90" t="s">
        <v>657</v>
      </c>
      <c r="O90" t="s">
        <v>657</v>
      </c>
      <c r="P90" t="s">
        <v>657</v>
      </c>
    </row>
    <row r="91" spans="1:16" x14ac:dyDescent="0.25">
      <c r="A91" t="s">
        <v>139</v>
      </c>
      <c r="B91" t="s">
        <v>140</v>
      </c>
      <c r="D91">
        <v>0</v>
      </c>
      <c r="F91">
        <v>6</v>
      </c>
      <c r="G91">
        <v>0</v>
      </c>
      <c r="H91">
        <v>2798</v>
      </c>
      <c r="I91">
        <v>214</v>
      </c>
      <c r="J91">
        <v>220</v>
      </c>
      <c r="K91">
        <v>220</v>
      </c>
      <c r="L91">
        <v>7.8627591136526107E-2</v>
      </c>
      <c r="M91" t="s">
        <v>657</v>
      </c>
      <c r="N91" t="s">
        <v>92</v>
      </c>
      <c r="O91" t="s">
        <v>657</v>
      </c>
      <c r="P91" t="s">
        <v>657</v>
      </c>
    </row>
    <row r="92" spans="1:16" x14ac:dyDescent="0.25">
      <c r="A92" t="s">
        <v>418</v>
      </c>
      <c r="B92" t="s">
        <v>419</v>
      </c>
      <c r="D92">
        <v>0</v>
      </c>
      <c r="F92">
        <v>2</v>
      </c>
      <c r="G92">
        <v>0</v>
      </c>
      <c r="H92">
        <v>338</v>
      </c>
      <c r="I92">
        <v>26</v>
      </c>
      <c r="J92">
        <v>28</v>
      </c>
      <c r="K92">
        <v>28</v>
      </c>
      <c r="L92">
        <v>8.2840236686390595E-2</v>
      </c>
      <c r="M92" t="s">
        <v>657</v>
      </c>
      <c r="N92" t="s">
        <v>92</v>
      </c>
      <c r="O92" t="s">
        <v>657</v>
      </c>
      <c r="P92" t="s">
        <v>657</v>
      </c>
    </row>
    <row r="93" spans="1:16" x14ac:dyDescent="0.25">
      <c r="A93" t="s">
        <v>420</v>
      </c>
      <c r="B93" t="s">
        <v>421</v>
      </c>
      <c r="D93">
        <v>0</v>
      </c>
      <c r="F93">
        <v>0</v>
      </c>
      <c r="G93">
        <v>0</v>
      </c>
      <c r="H93">
        <v>187</v>
      </c>
      <c r="I93">
        <v>43</v>
      </c>
      <c r="J93">
        <v>43</v>
      </c>
      <c r="K93">
        <v>43</v>
      </c>
      <c r="L93">
        <v>0.22994652406417099</v>
      </c>
      <c r="M93" t="s">
        <v>657</v>
      </c>
      <c r="N93" t="s">
        <v>657</v>
      </c>
      <c r="O93" t="s">
        <v>657</v>
      </c>
      <c r="P93" t="s">
        <v>657</v>
      </c>
    </row>
    <row r="94" spans="1:16" x14ac:dyDescent="0.25">
      <c r="A94" t="s">
        <v>141</v>
      </c>
      <c r="B94" t="s">
        <v>142</v>
      </c>
      <c r="D94">
        <v>0</v>
      </c>
      <c r="F94">
        <v>0</v>
      </c>
      <c r="G94">
        <v>0</v>
      </c>
      <c r="H94">
        <v>205</v>
      </c>
      <c r="I94">
        <v>16</v>
      </c>
      <c r="J94">
        <v>16</v>
      </c>
      <c r="K94">
        <v>16</v>
      </c>
      <c r="L94">
        <v>7.8048780487804906E-2</v>
      </c>
      <c r="M94" t="s">
        <v>657</v>
      </c>
      <c r="N94" t="s">
        <v>92</v>
      </c>
      <c r="O94" t="s">
        <v>657</v>
      </c>
      <c r="P94" t="s">
        <v>657</v>
      </c>
    </row>
    <row r="95" spans="1:16" x14ac:dyDescent="0.25">
      <c r="A95" t="s">
        <v>143</v>
      </c>
      <c r="B95" t="s">
        <v>144</v>
      </c>
      <c r="D95">
        <v>0</v>
      </c>
      <c r="F95">
        <v>5</v>
      </c>
      <c r="G95">
        <v>0</v>
      </c>
      <c r="H95">
        <v>897</v>
      </c>
      <c r="I95">
        <v>42</v>
      </c>
      <c r="J95">
        <v>47</v>
      </c>
      <c r="K95">
        <v>47</v>
      </c>
      <c r="L95">
        <v>5.2396878483835001E-2</v>
      </c>
      <c r="M95" t="s">
        <v>657</v>
      </c>
      <c r="N95" t="s">
        <v>92</v>
      </c>
      <c r="O95" t="s">
        <v>657</v>
      </c>
      <c r="P95" t="s">
        <v>657</v>
      </c>
    </row>
    <row r="96" spans="1:16" x14ac:dyDescent="0.25">
      <c r="A96" t="s">
        <v>422</v>
      </c>
      <c r="B96" t="s">
        <v>423</v>
      </c>
      <c r="D96">
        <v>0</v>
      </c>
      <c r="F96">
        <v>0</v>
      </c>
      <c r="G96">
        <v>0</v>
      </c>
      <c r="H96">
        <v>145</v>
      </c>
      <c r="I96">
        <v>12</v>
      </c>
      <c r="J96">
        <v>12</v>
      </c>
      <c r="K96">
        <v>12</v>
      </c>
      <c r="L96">
        <v>8.2758620689655199E-2</v>
      </c>
      <c r="M96" t="s">
        <v>657</v>
      </c>
      <c r="N96" t="s">
        <v>92</v>
      </c>
      <c r="O96" t="s">
        <v>657</v>
      </c>
      <c r="P96" t="s">
        <v>657</v>
      </c>
    </row>
    <row r="97" spans="1:16" x14ac:dyDescent="0.25">
      <c r="A97" t="s">
        <v>424</v>
      </c>
      <c r="B97" t="s">
        <v>425</v>
      </c>
      <c r="D97">
        <v>0</v>
      </c>
      <c r="F97">
        <v>2</v>
      </c>
      <c r="G97">
        <v>0</v>
      </c>
      <c r="H97">
        <v>1272</v>
      </c>
      <c r="I97">
        <v>234</v>
      </c>
      <c r="J97">
        <v>236</v>
      </c>
      <c r="K97">
        <v>236</v>
      </c>
      <c r="L97">
        <v>0.18553459119496901</v>
      </c>
      <c r="M97" t="s">
        <v>657</v>
      </c>
      <c r="N97" t="s">
        <v>657</v>
      </c>
      <c r="O97" t="s">
        <v>657</v>
      </c>
      <c r="P97" t="s">
        <v>657</v>
      </c>
    </row>
    <row r="98" spans="1:16" x14ac:dyDescent="0.25">
      <c r="A98" t="s">
        <v>60</v>
      </c>
      <c r="B98" t="s">
        <v>17</v>
      </c>
      <c r="C98" t="s">
        <v>60</v>
      </c>
      <c r="D98">
        <v>0</v>
      </c>
      <c r="F98">
        <v>46</v>
      </c>
      <c r="G98">
        <v>0</v>
      </c>
      <c r="H98">
        <v>19449.959971210283</v>
      </c>
      <c r="I98">
        <v>2972.0757603023208</v>
      </c>
      <c r="J98">
        <v>3018.0757603023208</v>
      </c>
      <c r="K98">
        <v>3121</v>
      </c>
      <c r="L98">
        <v>0.155171309594964</v>
      </c>
      <c r="M98" t="s">
        <v>657</v>
      </c>
      <c r="N98" t="s">
        <v>657</v>
      </c>
      <c r="O98" t="s">
        <v>657</v>
      </c>
      <c r="P98" t="s">
        <v>657</v>
      </c>
    </row>
    <row r="99" spans="1:16" x14ac:dyDescent="0.25">
      <c r="A99" t="s">
        <v>145</v>
      </c>
      <c r="B99" t="s">
        <v>146</v>
      </c>
      <c r="D99">
        <v>0</v>
      </c>
      <c r="F99">
        <v>5</v>
      </c>
      <c r="G99">
        <v>0</v>
      </c>
      <c r="H99">
        <v>2170</v>
      </c>
      <c r="I99">
        <v>92</v>
      </c>
      <c r="J99">
        <v>97</v>
      </c>
      <c r="K99">
        <v>97</v>
      </c>
      <c r="L99">
        <v>4.4700460829493097E-2</v>
      </c>
      <c r="M99" t="s">
        <v>657</v>
      </c>
      <c r="N99" t="s">
        <v>92</v>
      </c>
      <c r="O99" t="s">
        <v>92</v>
      </c>
      <c r="P99" t="s">
        <v>92</v>
      </c>
    </row>
    <row r="100" spans="1:16" x14ac:dyDescent="0.25">
      <c r="A100" t="s">
        <v>426</v>
      </c>
      <c r="B100" t="s">
        <v>427</v>
      </c>
      <c r="D100">
        <v>0</v>
      </c>
      <c r="F100">
        <v>3</v>
      </c>
      <c r="G100">
        <v>0</v>
      </c>
      <c r="H100">
        <v>695</v>
      </c>
      <c r="I100">
        <v>114</v>
      </c>
      <c r="J100">
        <v>117</v>
      </c>
      <c r="K100">
        <v>117</v>
      </c>
      <c r="L100">
        <v>0.168345323741007</v>
      </c>
      <c r="M100" t="s">
        <v>657</v>
      </c>
      <c r="N100" t="s">
        <v>657</v>
      </c>
      <c r="O100" t="s">
        <v>657</v>
      </c>
      <c r="P100" t="s">
        <v>657</v>
      </c>
    </row>
    <row r="101" spans="1:16" x14ac:dyDescent="0.25">
      <c r="A101" t="s">
        <v>428</v>
      </c>
      <c r="B101" t="s">
        <v>429</v>
      </c>
      <c r="D101">
        <v>0</v>
      </c>
      <c r="F101">
        <v>12</v>
      </c>
      <c r="G101">
        <v>0</v>
      </c>
      <c r="H101">
        <v>1816</v>
      </c>
      <c r="I101">
        <v>484</v>
      </c>
      <c r="J101">
        <v>496</v>
      </c>
      <c r="K101">
        <v>496</v>
      </c>
      <c r="L101">
        <v>0.27312775330396499</v>
      </c>
      <c r="M101" t="s">
        <v>657</v>
      </c>
      <c r="N101" t="s">
        <v>657</v>
      </c>
      <c r="O101" t="s">
        <v>657</v>
      </c>
      <c r="P101" t="s">
        <v>657</v>
      </c>
    </row>
    <row r="102" spans="1:16" x14ac:dyDescent="0.25">
      <c r="A102" t="s">
        <v>78</v>
      </c>
      <c r="B102" t="s">
        <v>44</v>
      </c>
      <c r="C102" t="s">
        <v>63</v>
      </c>
      <c r="D102">
        <v>0</v>
      </c>
      <c r="E102">
        <v>0</v>
      </c>
      <c r="F102">
        <v>0</v>
      </c>
      <c r="G102">
        <v>0</v>
      </c>
      <c r="H102">
        <v>398.57498616491523</v>
      </c>
      <c r="I102">
        <v>72.405616224648881</v>
      </c>
      <c r="J102">
        <v>72.405616224648881</v>
      </c>
      <c r="K102">
        <v>0</v>
      </c>
      <c r="L102">
        <v>0.181661214923031</v>
      </c>
      <c r="M102" t="s">
        <v>657</v>
      </c>
      <c r="N102" t="s">
        <v>657</v>
      </c>
      <c r="O102" t="s">
        <v>657</v>
      </c>
      <c r="P102" t="s">
        <v>657</v>
      </c>
    </row>
    <row r="103" spans="1:16" x14ac:dyDescent="0.25">
      <c r="A103" t="s">
        <v>1409</v>
      </c>
      <c r="B103" t="s">
        <v>1410</v>
      </c>
      <c r="C103" t="s">
        <v>567</v>
      </c>
      <c r="D103">
        <v>0</v>
      </c>
      <c r="E103">
        <v>0</v>
      </c>
      <c r="F103">
        <v>0</v>
      </c>
      <c r="G103">
        <v>0</v>
      </c>
      <c r="H103">
        <v>302.51690659524684</v>
      </c>
      <c r="I103">
        <v>45.320585599043945</v>
      </c>
      <c r="J103">
        <v>45.320585599043945</v>
      </c>
      <c r="K103">
        <v>0</v>
      </c>
      <c r="L103">
        <v>0.14981174476863399</v>
      </c>
      <c r="M103" t="s">
        <v>657</v>
      </c>
      <c r="N103" t="s">
        <v>92</v>
      </c>
      <c r="O103" t="s">
        <v>657</v>
      </c>
      <c r="P103" t="s">
        <v>657</v>
      </c>
    </row>
    <row r="104" spans="1:16" x14ac:dyDescent="0.25">
      <c r="A104" t="s">
        <v>79</v>
      </c>
      <c r="B104" t="s">
        <v>48</v>
      </c>
      <c r="C104" t="s">
        <v>63</v>
      </c>
      <c r="D104">
        <v>0</v>
      </c>
      <c r="E104">
        <v>0</v>
      </c>
      <c r="F104">
        <v>0</v>
      </c>
      <c r="G104">
        <v>0</v>
      </c>
      <c r="H104">
        <v>342.69230769230654</v>
      </c>
      <c r="I104">
        <v>51.875975039001581</v>
      </c>
      <c r="J104">
        <v>51.875975039001581</v>
      </c>
      <c r="K104">
        <v>0</v>
      </c>
      <c r="L104">
        <v>0.15137770493984801</v>
      </c>
      <c r="M104" t="s">
        <v>657</v>
      </c>
      <c r="N104" t="s">
        <v>657</v>
      </c>
      <c r="O104" t="s">
        <v>657</v>
      </c>
      <c r="P104" t="s">
        <v>657</v>
      </c>
    </row>
    <row r="105" spans="1:16" x14ac:dyDescent="0.25">
      <c r="A105" t="s">
        <v>83</v>
      </c>
      <c r="B105" t="s">
        <v>1405</v>
      </c>
      <c r="C105" t="s">
        <v>65</v>
      </c>
      <c r="D105">
        <v>0</v>
      </c>
      <c r="E105">
        <v>0</v>
      </c>
      <c r="F105">
        <v>0</v>
      </c>
      <c r="G105">
        <v>0</v>
      </c>
      <c r="H105">
        <v>366.61711134827408</v>
      </c>
      <c r="I105">
        <v>55.139916656143292</v>
      </c>
      <c r="J105">
        <v>55.139916656143292</v>
      </c>
      <c r="K105">
        <v>0</v>
      </c>
      <c r="L105">
        <v>0.150401917830186</v>
      </c>
      <c r="M105" t="s">
        <v>657</v>
      </c>
      <c r="N105" t="s">
        <v>657</v>
      </c>
      <c r="O105" t="s">
        <v>657</v>
      </c>
      <c r="P105" t="s">
        <v>657</v>
      </c>
    </row>
    <row r="106" spans="1:16" x14ac:dyDescent="0.25">
      <c r="A106" t="s">
        <v>430</v>
      </c>
      <c r="B106" t="s">
        <v>431</v>
      </c>
      <c r="D106">
        <v>0</v>
      </c>
      <c r="F106">
        <v>1</v>
      </c>
      <c r="G106">
        <v>0</v>
      </c>
      <c r="H106">
        <v>189</v>
      </c>
      <c r="I106">
        <v>44</v>
      </c>
      <c r="J106">
        <v>45</v>
      </c>
      <c r="K106">
        <v>45</v>
      </c>
      <c r="L106">
        <v>0.238095238095238</v>
      </c>
      <c r="M106" t="s">
        <v>657</v>
      </c>
      <c r="N106" t="s">
        <v>657</v>
      </c>
      <c r="O106" t="s">
        <v>657</v>
      </c>
      <c r="P106" t="s">
        <v>657</v>
      </c>
    </row>
    <row r="107" spans="1:16" x14ac:dyDescent="0.25">
      <c r="A107" t="s">
        <v>432</v>
      </c>
      <c r="B107" t="s">
        <v>433</v>
      </c>
      <c r="D107">
        <v>0</v>
      </c>
      <c r="F107">
        <v>0</v>
      </c>
      <c r="G107">
        <v>0</v>
      </c>
      <c r="H107">
        <v>54</v>
      </c>
      <c r="I107">
        <v>9</v>
      </c>
      <c r="J107">
        <v>9</v>
      </c>
      <c r="K107">
        <v>9</v>
      </c>
      <c r="L107">
        <v>0.16666666666666699</v>
      </c>
      <c r="M107" t="s">
        <v>92</v>
      </c>
      <c r="N107" t="s">
        <v>92</v>
      </c>
      <c r="O107" t="s">
        <v>92</v>
      </c>
      <c r="P107" t="s">
        <v>92</v>
      </c>
    </row>
    <row r="108" spans="1:16" x14ac:dyDescent="0.25">
      <c r="A108" t="s">
        <v>147</v>
      </c>
      <c r="B108" t="s">
        <v>148</v>
      </c>
      <c r="D108">
        <v>0</v>
      </c>
      <c r="F108">
        <v>9</v>
      </c>
      <c r="G108">
        <v>0</v>
      </c>
      <c r="H108">
        <v>22715</v>
      </c>
      <c r="I108">
        <v>847</v>
      </c>
      <c r="J108">
        <v>856</v>
      </c>
      <c r="K108">
        <v>856</v>
      </c>
      <c r="L108">
        <v>3.7684349548756303E-2</v>
      </c>
      <c r="M108" t="s">
        <v>657</v>
      </c>
      <c r="N108" t="s">
        <v>92</v>
      </c>
      <c r="O108" t="s">
        <v>92</v>
      </c>
      <c r="P108" t="s">
        <v>92</v>
      </c>
    </row>
    <row r="109" spans="1:16" x14ac:dyDescent="0.25">
      <c r="A109" t="s">
        <v>149</v>
      </c>
      <c r="B109" t="s">
        <v>150</v>
      </c>
      <c r="D109">
        <v>0</v>
      </c>
      <c r="F109">
        <v>0</v>
      </c>
      <c r="G109">
        <v>0</v>
      </c>
      <c r="H109">
        <v>60</v>
      </c>
      <c r="I109">
        <v>22</v>
      </c>
      <c r="J109">
        <v>22</v>
      </c>
      <c r="K109">
        <v>22</v>
      </c>
      <c r="L109">
        <v>0.36666666666666697</v>
      </c>
      <c r="M109" t="s">
        <v>657</v>
      </c>
      <c r="N109" t="s">
        <v>657</v>
      </c>
      <c r="O109" t="s">
        <v>657</v>
      </c>
      <c r="P109" t="s">
        <v>657</v>
      </c>
    </row>
    <row r="110" spans="1:16" x14ac:dyDescent="0.25">
      <c r="A110" t="s">
        <v>151</v>
      </c>
      <c r="B110" t="s">
        <v>152</v>
      </c>
      <c r="D110">
        <v>0</v>
      </c>
      <c r="F110">
        <v>4</v>
      </c>
      <c r="G110">
        <v>0</v>
      </c>
      <c r="H110">
        <v>1354</v>
      </c>
      <c r="I110">
        <v>111</v>
      </c>
      <c r="J110">
        <v>115</v>
      </c>
      <c r="K110">
        <v>115</v>
      </c>
      <c r="L110">
        <v>8.4933530280649899E-2</v>
      </c>
      <c r="M110" t="s">
        <v>657</v>
      </c>
      <c r="N110" t="s">
        <v>92</v>
      </c>
      <c r="O110" t="s">
        <v>657</v>
      </c>
      <c r="P110" t="s">
        <v>657</v>
      </c>
    </row>
    <row r="111" spans="1:16" x14ac:dyDescent="0.25">
      <c r="A111" t="s">
        <v>434</v>
      </c>
      <c r="B111" t="s">
        <v>435</v>
      </c>
      <c r="D111">
        <v>0</v>
      </c>
      <c r="F111">
        <v>1</v>
      </c>
      <c r="G111">
        <v>0</v>
      </c>
      <c r="H111">
        <v>103</v>
      </c>
      <c r="I111">
        <v>31</v>
      </c>
      <c r="J111">
        <v>32</v>
      </c>
      <c r="K111">
        <v>32</v>
      </c>
      <c r="L111">
        <v>0.31067961165048502</v>
      </c>
      <c r="M111" t="s">
        <v>657</v>
      </c>
      <c r="N111" t="s">
        <v>657</v>
      </c>
      <c r="O111" t="s">
        <v>657</v>
      </c>
      <c r="P111" t="s">
        <v>657</v>
      </c>
    </row>
    <row r="112" spans="1:16" x14ac:dyDescent="0.25">
      <c r="A112" t="s">
        <v>436</v>
      </c>
      <c r="B112" t="s">
        <v>437</v>
      </c>
      <c r="D112">
        <v>0</v>
      </c>
      <c r="F112">
        <v>37</v>
      </c>
      <c r="G112">
        <v>0</v>
      </c>
      <c r="H112">
        <v>5470</v>
      </c>
      <c r="I112">
        <v>899</v>
      </c>
      <c r="J112">
        <v>936</v>
      </c>
      <c r="K112">
        <v>936</v>
      </c>
      <c r="L112">
        <v>0.17111517367458901</v>
      </c>
      <c r="M112" t="s">
        <v>657</v>
      </c>
      <c r="N112" t="s">
        <v>657</v>
      </c>
      <c r="O112" t="s">
        <v>657</v>
      </c>
      <c r="P112" t="s">
        <v>657</v>
      </c>
    </row>
    <row r="113" spans="1:16" x14ac:dyDescent="0.25">
      <c r="A113" t="s">
        <v>438</v>
      </c>
      <c r="B113" t="s">
        <v>439</v>
      </c>
      <c r="D113">
        <v>0</v>
      </c>
      <c r="F113">
        <v>70</v>
      </c>
      <c r="G113">
        <v>0</v>
      </c>
      <c r="H113">
        <v>20412</v>
      </c>
      <c r="I113">
        <v>2775</v>
      </c>
      <c r="J113">
        <v>2845</v>
      </c>
      <c r="K113">
        <v>2845</v>
      </c>
      <c r="L113">
        <v>0.13937879678620399</v>
      </c>
      <c r="M113" t="s">
        <v>657</v>
      </c>
      <c r="N113" t="s">
        <v>92</v>
      </c>
      <c r="O113" t="s">
        <v>657</v>
      </c>
      <c r="P113" t="s">
        <v>657</v>
      </c>
    </row>
    <row r="114" spans="1:16" x14ac:dyDescent="0.25">
      <c r="A114" t="s">
        <v>440</v>
      </c>
      <c r="B114" t="s">
        <v>441</v>
      </c>
      <c r="D114">
        <v>0</v>
      </c>
      <c r="F114">
        <v>52</v>
      </c>
      <c r="G114">
        <v>0</v>
      </c>
      <c r="H114">
        <v>29989</v>
      </c>
      <c r="I114">
        <v>4261</v>
      </c>
      <c r="J114">
        <v>4313</v>
      </c>
      <c r="K114">
        <v>4313</v>
      </c>
      <c r="L114">
        <v>0.14381940044683</v>
      </c>
      <c r="M114" t="s">
        <v>657</v>
      </c>
      <c r="N114" t="s">
        <v>92</v>
      </c>
      <c r="O114" t="s">
        <v>657</v>
      </c>
      <c r="P114" t="s">
        <v>657</v>
      </c>
    </row>
    <row r="115" spans="1:16" x14ac:dyDescent="0.25">
      <c r="A115" t="s">
        <v>442</v>
      </c>
      <c r="B115" t="s">
        <v>443</v>
      </c>
      <c r="D115">
        <v>0</v>
      </c>
      <c r="F115">
        <v>4</v>
      </c>
      <c r="G115">
        <v>0</v>
      </c>
      <c r="H115">
        <v>936</v>
      </c>
      <c r="I115">
        <v>144</v>
      </c>
      <c r="J115">
        <v>148</v>
      </c>
      <c r="K115">
        <v>148</v>
      </c>
      <c r="L115">
        <v>0.158119658119658</v>
      </c>
      <c r="M115" t="s">
        <v>657</v>
      </c>
      <c r="N115" t="s">
        <v>657</v>
      </c>
      <c r="O115" t="s">
        <v>657</v>
      </c>
      <c r="P115" t="s">
        <v>657</v>
      </c>
    </row>
    <row r="116" spans="1:16" x14ac:dyDescent="0.25">
      <c r="A116" t="s">
        <v>444</v>
      </c>
      <c r="B116" t="s">
        <v>1396</v>
      </c>
      <c r="D116">
        <v>0</v>
      </c>
      <c r="F116">
        <v>8</v>
      </c>
      <c r="G116">
        <v>0</v>
      </c>
      <c r="H116">
        <v>1729</v>
      </c>
      <c r="I116">
        <v>241</v>
      </c>
      <c r="J116">
        <v>249</v>
      </c>
      <c r="K116">
        <v>249</v>
      </c>
      <c r="L116">
        <v>0.14401388085598599</v>
      </c>
      <c r="M116" t="s">
        <v>657</v>
      </c>
      <c r="N116" t="s">
        <v>92</v>
      </c>
      <c r="O116" t="s">
        <v>657</v>
      </c>
      <c r="P116" t="s">
        <v>657</v>
      </c>
    </row>
    <row r="117" spans="1:16" x14ac:dyDescent="0.25">
      <c r="A117" t="s">
        <v>282</v>
      </c>
      <c r="B117" t="s">
        <v>283</v>
      </c>
      <c r="D117">
        <v>0</v>
      </c>
      <c r="F117">
        <v>0</v>
      </c>
      <c r="G117">
        <v>0</v>
      </c>
      <c r="H117">
        <v>736</v>
      </c>
      <c r="I117">
        <v>57</v>
      </c>
      <c r="J117">
        <v>57</v>
      </c>
      <c r="K117">
        <v>57</v>
      </c>
      <c r="L117">
        <v>7.7445652173912999E-2</v>
      </c>
      <c r="M117" t="s">
        <v>657</v>
      </c>
      <c r="N117" t="s">
        <v>92</v>
      </c>
      <c r="O117" t="s">
        <v>657</v>
      </c>
      <c r="P117" t="s">
        <v>657</v>
      </c>
    </row>
    <row r="118" spans="1:16" x14ac:dyDescent="0.25">
      <c r="A118" t="s">
        <v>445</v>
      </c>
      <c r="B118" t="s">
        <v>446</v>
      </c>
      <c r="D118">
        <v>0</v>
      </c>
      <c r="F118">
        <v>4</v>
      </c>
      <c r="G118">
        <v>0</v>
      </c>
      <c r="H118">
        <v>80</v>
      </c>
      <c r="I118">
        <v>13</v>
      </c>
      <c r="J118">
        <v>17</v>
      </c>
      <c r="K118">
        <v>17</v>
      </c>
      <c r="L118">
        <v>0.21249999999999999</v>
      </c>
      <c r="M118" t="s">
        <v>657</v>
      </c>
      <c r="N118" t="s">
        <v>657</v>
      </c>
      <c r="O118" t="s">
        <v>657</v>
      </c>
      <c r="P118" t="s">
        <v>657</v>
      </c>
    </row>
    <row r="119" spans="1:16" x14ac:dyDescent="0.25">
      <c r="A119" t="s">
        <v>153</v>
      </c>
      <c r="B119" t="s">
        <v>154</v>
      </c>
      <c r="D119">
        <v>0</v>
      </c>
      <c r="F119">
        <v>16</v>
      </c>
      <c r="G119">
        <v>0</v>
      </c>
      <c r="H119">
        <v>1926</v>
      </c>
      <c r="I119">
        <v>98</v>
      </c>
      <c r="J119">
        <v>114</v>
      </c>
      <c r="K119">
        <v>114</v>
      </c>
      <c r="L119">
        <v>5.9190031152648002E-2</v>
      </c>
      <c r="M119" t="s">
        <v>657</v>
      </c>
      <c r="N119" t="s">
        <v>92</v>
      </c>
      <c r="O119" t="s">
        <v>657</v>
      </c>
      <c r="P119" t="s">
        <v>657</v>
      </c>
    </row>
    <row r="120" spans="1:16" x14ac:dyDescent="0.25">
      <c r="A120" t="s">
        <v>284</v>
      </c>
      <c r="B120" t="s">
        <v>285</v>
      </c>
      <c r="D120">
        <v>0</v>
      </c>
      <c r="F120">
        <v>3</v>
      </c>
      <c r="G120">
        <v>0</v>
      </c>
      <c r="H120">
        <v>595</v>
      </c>
      <c r="I120">
        <v>91</v>
      </c>
      <c r="J120">
        <v>94</v>
      </c>
      <c r="K120">
        <v>94</v>
      </c>
      <c r="L120">
        <v>0.157983193277311</v>
      </c>
      <c r="M120" t="s">
        <v>657</v>
      </c>
      <c r="N120" t="s">
        <v>657</v>
      </c>
      <c r="O120" t="s">
        <v>657</v>
      </c>
      <c r="P120" t="s">
        <v>657</v>
      </c>
    </row>
    <row r="121" spans="1:16" x14ac:dyDescent="0.25">
      <c r="A121" t="s">
        <v>447</v>
      </c>
      <c r="B121" t="s">
        <v>448</v>
      </c>
      <c r="D121">
        <v>0</v>
      </c>
      <c r="F121">
        <v>0</v>
      </c>
      <c r="G121">
        <v>0</v>
      </c>
      <c r="H121">
        <v>87</v>
      </c>
      <c r="I121">
        <v>18</v>
      </c>
      <c r="J121">
        <v>18</v>
      </c>
      <c r="K121">
        <v>18</v>
      </c>
      <c r="L121">
        <v>0.20689655172413801</v>
      </c>
      <c r="M121" t="s">
        <v>657</v>
      </c>
      <c r="N121" t="s">
        <v>657</v>
      </c>
      <c r="O121" t="s">
        <v>657</v>
      </c>
      <c r="P121" t="s">
        <v>657</v>
      </c>
    </row>
    <row r="122" spans="1:16" x14ac:dyDescent="0.25">
      <c r="A122" t="s">
        <v>286</v>
      </c>
      <c r="B122" t="s">
        <v>287</v>
      </c>
      <c r="D122">
        <v>0</v>
      </c>
      <c r="F122">
        <v>1</v>
      </c>
      <c r="G122">
        <v>0</v>
      </c>
      <c r="H122">
        <v>1236</v>
      </c>
      <c r="I122">
        <v>163</v>
      </c>
      <c r="J122">
        <v>164</v>
      </c>
      <c r="K122">
        <v>164</v>
      </c>
      <c r="L122">
        <v>0.13268608414239499</v>
      </c>
      <c r="M122" t="s">
        <v>657</v>
      </c>
      <c r="N122" t="s">
        <v>92</v>
      </c>
      <c r="O122" t="s">
        <v>657</v>
      </c>
      <c r="P122" t="s">
        <v>657</v>
      </c>
    </row>
    <row r="123" spans="1:16" x14ac:dyDescent="0.25">
      <c r="A123" t="s">
        <v>449</v>
      </c>
      <c r="B123" t="s">
        <v>450</v>
      </c>
      <c r="D123">
        <v>0</v>
      </c>
      <c r="F123">
        <v>0</v>
      </c>
      <c r="G123">
        <v>0</v>
      </c>
      <c r="H123">
        <v>174</v>
      </c>
      <c r="I123">
        <v>40</v>
      </c>
      <c r="J123">
        <v>40</v>
      </c>
      <c r="K123">
        <v>40</v>
      </c>
      <c r="L123">
        <v>0.229885057471264</v>
      </c>
      <c r="M123" t="s">
        <v>657</v>
      </c>
      <c r="N123" t="s">
        <v>657</v>
      </c>
      <c r="O123" t="s">
        <v>657</v>
      </c>
      <c r="P123" t="s">
        <v>657</v>
      </c>
    </row>
    <row r="124" spans="1:16" x14ac:dyDescent="0.25">
      <c r="A124" t="s">
        <v>155</v>
      </c>
      <c r="B124" t="s">
        <v>156</v>
      </c>
      <c r="D124">
        <v>0</v>
      </c>
      <c r="F124">
        <v>15</v>
      </c>
      <c r="G124">
        <v>0</v>
      </c>
      <c r="H124">
        <v>10259</v>
      </c>
      <c r="I124">
        <v>567</v>
      </c>
      <c r="J124">
        <v>582</v>
      </c>
      <c r="K124">
        <v>582</v>
      </c>
      <c r="L124">
        <v>5.6730675504435099E-2</v>
      </c>
      <c r="M124" t="s">
        <v>657</v>
      </c>
      <c r="N124" t="s">
        <v>92</v>
      </c>
      <c r="O124" t="s">
        <v>657</v>
      </c>
      <c r="P124" t="s">
        <v>657</v>
      </c>
    </row>
    <row r="125" spans="1:16" x14ac:dyDescent="0.25">
      <c r="A125" t="s">
        <v>157</v>
      </c>
      <c r="B125" t="s">
        <v>158</v>
      </c>
      <c r="D125">
        <v>0</v>
      </c>
      <c r="F125">
        <v>23</v>
      </c>
      <c r="G125">
        <v>0</v>
      </c>
      <c r="H125">
        <v>35606</v>
      </c>
      <c r="I125">
        <v>1390</v>
      </c>
      <c r="J125">
        <v>1413</v>
      </c>
      <c r="K125">
        <v>1413</v>
      </c>
      <c r="L125">
        <v>3.9684322866932499E-2</v>
      </c>
      <c r="M125" t="s">
        <v>657</v>
      </c>
      <c r="N125" t="s">
        <v>92</v>
      </c>
      <c r="O125" t="s">
        <v>92</v>
      </c>
      <c r="P125" t="s">
        <v>92</v>
      </c>
    </row>
    <row r="126" spans="1:16" x14ac:dyDescent="0.25">
      <c r="A126" t="s">
        <v>159</v>
      </c>
      <c r="B126" t="s">
        <v>160</v>
      </c>
      <c r="D126">
        <v>0</v>
      </c>
      <c r="F126">
        <v>12</v>
      </c>
      <c r="G126">
        <v>0</v>
      </c>
      <c r="H126">
        <v>2643</v>
      </c>
      <c r="I126">
        <v>351</v>
      </c>
      <c r="J126">
        <v>363</v>
      </c>
      <c r="K126">
        <v>363</v>
      </c>
      <c r="L126">
        <v>0.13734392735527801</v>
      </c>
      <c r="M126" t="s">
        <v>657</v>
      </c>
      <c r="N126" t="s">
        <v>92</v>
      </c>
      <c r="O126" t="s">
        <v>657</v>
      </c>
      <c r="P126" t="s">
        <v>657</v>
      </c>
    </row>
    <row r="127" spans="1:16" x14ac:dyDescent="0.25">
      <c r="A127" t="s">
        <v>161</v>
      </c>
      <c r="B127" t="s">
        <v>162</v>
      </c>
      <c r="D127">
        <v>0</v>
      </c>
      <c r="F127">
        <v>0</v>
      </c>
      <c r="G127">
        <v>0</v>
      </c>
      <c r="H127">
        <v>27</v>
      </c>
      <c r="I127">
        <v>9</v>
      </c>
      <c r="J127">
        <v>9</v>
      </c>
      <c r="K127">
        <v>9</v>
      </c>
      <c r="L127">
        <v>0.33333333333333298</v>
      </c>
      <c r="M127" t="s">
        <v>92</v>
      </c>
      <c r="N127" t="s">
        <v>92</v>
      </c>
      <c r="O127" t="s">
        <v>92</v>
      </c>
      <c r="P127" t="s">
        <v>92</v>
      </c>
    </row>
    <row r="128" spans="1:16" x14ac:dyDescent="0.25">
      <c r="A128" t="s">
        <v>163</v>
      </c>
      <c r="B128" t="s">
        <v>164</v>
      </c>
      <c r="D128">
        <v>0</v>
      </c>
      <c r="F128">
        <v>1</v>
      </c>
      <c r="G128">
        <v>0</v>
      </c>
      <c r="H128">
        <v>827</v>
      </c>
      <c r="I128">
        <v>77</v>
      </c>
      <c r="J128">
        <v>78</v>
      </c>
      <c r="K128">
        <v>78</v>
      </c>
      <c r="L128">
        <v>9.4316807738814998E-2</v>
      </c>
      <c r="M128" t="s">
        <v>657</v>
      </c>
      <c r="N128" t="s">
        <v>92</v>
      </c>
      <c r="O128" t="s">
        <v>657</v>
      </c>
      <c r="P128" t="s">
        <v>657</v>
      </c>
    </row>
    <row r="129" spans="1:16" x14ac:dyDescent="0.25">
      <c r="A129" t="s">
        <v>451</v>
      </c>
      <c r="B129" t="s">
        <v>452</v>
      </c>
      <c r="D129">
        <v>0</v>
      </c>
      <c r="F129">
        <v>1</v>
      </c>
      <c r="G129">
        <v>0</v>
      </c>
      <c r="H129">
        <v>307</v>
      </c>
      <c r="I129">
        <v>81</v>
      </c>
      <c r="J129">
        <v>82</v>
      </c>
      <c r="K129">
        <v>82</v>
      </c>
      <c r="L129">
        <v>0.26710097719869702</v>
      </c>
      <c r="M129" t="s">
        <v>657</v>
      </c>
      <c r="N129" t="s">
        <v>657</v>
      </c>
      <c r="O129" t="s">
        <v>657</v>
      </c>
      <c r="P129" t="s">
        <v>657</v>
      </c>
    </row>
    <row r="130" spans="1:16" x14ac:dyDescent="0.25">
      <c r="A130" t="s">
        <v>453</v>
      </c>
      <c r="B130" t="s">
        <v>454</v>
      </c>
      <c r="D130">
        <v>0</v>
      </c>
      <c r="F130">
        <v>28</v>
      </c>
      <c r="G130">
        <v>0</v>
      </c>
      <c r="H130">
        <v>7214</v>
      </c>
      <c r="I130">
        <v>1316</v>
      </c>
      <c r="J130">
        <v>1344</v>
      </c>
      <c r="K130">
        <v>1344</v>
      </c>
      <c r="L130">
        <v>0.18630440809536999</v>
      </c>
      <c r="M130" t="s">
        <v>657</v>
      </c>
      <c r="N130" t="s">
        <v>657</v>
      </c>
      <c r="O130" t="s">
        <v>657</v>
      </c>
      <c r="P130" t="s">
        <v>657</v>
      </c>
    </row>
    <row r="131" spans="1:16" x14ac:dyDescent="0.25">
      <c r="A131" t="s">
        <v>455</v>
      </c>
      <c r="B131" t="s">
        <v>456</v>
      </c>
      <c r="D131">
        <v>0</v>
      </c>
      <c r="F131">
        <v>9</v>
      </c>
      <c r="G131">
        <v>0</v>
      </c>
      <c r="H131">
        <v>255</v>
      </c>
      <c r="I131">
        <v>50</v>
      </c>
      <c r="J131">
        <v>59</v>
      </c>
      <c r="K131">
        <v>59</v>
      </c>
      <c r="L131">
        <v>0.23137254901960799</v>
      </c>
      <c r="M131" t="s">
        <v>657</v>
      </c>
      <c r="N131" t="s">
        <v>657</v>
      </c>
      <c r="O131" t="s">
        <v>657</v>
      </c>
      <c r="P131" t="s">
        <v>657</v>
      </c>
    </row>
    <row r="132" spans="1:16" x14ac:dyDescent="0.25">
      <c r="A132" t="s">
        <v>457</v>
      </c>
      <c r="B132" t="s">
        <v>458</v>
      </c>
      <c r="D132">
        <v>0</v>
      </c>
      <c r="F132">
        <v>0</v>
      </c>
      <c r="G132">
        <v>0</v>
      </c>
      <c r="H132">
        <v>286</v>
      </c>
      <c r="I132">
        <v>47</v>
      </c>
      <c r="J132">
        <v>47</v>
      </c>
      <c r="K132">
        <v>47</v>
      </c>
      <c r="L132">
        <v>0.16433566433566399</v>
      </c>
      <c r="M132" t="s">
        <v>657</v>
      </c>
      <c r="N132" t="s">
        <v>657</v>
      </c>
      <c r="O132" t="s">
        <v>657</v>
      </c>
      <c r="P132" t="s">
        <v>657</v>
      </c>
    </row>
    <row r="133" spans="1:16" x14ac:dyDescent="0.25">
      <c r="A133" t="s">
        <v>80</v>
      </c>
      <c r="B133" t="s">
        <v>31</v>
      </c>
      <c r="C133" t="s">
        <v>64</v>
      </c>
      <c r="D133">
        <v>0</v>
      </c>
      <c r="E133">
        <v>0</v>
      </c>
      <c r="F133">
        <v>0</v>
      </c>
      <c r="G133">
        <v>0</v>
      </c>
      <c r="H133">
        <v>35.79770402289406</v>
      </c>
      <c r="I133">
        <v>8.7334849409284985</v>
      </c>
      <c r="J133">
        <v>8.7334849409284985</v>
      </c>
      <c r="K133">
        <v>0</v>
      </c>
      <c r="L133">
        <v>0.243967739812114</v>
      </c>
      <c r="M133" t="s">
        <v>92</v>
      </c>
      <c r="N133" t="s">
        <v>92</v>
      </c>
      <c r="O133" t="s">
        <v>92</v>
      </c>
      <c r="P133" t="s">
        <v>92</v>
      </c>
    </row>
    <row r="134" spans="1:16" x14ac:dyDescent="0.25">
      <c r="A134" t="s">
        <v>459</v>
      </c>
      <c r="B134" t="s">
        <v>460</v>
      </c>
      <c r="D134">
        <v>0</v>
      </c>
      <c r="F134">
        <v>0</v>
      </c>
      <c r="G134">
        <v>0</v>
      </c>
      <c r="H134">
        <v>410</v>
      </c>
      <c r="I134">
        <v>72</v>
      </c>
      <c r="J134">
        <v>72</v>
      </c>
      <c r="K134">
        <v>72</v>
      </c>
      <c r="L134">
        <v>0.17560975609756099</v>
      </c>
      <c r="M134" t="s">
        <v>657</v>
      </c>
      <c r="N134" t="s">
        <v>657</v>
      </c>
      <c r="O134" t="s">
        <v>657</v>
      </c>
      <c r="P134" t="s">
        <v>657</v>
      </c>
    </row>
    <row r="135" spans="1:16" x14ac:dyDescent="0.25">
      <c r="A135" t="s">
        <v>165</v>
      </c>
      <c r="B135" t="s">
        <v>166</v>
      </c>
      <c r="D135">
        <v>0</v>
      </c>
      <c r="F135">
        <v>5</v>
      </c>
      <c r="G135">
        <v>0</v>
      </c>
      <c r="H135">
        <v>4352</v>
      </c>
      <c r="I135">
        <v>303</v>
      </c>
      <c r="J135">
        <v>308</v>
      </c>
      <c r="K135">
        <v>308</v>
      </c>
      <c r="L135">
        <v>7.0772058823529396E-2</v>
      </c>
      <c r="M135" t="s">
        <v>657</v>
      </c>
      <c r="N135" t="s">
        <v>92</v>
      </c>
      <c r="O135" t="s">
        <v>657</v>
      </c>
      <c r="P135" t="s">
        <v>657</v>
      </c>
    </row>
    <row r="136" spans="1:16" x14ac:dyDescent="0.25">
      <c r="A136" t="s">
        <v>461</v>
      </c>
      <c r="B136" t="s">
        <v>462</v>
      </c>
      <c r="D136">
        <v>0</v>
      </c>
      <c r="F136">
        <v>0</v>
      </c>
      <c r="G136">
        <v>0</v>
      </c>
      <c r="H136">
        <v>770</v>
      </c>
      <c r="I136">
        <v>191</v>
      </c>
      <c r="J136">
        <v>191</v>
      </c>
      <c r="K136">
        <v>191</v>
      </c>
      <c r="L136">
        <v>0.248051948051948</v>
      </c>
      <c r="M136" t="s">
        <v>657</v>
      </c>
      <c r="N136" t="s">
        <v>657</v>
      </c>
      <c r="O136" t="s">
        <v>657</v>
      </c>
      <c r="P136" t="s">
        <v>657</v>
      </c>
    </row>
    <row r="137" spans="1:16" x14ac:dyDescent="0.25">
      <c r="A137" t="s">
        <v>463</v>
      </c>
      <c r="B137" t="s">
        <v>464</v>
      </c>
      <c r="D137">
        <v>0</v>
      </c>
      <c r="F137">
        <v>0</v>
      </c>
      <c r="G137">
        <v>0</v>
      </c>
      <c r="H137">
        <v>85</v>
      </c>
      <c r="I137">
        <v>16</v>
      </c>
      <c r="J137">
        <v>16</v>
      </c>
      <c r="K137">
        <v>16</v>
      </c>
      <c r="L137">
        <v>0.188235294117647</v>
      </c>
      <c r="M137" t="s">
        <v>657</v>
      </c>
      <c r="N137" t="s">
        <v>657</v>
      </c>
      <c r="O137" t="s">
        <v>657</v>
      </c>
      <c r="P137" t="s">
        <v>657</v>
      </c>
    </row>
    <row r="138" spans="1:16" x14ac:dyDescent="0.25">
      <c r="A138" t="s">
        <v>288</v>
      </c>
      <c r="B138" t="s">
        <v>289</v>
      </c>
      <c r="D138">
        <v>0</v>
      </c>
      <c r="F138">
        <v>2</v>
      </c>
      <c r="G138">
        <v>0</v>
      </c>
      <c r="H138">
        <v>609</v>
      </c>
      <c r="I138">
        <v>120</v>
      </c>
      <c r="J138">
        <v>122</v>
      </c>
      <c r="K138">
        <v>122</v>
      </c>
      <c r="L138">
        <v>0.20032840722495901</v>
      </c>
      <c r="M138" t="s">
        <v>657</v>
      </c>
      <c r="N138" t="s">
        <v>657</v>
      </c>
      <c r="O138" t="s">
        <v>657</v>
      </c>
      <c r="P138" t="s">
        <v>657</v>
      </c>
    </row>
    <row r="139" spans="1:16" x14ac:dyDescent="0.25">
      <c r="A139" t="s">
        <v>465</v>
      </c>
      <c r="B139" t="s">
        <v>466</v>
      </c>
      <c r="D139">
        <v>0</v>
      </c>
      <c r="F139">
        <v>0</v>
      </c>
      <c r="G139">
        <v>0</v>
      </c>
      <c r="H139">
        <v>206</v>
      </c>
      <c r="I139">
        <v>33</v>
      </c>
      <c r="J139">
        <v>33</v>
      </c>
      <c r="K139">
        <v>33</v>
      </c>
      <c r="L139">
        <v>0.16019417475728201</v>
      </c>
      <c r="M139" t="s">
        <v>657</v>
      </c>
      <c r="N139" t="s">
        <v>657</v>
      </c>
      <c r="O139" t="s">
        <v>657</v>
      </c>
      <c r="P139" t="s">
        <v>657</v>
      </c>
    </row>
    <row r="140" spans="1:16" x14ac:dyDescent="0.25">
      <c r="A140" t="s">
        <v>467</v>
      </c>
      <c r="B140" t="s">
        <v>468</v>
      </c>
      <c r="D140">
        <v>0</v>
      </c>
      <c r="F140">
        <v>8</v>
      </c>
      <c r="G140">
        <v>0</v>
      </c>
      <c r="H140">
        <v>640</v>
      </c>
      <c r="I140">
        <v>146</v>
      </c>
      <c r="J140">
        <v>154</v>
      </c>
      <c r="K140">
        <v>154</v>
      </c>
      <c r="L140">
        <v>0.24062500000000001</v>
      </c>
      <c r="M140" t="s">
        <v>657</v>
      </c>
      <c r="N140" t="s">
        <v>657</v>
      </c>
      <c r="O140" t="s">
        <v>657</v>
      </c>
      <c r="P140" t="s">
        <v>657</v>
      </c>
    </row>
    <row r="141" spans="1:16" x14ac:dyDescent="0.25">
      <c r="A141" t="s">
        <v>167</v>
      </c>
      <c r="B141" t="s">
        <v>168</v>
      </c>
      <c r="D141">
        <v>0</v>
      </c>
      <c r="F141">
        <v>26</v>
      </c>
      <c r="G141">
        <v>0</v>
      </c>
      <c r="H141">
        <v>12544</v>
      </c>
      <c r="I141">
        <v>1469</v>
      </c>
      <c r="J141">
        <v>1495</v>
      </c>
      <c r="K141">
        <v>1495</v>
      </c>
      <c r="L141">
        <v>0.119180484693878</v>
      </c>
      <c r="M141" t="s">
        <v>657</v>
      </c>
      <c r="N141" t="s">
        <v>92</v>
      </c>
      <c r="O141" t="s">
        <v>657</v>
      </c>
      <c r="P141" t="s">
        <v>657</v>
      </c>
    </row>
    <row r="142" spans="1:16" x14ac:dyDescent="0.25">
      <c r="A142" t="s">
        <v>469</v>
      </c>
      <c r="B142" t="s">
        <v>470</v>
      </c>
      <c r="D142">
        <v>0</v>
      </c>
      <c r="F142">
        <v>2</v>
      </c>
      <c r="G142">
        <v>0</v>
      </c>
      <c r="H142">
        <v>572</v>
      </c>
      <c r="I142">
        <v>72</v>
      </c>
      <c r="J142">
        <v>74</v>
      </c>
      <c r="K142">
        <v>74</v>
      </c>
      <c r="L142">
        <v>0.12937062937062899</v>
      </c>
      <c r="M142" t="s">
        <v>657</v>
      </c>
      <c r="N142" t="s">
        <v>92</v>
      </c>
      <c r="O142" t="s">
        <v>657</v>
      </c>
      <c r="P142" t="s">
        <v>657</v>
      </c>
    </row>
    <row r="143" spans="1:16" x14ac:dyDescent="0.25">
      <c r="A143" t="s">
        <v>169</v>
      </c>
      <c r="B143" t="s">
        <v>170</v>
      </c>
      <c r="D143">
        <v>0</v>
      </c>
      <c r="F143">
        <v>31</v>
      </c>
      <c r="G143">
        <v>0</v>
      </c>
      <c r="H143">
        <v>12016</v>
      </c>
      <c r="I143">
        <v>1000</v>
      </c>
      <c r="J143">
        <v>1031</v>
      </c>
      <c r="K143">
        <v>1031</v>
      </c>
      <c r="L143">
        <v>8.5802263648468699E-2</v>
      </c>
      <c r="M143" t="s">
        <v>657</v>
      </c>
      <c r="N143" t="s">
        <v>92</v>
      </c>
      <c r="O143" t="s">
        <v>657</v>
      </c>
      <c r="P143" t="s">
        <v>657</v>
      </c>
    </row>
    <row r="144" spans="1:16" x14ac:dyDescent="0.25">
      <c r="A144" t="s">
        <v>171</v>
      </c>
      <c r="B144" t="s">
        <v>172</v>
      </c>
      <c r="D144">
        <v>0</v>
      </c>
      <c r="F144">
        <v>3</v>
      </c>
      <c r="G144">
        <v>0</v>
      </c>
      <c r="H144">
        <v>1801</v>
      </c>
      <c r="I144">
        <v>208</v>
      </c>
      <c r="J144">
        <v>211</v>
      </c>
      <c r="K144">
        <v>211</v>
      </c>
      <c r="L144">
        <v>0.117157134925042</v>
      </c>
      <c r="M144" t="s">
        <v>657</v>
      </c>
      <c r="N144" t="s">
        <v>92</v>
      </c>
      <c r="O144" t="s">
        <v>657</v>
      </c>
      <c r="P144" t="s">
        <v>657</v>
      </c>
    </row>
    <row r="145" spans="1:16" x14ac:dyDescent="0.25">
      <c r="A145" t="s">
        <v>173</v>
      </c>
      <c r="B145" t="s">
        <v>174</v>
      </c>
      <c r="D145">
        <v>0</v>
      </c>
      <c r="F145">
        <v>0</v>
      </c>
      <c r="G145">
        <v>0</v>
      </c>
      <c r="H145">
        <v>4878</v>
      </c>
      <c r="I145">
        <v>118</v>
      </c>
      <c r="J145">
        <v>118</v>
      </c>
      <c r="K145">
        <v>118</v>
      </c>
      <c r="L145">
        <v>2.4190241902418998E-2</v>
      </c>
      <c r="M145" t="s">
        <v>657</v>
      </c>
      <c r="N145" t="s">
        <v>92</v>
      </c>
      <c r="O145" t="s">
        <v>92</v>
      </c>
      <c r="P145" t="s">
        <v>92</v>
      </c>
    </row>
    <row r="146" spans="1:16" x14ac:dyDescent="0.25">
      <c r="A146" t="s">
        <v>175</v>
      </c>
      <c r="B146" t="s">
        <v>176</v>
      </c>
      <c r="D146">
        <v>0</v>
      </c>
      <c r="F146">
        <v>1</v>
      </c>
      <c r="G146">
        <v>0</v>
      </c>
      <c r="H146">
        <v>1705</v>
      </c>
      <c r="I146">
        <v>204</v>
      </c>
      <c r="J146">
        <v>205</v>
      </c>
      <c r="K146">
        <v>205</v>
      </c>
      <c r="L146">
        <v>0.120234604105572</v>
      </c>
      <c r="M146" t="s">
        <v>657</v>
      </c>
      <c r="N146" t="s">
        <v>92</v>
      </c>
      <c r="O146" t="s">
        <v>657</v>
      </c>
      <c r="P146" t="s">
        <v>657</v>
      </c>
    </row>
    <row r="147" spans="1:16" x14ac:dyDescent="0.25">
      <c r="A147" t="s">
        <v>471</v>
      </c>
      <c r="B147" t="s">
        <v>472</v>
      </c>
      <c r="D147">
        <v>0</v>
      </c>
      <c r="F147">
        <v>0</v>
      </c>
      <c r="G147">
        <v>0</v>
      </c>
      <c r="H147">
        <v>859</v>
      </c>
      <c r="I147">
        <v>70</v>
      </c>
      <c r="J147">
        <v>70</v>
      </c>
      <c r="K147">
        <v>70</v>
      </c>
      <c r="L147">
        <v>8.1490104772991803E-2</v>
      </c>
      <c r="M147" t="s">
        <v>657</v>
      </c>
      <c r="N147" t="s">
        <v>92</v>
      </c>
      <c r="O147" t="s">
        <v>657</v>
      </c>
      <c r="P147" t="s">
        <v>657</v>
      </c>
    </row>
    <row r="148" spans="1:16" x14ac:dyDescent="0.25">
      <c r="A148" t="s">
        <v>473</v>
      </c>
      <c r="B148" t="s">
        <v>474</v>
      </c>
      <c r="D148">
        <v>0</v>
      </c>
      <c r="F148">
        <v>0</v>
      </c>
      <c r="G148">
        <v>0</v>
      </c>
      <c r="H148">
        <v>74</v>
      </c>
      <c r="I148">
        <v>18</v>
      </c>
      <c r="J148">
        <v>18</v>
      </c>
      <c r="K148">
        <v>18</v>
      </c>
      <c r="L148">
        <v>0.24324324324324301</v>
      </c>
      <c r="M148" t="s">
        <v>657</v>
      </c>
      <c r="N148" t="s">
        <v>657</v>
      </c>
      <c r="O148" t="s">
        <v>657</v>
      </c>
      <c r="P148" t="s">
        <v>657</v>
      </c>
    </row>
    <row r="149" spans="1:16" x14ac:dyDescent="0.25">
      <c r="A149" t="s">
        <v>177</v>
      </c>
      <c r="B149" t="s">
        <v>178</v>
      </c>
      <c r="D149">
        <v>0</v>
      </c>
      <c r="F149">
        <v>10</v>
      </c>
      <c r="G149">
        <v>0</v>
      </c>
      <c r="H149">
        <v>6648</v>
      </c>
      <c r="I149">
        <v>430</v>
      </c>
      <c r="J149">
        <v>440</v>
      </c>
      <c r="K149">
        <v>440</v>
      </c>
      <c r="L149">
        <v>6.6185318892900094E-2</v>
      </c>
      <c r="M149" t="s">
        <v>657</v>
      </c>
      <c r="N149" t="s">
        <v>92</v>
      </c>
      <c r="O149" t="s">
        <v>657</v>
      </c>
      <c r="P149" t="s">
        <v>657</v>
      </c>
    </row>
    <row r="150" spans="1:16" x14ac:dyDescent="0.25">
      <c r="A150" t="s">
        <v>475</v>
      </c>
      <c r="B150" t="s">
        <v>476</v>
      </c>
      <c r="D150">
        <v>0</v>
      </c>
      <c r="F150">
        <v>7</v>
      </c>
      <c r="G150">
        <v>0</v>
      </c>
      <c r="H150">
        <v>1334</v>
      </c>
      <c r="I150">
        <v>206</v>
      </c>
      <c r="J150">
        <v>213</v>
      </c>
      <c r="K150">
        <v>213</v>
      </c>
      <c r="L150">
        <v>0.15967016491754099</v>
      </c>
      <c r="M150" t="s">
        <v>657</v>
      </c>
      <c r="N150" t="s">
        <v>657</v>
      </c>
      <c r="O150" t="s">
        <v>657</v>
      </c>
      <c r="P150" t="s">
        <v>657</v>
      </c>
    </row>
    <row r="151" spans="1:16" x14ac:dyDescent="0.25">
      <c r="A151" t="s">
        <v>477</v>
      </c>
      <c r="B151" t="s">
        <v>478</v>
      </c>
      <c r="D151">
        <v>0</v>
      </c>
      <c r="F151">
        <v>0</v>
      </c>
      <c r="G151">
        <v>0</v>
      </c>
      <c r="H151">
        <v>333</v>
      </c>
      <c r="I151">
        <v>44</v>
      </c>
      <c r="J151">
        <v>44</v>
      </c>
      <c r="K151">
        <v>44</v>
      </c>
      <c r="L151">
        <v>0.13213213213213201</v>
      </c>
      <c r="M151" t="s">
        <v>657</v>
      </c>
      <c r="N151" t="s">
        <v>92</v>
      </c>
      <c r="O151" t="s">
        <v>657</v>
      </c>
      <c r="P151" t="s">
        <v>657</v>
      </c>
    </row>
    <row r="152" spans="1:16" x14ac:dyDescent="0.25">
      <c r="A152" t="s">
        <v>479</v>
      </c>
      <c r="B152" t="s">
        <v>480</v>
      </c>
      <c r="D152">
        <v>0</v>
      </c>
      <c r="F152">
        <v>37</v>
      </c>
      <c r="G152">
        <v>0</v>
      </c>
      <c r="H152">
        <v>9756</v>
      </c>
      <c r="I152">
        <v>1341</v>
      </c>
      <c r="J152">
        <v>1378</v>
      </c>
      <c r="K152">
        <v>1378</v>
      </c>
      <c r="L152">
        <v>0.141246412464125</v>
      </c>
      <c r="M152" t="s">
        <v>657</v>
      </c>
      <c r="N152" t="s">
        <v>92</v>
      </c>
      <c r="O152" t="s">
        <v>657</v>
      </c>
      <c r="P152" t="s">
        <v>657</v>
      </c>
    </row>
    <row r="153" spans="1:16" x14ac:dyDescent="0.25">
      <c r="A153" t="s">
        <v>481</v>
      </c>
      <c r="B153" t="s">
        <v>482</v>
      </c>
      <c r="D153">
        <v>0</v>
      </c>
      <c r="F153">
        <v>2</v>
      </c>
      <c r="G153">
        <v>0</v>
      </c>
      <c r="H153">
        <v>699</v>
      </c>
      <c r="I153">
        <v>124</v>
      </c>
      <c r="J153">
        <v>126</v>
      </c>
      <c r="K153">
        <v>126</v>
      </c>
      <c r="L153">
        <v>0.18025751072961399</v>
      </c>
      <c r="M153" t="s">
        <v>657</v>
      </c>
      <c r="N153" t="s">
        <v>657</v>
      </c>
      <c r="O153" t="s">
        <v>657</v>
      </c>
      <c r="P153" t="s">
        <v>657</v>
      </c>
    </row>
    <row r="154" spans="1:16" x14ac:dyDescent="0.25">
      <c r="A154" t="s">
        <v>483</v>
      </c>
      <c r="B154" t="s">
        <v>484</v>
      </c>
      <c r="D154">
        <v>0</v>
      </c>
      <c r="F154">
        <v>14</v>
      </c>
      <c r="G154">
        <v>0</v>
      </c>
      <c r="H154">
        <v>998</v>
      </c>
      <c r="I154">
        <v>259</v>
      </c>
      <c r="J154">
        <v>273</v>
      </c>
      <c r="K154">
        <v>273</v>
      </c>
      <c r="L154">
        <v>0.27354709418837703</v>
      </c>
      <c r="M154" t="s">
        <v>657</v>
      </c>
      <c r="N154" t="s">
        <v>657</v>
      </c>
      <c r="O154" t="s">
        <v>657</v>
      </c>
      <c r="P154" t="s">
        <v>657</v>
      </c>
    </row>
    <row r="155" spans="1:16" x14ac:dyDescent="0.25">
      <c r="A155" t="s">
        <v>485</v>
      </c>
      <c r="B155" t="s">
        <v>486</v>
      </c>
      <c r="D155">
        <v>0</v>
      </c>
      <c r="F155">
        <v>8</v>
      </c>
      <c r="G155">
        <v>0</v>
      </c>
      <c r="H155">
        <v>2435</v>
      </c>
      <c r="I155">
        <v>278</v>
      </c>
      <c r="J155">
        <v>286</v>
      </c>
      <c r="K155">
        <v>286</v>
      </c>
      <c r="L155">
        <v>0.11745379876796699</v>
      </c>
      <c r="M155" t="s">
        <v>657</v>
      </c>
      <c r="N155" t="s">
        <v>92</v>
      </c>
      <c r="O155" t="s">
        <v>657</v>
      </c>
      <c r="P155" t="s">
        <v>657</v>
      </c>
    </row>
    <row r="156" spans="1:16" x14ac:dyDescent="0.25">
      <c r="A156" t="s">
        <v>179</v>
      </c>
      <c r="B156" t="s">
        <v>180</v>
      </c>
      <c r="D156">
        <v>0</v>
      </c>
      <c r="F156">
        <v>0</v>
      </c>
      <c r="G156">
        <v>0</v>
      </c>
      <c r="H156">
        <v>41</v>
      </c>
      <c r="I156">
        <v>3</v>
      </c>
      <c r="J156">
        <v>3</v>
      </c>
      <c r="K156">
        <v>3</v>
      </c>
      <c r="L156">
        <v>7.3170731707317097E-2</v>
      </c>
      <c r="M156" t="s">
        <v>92</v>
      </c>
      <c r="N156" t="s">
        <v>92</v>
      </c>
      <c r="O156" t="s">
        <v>92</v>
      </c>
      <c r="P156" t="s">
        <v>92</v>
      </c>
    </row>
    <row r="157" spans="1:16" x14ac:dyDescent="0.25">
      <c r="A157" t="s">
        <v>487</v>
      </c>
      <c r="B157" t="s">
        <v>488</v>
      </c>
      <c r="D157">
        <v>0</v>
      </c>
      <c r="F157">
        <v>7</v>
      </c>
      <c r="G157">
        <v>0</v>
      </c>
      <c r="H157">
        <v>6839</v>
      </c>
      <c r="I157">
        <v>917</v>
      </c>
      <c r="J157">
        <v>924</v>
      </c>
      <c r="K157">
        <v>924</v>
      </c>
      <c r="L157">
        <v>0.13510747185260999</v>
      </c>
      <c r="M157" t="s">
        <v>657</v>
      </c>
      <c r="N157" t="s">
        <v>92</v>
      </c>
      <c r="O157" t="s">
        <v>657</v>
      </c>
      <c r="P157" t="s">
        <v>657</v>
      </c>
    </row>
    <row r="158" spans="1:16" x14ac:dyDescent="0.25">
      <c r="A158" t="s">
        <v>290</v>
      </c>
      <c r="B158" t="s">
        <v>291</v>
      </c>
      <c r="D158">
        <v>0</v>
      </c>
      <c r="F158">
        <v>19</v>
      </c>
      <c r="G158">
        <v>0</v>
      </c>
      <c r="H158">
        <v>16936</v>
      </c>
      <c r="I158">
        <v>2310</v>
      </c>
      <c r="J158">
        <v>2329</v>
      </c>
      <c r="K158">
        <v>2329</v>
      </c>
      <c r="L158">
        <v>0.13751771374586699</v>
      </c>
      <c r="M158" t="s">
        <v>657</v>
      </c>
      <c r="N158" t="s">
        <v>92</v>
      </c>
      <c r="O158" t="s">
        <v>657</v>
      </c>
      <c r="P158" t="s">
        <v>657</v>
      </c>
    </row>
    <row r="159" spans="1:16" x14ac:dyDescent="0.25">
      <c r="A159" t="s">
        <v>489</v>
      </c>
      <c r="B159" t="s">
        <v>490</v>
      </c>
      <c r="D159">
        <v>0</v>
      </c>
      <c r="F159">
        <v>5</v>
      </c>
      <c r="G159">
        <v>0</v>
      </c>
      <c r="H159">
        <v>1613</v>
      </c>
      <c r="I159">
        <v>218</v>
      </c>
      <c r="J159">
        <v>223</v>
      </c>
      <c r="K159">
        <v>223</v>
      </c>
      <c r="L159">
        <v>0.138251704897706</v>
      </c>
      <c r="M159" t="s">
        <v>657</v>
      </c>
      <c r="N159" t="s">
        <v>92</v>
      </c>
      <c r="O159" t="s">
        <v>657</v>
      </c>
      <c r="P159" t="s">
        <v>657</v>
      </c>
    </row>
    <row r="160" spans="1:16" x14ac:dyDescent="0.25">
      <c r="A160" t="s">
        <v>491</v>
      </c>
      <c r="B160" t="s">
        <v>492</v>
      </c>
      <c r="D160">
        <v>0</v>
      </c>
      <c r="F160">
        <v>1</v>
      </c>
      <c r="G160">
        <v>0</v>
      </c>
      <c r="H160">
        <v>774</v>
      </c>
      <c r="I160">
        <v>65</v>
      </c>
      <c r="J160">
        <v>66</v>
      </c>
      <c r="K160">
        <v>66</v>
      </c>
      <c r="L160">
        <v>8.5271317829457405E-2</v>
      </c>
      <c r="M160" t="s">
        <v>657</v>
      </c>
      <c r="N160" t="s">
        <v>92</v>
      </c>
      <c r="O160" t="s">
        <v>657</v>
      </c>
      <c r="P160" t="s">
        <v>657</v>
      </c>
    </row>
    <row r="161" spans="1:16" x14ac:dyDescent="0.25">
      <c r="A161" t="s">
        <v>493</v>
      </c>
      <c r="B161" t="s">
        <v>494</v>
      </c>
      <c r="D161">
        <v>0</v>
      </c>
      <c r="F161">
        <v>0</v>
      </c>
      <c r="G161">
        <v>0</v>
      </c>
      <c r="H161">
        <v>340</v>
      </c>
      <c r="I161">
        <v>35</v>
      </c>
      <c r="J161">
        <v>35</v>
      </c>
      <c r="K161">
        <v>35</v>
      </c>
      <c r="L161">
        <v>0.10294117647058799</v>
      </c>
      <c r="M161" t="s">
        <v>657</v>
      </c>
      <c r="N161" t="s">
        <v>92</v>
      </c>
      <c r="O161" t="s">
        <v>657</v>
      </c>
      <c r="P161" t="s">
        <v>657</v>
      </c>
    </row>
    <row r="162" spans="1:16" x14ac:dyDescent="0.25">
      <c r="A162" t="s">
        <v>495</v>
      </c>
      <c r="B162" t="s">
        <v>496</v>
      </c>
      <c r="D162">
        <v>0</v>
      </c>
      <c r="F162">
        <v>2</v>
      </c>
      <c r="G162">
        <v>0</v>
      </c>
      <c r="H162">
        <v>253</v>
      </c>
      <c r="I162">
        <v>68</v>
      </c>
      <c r="J162">
        <v>70</v>
      </c>
      <c r="K162">
        <v>70</v>
      </c>
      <c r="L162">
        <v>0.27667984189723299</v>
      </c>
      <c r="M162" t="s">
        <v>657</v>
      </c>
      <c r="N162" t="s">
        <v>657</v>
      </c>
      <c r="O162" t="s">
        <v>657</v>
      </c>
      <c r="P162" t="s">
        <v>657</v>
      </c>
    </row>
    <row r="163" spans="1:16" x14ac:dyDescent="0.25">
      <c r="A163" t="s">
        <v>497</v>
      </c>
      <c r="B163" t="s">
        <v>498</v>
      </c>
      <c r="D163">
        <v>0</v>
      </c>
      <c r="F163">
        <v>4</v>
      </c>
      <c r="G163">
        <v>0</v>
      </c>
      <c r="H163">
        <v>1399</v>
      </c>
      <c r="I163">
        <v>268</v>
      </c>
      <c r="J163">
        <v>272</v>
      </c>
      <c r="K163">
        <v>272</v>
      </c>
      <c r="L163">
        <v>0.19442458899213699</v>
      </c>
      <c r="M163" t="s">
        <v>657</v>
      </c>
      <c r="N163" t="s">
        <v>657</v>
      </c>
      <c r="O163" t="s">
        <v>657</v>
      </c>
      <c r="P163" t="s">
        <v>657</v>
      </c>
    </row>
    <row r="164" spans="1:16" x14ac:dyDescent="0.25">
      <c r="A164" t="s">
        <v>499</v>
      </c>
      <c r="B164" t="s">
        <v>500</v>
      </c>
      <c r="D164">
        <v>0</v>
      </c>
      <c r="F164">
        <v>3</v>
      </c>
      <c r="G164">
        <v>0</v>
      </c>
      <c r="H164">
        <v>1563</v>
      </c>
      <c r="I164">
        <v>104</v>
      </c>
      <c r="J164">
        <v>107</v>
      </c>
      <c r="K164">
        <v>107</v>
      </c>
      <c r="L164">
        <v>6.8458093410108806E-2</v>
      </c>
      <c r="M164" t="s">
        <v>657</v>
      </c>
      <c r="N164" t="s">
        <v>92</v>
      </c>
      <c r="O164" t="s">
        <v>657</v>
      </c>
      <c r="P164" t="s">
        <v>657</v>
      </c>
    </row>
    <row r="165" spans="1:16" x14ac:dyDescent="0.25">
      <c r="A165" t="s">
        <v>181</v>
      </c>
      <c r="B165" t="s">
        <v>182</v>
      </c>
      <c r="D165">
        <v>0</v>
      </c>
      <c r="F165">
        <v>8</v>
      </c>
      <c r="G165">
        <v>0</v>
      </c>
      <c r="H165">
        <v>2210</v>
      </c>
      <c r="I165">
        <v>200</v>
      </c>
      <c r="J165">
        <v>208</v>
      </c>
      <c r="K165">
        <v>208</v>
      </c>
      <c r="L165">
        <v>9.41176470588235E-2</v>
      </c>
      <c r="M165" t="s">
        <v>657</v>
      </c>
      <c r="N165" t="s">
        <v>92</v>
      </c>
      <c r="O165" t="s">
        <v>657</v>
      </c>
      <c r="P165" t="s">
        <v>657</v>
      </c>
    </row>
    <row r="166" spans="1:16" x14ac:dyDescent="0.25">
      <c r="A166" t="s">
        <v>501</v>
      </c>
      <c r="B166" t="s">
        <v>502</v>
      </c>
      <c r="D166">
        <v>0</v>
      </c>
      <c r="F166">
        <v>9</v>
      </c>
      <c r="G166">
        <v>0</v>
      </c>
      <c r="H166">
        <v>703</v>
      </c>
      <c r="I166">
        <v>157</v>
      </c>
      <c r="J166">
        <v>166</v>
      </c>
      <c r="K166">
        <v>166</v>
      </c>
      <c r="L166">
        <v>0.23613086770981501</v>
      </c>
      <c r="M166" t="s">
        <v>657</v>
      </c>
      <c r="N166" t="s">
        <v>657</v>
      </c>
      <c r="O166" t="s">
        <v>657</v>
      </c>
      <c r="P166" t="s">
        <v>657</v>
      </c>
    </row>
    <row r="167" spans="1:16" x14ac:dyDescent="0.25">
      <c r="A167" t="s">
        <v>503</v>
      </c>
      <c r="B167" t="s">
        <v>504</v>
      </c>
      <c r="D167">
        <v>0</v>
      </c>
      <c r="F167">
        <v>0</v>
      </c>
      <c r="G167">
        <v>0</v>
      </c>
      <c r="H167">
        <v>2211</v>
      </c>
      <c r="I167">
        <v>414</v>
      </c>
      <c r="J167">
        <v>414</v>
      </c>
      <c r="K167">
        <v>414</v>
      </c>
      <c r="L167">
        <v>0.187245590230665</v>
      </c>
      <c r="M167" t="s">
        <v>657</v>
      </c>
      <c r="N167" t="s">
        <v>657</v>
      </c>
      <c r="O167" t="s">
        <v>657</v>
      </c>
      <c r="P167" t="s">
        <v>657</v>
      </c>
    </row>
    <row r="168" spans="1:16" x14ac:dyDescent="0.25">
      <c r="A168" t="s">
        <v>183</v>
      </c>
      <c r="B168" t="s">
        <v>184</v>
      </c>
      <c r="D168">
        <v>0</v>
      </c>
      <c r="F168">
        <v>29</v>
      </c>
      <c r="G168">
        <v>0</v>
      </c>
      <c r="H168">
        <v>7166</v>
      </c>
      <c r="I168">
        <v>548</v>
      </c>
      <c r="J168">
        <v>577</v>
      </c>
      <c r="K168">
        <v>577</v>
      </c>
      <c r="L168">
        <v>8.0519118057493705E-2</v>
      </c>
      <c r="M168" t="s">
        <v>657</v>
      </c>
      <c r="N168" t="s">
        <v>92</v>
      </c>
      <c r="O168" t="s">
        <v>657</v>
      </c>
      <c r="P168" t="s">
        <v>657</v>
      </c>
    </row>
    <row r="169" spans="1:16" x14ac:dyDescent="0.25">
      <c r="A169" t="s">
        <v>505</v>
      </c>
      <c r="B169" t="s">
        <v>506</v>
      </c>
      <c r="D169">
        <v>0</v>
      </c>
      <c r="F169">
        <v>8</v>
      </c>
      <c r="G169">
        <v>0</v>
      </c>
      <c r="H169">
        <v>2444</v>
      </c>
      <c r="I169">
        <v>339</v>
      </c>
      <c r="J169">
        <v>347</v>
      </c>
      <c r="K169">
        <v>347</v>
      </c>
      <c r="L169">
        <v>0.14198036006546599</v>
      </c>
      <c r="M169" t="s">
        <v>657</v>
      </c>
      <c r="N169" t="s">
        <v>92</v>
      </c>
      <c r="O169" t="s">
        <v>657</v>
      </c>
      <c r="P169" t="s">
        <v>657</v>
      </c>
    </row>
    <row r="170" spans="1:16" x14ac:dyDescent="0.25">
      <c r="A170" t="s">
        <v>507</v>
      </c>
      <c r="B170" t="s">
        <v>508</v>
      </c>
      <c r="D170">
        <v>0</v>
      </c>
      <c r="F170">
        <v>0</v>
      </c>
      <c r="G170">
        <v>0</v>
      </c>
      <c r="H170">
        <v>52</v>
      </c>
      <c r="I170">
        <v>7</v>
      </c>
      <c r="J170">
        <v>7</v>
      </c>
      <c r="K170">
        <v>7</v>
      </c>
      <c r="L170">
        <v>0.134615384615385</v>
      </c>
      <c r="M170" t="s">
        <v>92</v>
      </c>
      <c r="N170" t="s">
        <v>92</v>
      </c>
      <c r="O170" t="s">
        <v>92</v>
      </c>
      <c r="P170" t="s">
        <v>92</v>
      </c>
    </row>
    <row r="171" spans="1:16" x14ac:dyDescent="0.25">
      <c r="A171" t="s">
        <v>185</v>
      </c>
      <c r="B171" t="s">
        <v>186</v>
      </c>
      <c r="D171">
        <v>0</v>
      </c>
      <c r="F171">
        <v>37</v>
      </c>
      <c r="G171">
        <v>0</v>
      </c>
      <c r="H171">
        <v>17009</v>
      </c>
      <c r="I171">
        <v>1459</v>
      </c>
      <c r="J171">
        <v>1496</v>
      </c>
      <c r="K171">
        <v>1496</v>
      </c>
      <c r="L171">
        <v>8.7953436416014996E-2</v>
      </c>
      <c r="M171" t="s">
        <v>657</v>
      </c>
      <c r="N171" t="s">
        <v>92</v>
      </c>
      <c r="O171" t="s">
        <v>657</v>
      </c>
      <c r="P171" t="s">
        <v>657</v>
      </c>
    </row>
    <row r="172" spans="1:16" x14ac:dyDescent="0.25">
      <c r="A172" t="s">
        <v>509</v>
      </c>
      <c r="B172" t="s">
        <v>510</v>
      </c>
      <c r="D172">
        <v>0</v>
      </c>
      <c r="F172">
        <v>3</v>
      </c>
      <c r="G172">
        <v>0</v>
      </c>
      <c r="H172">
        <v>225</v>
      </c>
      <c r="I172">
        <v>70</v>
      </c>
      <c r="J172">
        <v>73</v>
      </c>
      <c r="K172">
        <v>73</v>
      </c>
      <c r="L172">
        <v>0.32444444444444398</v>
      </c>
      <c r="M172" t="s">
        <v>657</v>
      </c>
      <c r="N172" t="s">
        <v>657</v>
      </c>
      <c r="O172" t="s">
        <v>657</v>
      </c>
      <c r="P172" t="s">
        <v>657</v>
      </c>
    </row>
    <row r="173" spans="1:16" x14ac:dyDescent="0.25">
      <c r="A173" t="s">
        <v>187</v>
      </c>
      <c r="B173" t="s">
        <v>188</v>
      </c>
      <c r="D173">
        <v>0</v>
      </c>
      <c r="F173">
        <v>17</v>
      </c>
      <c r="G173">
        <v>0</v>
      </c>
      <c r="H173">
        <v>26236</v>
      </c>
      <c r="I173">
        <v>974</v>
      </c>
      <c r="J173">
        <v>991</v>
      </c>
      <c r="K173">
        <v>991</v>
      </c>
      <c r="L173">
        <v>3.7772526299740802E-2</v>
      </c>
      <c r="M173" t="s">
        <v>657</v>
      </c>
      <c r="N173" t="s">
        <v>92</v>
      </c>
      <c r="O173" t="s">
        <v>92</v>
      </c>
      <c r="P173" t="s">
        <v>92</v>
      </c>
    </row>
    <row r="174" spans="1:16" x14ac:dyDescent="0.25">
      <c r="A174" t="s">
        <v>189</v>
      </c>
      <c r="B174" t="s">
        <v>190</v>
      </c>
      <c r="D174">
        <v>0</v>
      </c>
      <c r="F174">
        <v>6</v>
      </c>
      <c r="G174">
        <v>0</v>
      </c>
      <c r="H174">
        <v>6006</v>
      </c>
      <c r="I174">
        <v>409</v>
      </c>
      <c r="J174">
        <v>415</v>
      </c>
      <c r="K174">
        <v>415</v>
      </c>
      <c r="L174">
        <v>6.9097569097569103E-2</v>
      </c>
      <c r="M174" t="s">
        <v>657</v>
      </c>
      <c r="N174" t="s">
        <v>92</v>
      </c>
      <c r="O174" t="s">
        <v>657</v>
      </c>
      <c r="P174" t="s">
        <v>657</v>
      </c>
    </row>
    <row r="175" spans="1:16" x14ac:dyDescent="0.25">
      <c r="A175" t="s">
        <v>191</v>
      </c>
      <c r="B175" t="s">
        <v>192</v>
      </c>
      <c r="D175">
        <v>0</v>
      </c>
      <c r="F175">
        <v>0</v>
      </c>
      <c r="G175">
        <v>0</v>
      </c>
      <c r="H175">
        <v>126</v>
      </c>
      <c r="I175">
        <v>17</v>
      </c>
      <c r="J175">
        <v>17</v>
      </c>
      <c r="K175">
        <v>17</v>
      </c>
      <c r="L175">
        <v>0.134920634920635</v>
      </c>
      <c r="M175" t="s">
        <v>657</v>
      </c>
      <c r="N175" t="s">
        <v>92</v>
      </c>
      <c r="O175" t="s">
        <v>657</v>
      </c>
      <c r="P175" t="s">
        <v>657</v>
      </c>
    </row>
    <row r="176" spans="1:16" x14ac:dyDescent="0.25">
      <c r="A176" t="s">
        <v>511</v>
      </c>
      <c r="B176" t="s">
        <v>512</v>
      </c>
      <c r="D176">
        <v>0</v>
      </c>
      <c r="F176">
        <v>6</v>
      </c>
      <c r="G176">
        <v>0</v>
      </c>
      <c r="H176">
        <v>450</v>
      </c>
      <c r="I176">
        <v>108</v>
      </c>
      <c r="J176">
        <v>114</v>
      </c>
      <c r="K176">
        <v>114</v>
      </c>
      <c r="L176">
        <v>0.25333333333333302</v>
      </c>
      <c r="M176" t="s">
        <v>657</v>
      </c>
      <c r="N176" t="s">
        <v>657</v>
      </c>
      <c r="O176" t="s">
        <v>657</v>
      </c>
      <c r="P176" t="s">
        <v>657</v>
      </c>
    </row>
    <row r="177" spans="1:16" x14ac:dyDescent="0.25">
      <c r="A177" t="s">
        <v>513</v>
      </c>
      <c r="B177" t="s">
        <v>514</v>
      </c>
      <c r="D177">
        <v>0</v>
      </c>
      <c r="F177">
        <v>2</v>
      </c>
      <c r="G177">
        <v>0</v>
      </c>
      <c r="H177">
        <v>1047</v>
      </c>
      <c r="I177">
        <v>189</v>
      </c>
      <c r="J177">
        <v>191</v>
      </c>
      <c r="K177">
        <v>191</v>
      </c>
      <c r="L177">
        <v>0.182425978987584</v>
      </c>
      <c r="M177" t="s">
        <v>657</v>
      </c>
      <c r="N177" t="s">
        <v>657</v>
      </c>
      <c r="O177" t="s">
        <v>657</v>
      </c>
      <c r="P177" t="s">
        <v>657</v>
      </c>
    </row>
    <row r="178" spans="1:16" x14ac:dyDescent="0.25">
      <c r="A178" t="s">
        <v>515</v>
      </c>
      <c r="B178" t="s">
        <v>516</v>
      </c>
      <c r="D178">
        <v>0</v>
      </c>
      <c r="F178">
        <v>4</v>
      </c>
      <c r="G178">
        <v>0</v>
      </c>
      <c r="H178">
        <v>660</v>
      </c>
      <c r="I178">
        <v>195</v>
      </c>
      <c r="J178">
        <v>199</v>
      </c>
      <c r="K178">
        <v>199</v>
      </c>
      <c r="L178">
        <v>0.30151515151515201</v>
      </c>
      <c r="M178" t="s">
        <v>657</v>
      </c>
      <c r="N178" t="s">
        <v>657</v>
      </c>
      <c r="O178" t="s">
        <v>657</v>
      </c>
      <c r="P178" t="s">
        <v>657</v>
      </c>
    </row>
    <row r="179" spans="1:16" x14ac:dyDescent="0.25">
      <c r="A179" t="s">
        <v>292</v>
      </c>
      <c r="B179" t="s">
        <v>293</v>
      </c>
      <c r="D179">
        <v>0</v>
      </c>
      <c r="F179">
        <v>1</v>
      </c>
      <c r="G179">
        <v>0</v>
      </c>
      <c r="H179">
        <v>310</v>
      </c>
      <c r="I179">
        <v>32</v>
      </c>
      <c r="J179">
        <v>33</v>
      </c>
      <c r="K179">
        <v>33</v>
      </c>
      <c r="L179">
        <v>0.106451612903226</v>
      </c>
      <c r="M179" t="s">
        <v>657</v>
      </c>
      <c r="N179" t="s">
        <v>92</v>
      </c>
      <c r="O179" t="s">
        <v>657</v>
      </c>
      <c r="P179" t="s">
        <v>657</v>
      </c>
    </row>
    <row r="180" spans="1:16" x14ac:dyDescent="0.25">
      <c r="A180" t="s">
        <v>517</v>
      </c>
      <c r="B180" t="s">
        <v>518</v>
      </c>
      <c r="D180">
        <v>0</v>
      </c>
      <c r="F180">
        <v>5</v>
      </c>
      <c r="G180">
        <v>0</v>
      </c>
      <c r="H180">
        <v>980</v>
      </c>
      <c r="I180">
        <v>172</v>
      </c>
      <c r="J180">
        <v>177</v>
      </c>
      <c r="K180">
        <v>177</v>
      </c>
      <c r="L180">
        <v>0.18061224489795899</v>
      </c>
      <c r="M180" t="s">
        <v>657</v>
      </c>
      <c r="N180" t="s">
        <v>657</v>
      </c>
      <c r="O180" t="s">
        <v>657</v>
      </c>
      <c r="P180" t="s">
        <v>657</v>
      </c>
    </row>
    <row r="181" spans="1:16" x14ac:dyDescent="0.25">
      <c r="A181" t="s">
        <v>193</v>
      </c>
      <c r="B181" t="s">
        <v>194</v>
      </c>
      <c r="D181">
        <v>0</v>
      </c>
      <c r="F181">
        <v>31</v>
      </c>
      <c r="G181">
        <v>0</v>
      </c>
      <c r="H181">
        <v>10394</v>
      </c>
      <c r="I181">
        <v>1070</v>
      </c>
      <c r="J181">
        <v>1101</v>
      </c>
      <c r="K181">
        <v>1101</v>
      </c>
      <c r="L181">
        <v>0.105926496055417</v>
      </c>
      <c r="M181" t="s">
        <v>657</v>
      </c>
      <c r="N181" t="s">
        <v>92</v>
      </c>
      <c r="O181" t="s">
        <v>657</v>
      </c>
      <c r="P181" t="s">
        <v>657</v>
      </c>
    </row>
    <row r="182" spans="1:16" x14ac:dyDescent="0.25">
      <c r="A182" t="s">
        <v>519</v>
      </c>
      <c r="B182" t="s">
        <v>520</v>
      </c>
      <c r="D182">
        <v>0</v>
      </c>
      <c r="F182">
        <v>8</v>
      </c>
      <c r="G182">
        <v>0</v>
      </c>
      <c r="H182">
        <v>1930</v>
      </c>
      <c r="I182">
        <v>371</v>
      </c>
      <c r="J182">
        <v>379</v>
      </c>
      <c r="K182">
        <v>379</v>
      </c>
      <c r="L182">
        <v>0.196373056994819</v>
      </c>
      <c r="M182" t="s">
        <v>657</v>
      </c>
      <c r="N182" t="s">
        <v>657</v>
      </c>
      <c r="O182" t="s">
        <v>657</v>
      </c>
      <c r="P182" t="s">
        <v>657</v>
      </c>
    </row>
    <row r="183" spans="1:16" x14ac:dyDescent="0.25">
      <c r="A183" t="s">
        <v>521</v>
      </c>
      <c r="B183" t="s">
        <v>522</v>
      </c>
      <c r="D183">
        <v>0</v>
      </c>
      <c r="F183">
        <v>4</v>
      </c>
      <c r="G183">
        <v>0</v>
      </c>
      <c r="H183">
        <v>933</v>
      </c>
      <c r="I183">
        <v>127</v>
      </c>
      <c r="J183">
        <v>131</v>
      </c>
      <c r="K183">
        <v>131</v>
      </c>
      <c r="L183">
        <v>0.14040728831725599</v>
      </c>
      <c r="M183" t="s">
        <v>657</v>
      </c>
      <c r="N183" t="s">
        <v>92</v>
      </c>
      <c r="O183" t="s">
        <v>657</v>
      </c>
      <c r="P183" t="s">
        <v>657</v>
      </c>
    </row>
    <row r="184" spans="1:16" x14ac:dyDescent="0.25">
      <c r="A184" t="s">
        <v>523</v>
      </c>
      <c r="B184" t="s">
        <v>524</v>
      </c>
      <c r="D184">
        <v>0</v>
      </c>
      <c r="F184">
        <v>0</v>
      </c>
      <c r="G184">
        <v>0</v>
      </c>
      <c r="H184">
        <v>62</v>
      </c>
      <c r="I184">
        <v>19</v>
      </c>
      <c r="J184">
        <v>19</v>
      </c>
      <c r="K184">
        <v>19</v>
      </c>
      <c r="L184">
        <v>0.30645161290322598</v>
      </c>
      <c r="M184" t="s">
        <v>657</v>
      </c>
      <c r="N184" t="s">
        <v>657</v>
      </c>
      <c r="O184" t="s">
        <v>657</v>
      </c>
      <c r="P184" t="s">
        <v>657</v>
      </c>
    </row>
    <row r="185" spans="1:16" x14ac:dyDescent="0.25">
      <c r="A185" t="s">
        <v>525</v>
      </c>
      <c r="B185" t="s">
        <v>526</v>
      </c>
      <c r="D185">
        <v>0</v>
      </c>
      <c r="F185">
        <v>0</v>
      </c>
      <c r="G185">
        <v>0</v>
      </c>
      <c r="H185">
        <v>587</v>
      </c>
      <c r="I185">
        <v>79</v>
      </c>
      <c r="J185">
        <v>79</v>
      </c>
      <c r="K185">
        <v>79</v>
      </c>
      <c r="L185">
        <v>0.13458262350937</v>
      </c>
      <c r="M185" t="s">
        <v>657</v>
      </c>
      <c r="N185" t="s">
        <v>92</v>
      </c>
      <c r="O185" t="s">
        <v>657</v>
      </c>
      <c r="P185" t="s">
        <v>657</v>
      </c>
    </row>
    <row r="186" spans="1:16" x14ac:dyDescent="0.25">
      <c r="A186" t="s">
        <v>294</v>
      </c>
      <c r="B186" t="s">
        <v>295</v>
      </c>
      <c r="D186">
        <v>0</v>
      </c>
      <c r="F186">
        <v>2</v>
      </c>
      <c r="G186">
        <v>0</v>
      </c>
      <c r="H186">
        <v>177</v>
      </c>
      <c r="I186">
        <v>22</v>
      </c>
      <c r="J186">
        <v>24</v>
      </c>
      <c r="K186">
        <v>24</v>
      </c>
      <c r="L186">
        <v>0.13559322033898299</v>
      </c>
      <c r="M186" t="s">
        <v>657</v>
      </c>
      <c r="N186" t="s">
        <v>92</v>
      </c>
      <c r="O186" t="s">
        <v>657</v>
      </c>
      <c r="P186" t="s">
        <v>657</v>
      </c>
    </row>
    <row r="187" spans="1:16" x14ac:dyDescent="0.25">
      <c r="A187" t="s">
        <v>527</v>
      </c>
      <c r="B187" t="s">
        <v>528</v>
      </c>
      <c r="D187">
        <v>0</v>
      </c>
      <c r="F187">
        <v>0</v>
      </c>
      <c r="G187">
        <v>0</v>
      </c>
      <c r="H187">
        <v>128</v>
      </c>
      <c r="I187">
        <v>36</v>
      </c>
      <c r="J187">
        <v>36</v>
      </c>
      <c r="K187">
        <v>36</v>
      </c>
      <c r="L187">
        <v>0.28125</v>
      </c>
      <c r="M187" t="s">
        <v>657</v>
      </c>
      <c r="N187" t="s">
        <v>657</v>
      </c>
      <c r="O187" t="s">
        <v>657</v>
      </c>
      <c r="P187" t="s">
        <v>657</v>
      </c>
    </row>
    <row r="188" spans="1:16" x14ac:dyDescent="0.25">
      <c r="A188" t="s">
        <v>529</v>
      </c>
      <c r="B188" t="s">
        <v>530</v>
      </c>
      <c r="D188">
        <v>0</v>
      </c>
      <c r="F188">
        <v>0</v>
      </c>
      <c r="G188">
        <v>0</v>
      </c>
      <c r="H188">
        <v>261</v>
      </c>
      <c r="I188">
        <v>34</v>
      </c>
      <c r="J188">
        <v>34</v>
      </c>
      <c r="K188">
        <v>34</v>
      </c>
      <c r="L188">
        <v>0.13026819923371599</v>
      </c>
      <c r="M188" t="s">
        <v>657</v>
      </c>
      <c r="N188" t="s">
        <v>92</v>
      </c>
      <c r="O188" t="s">
        <v>657</v>
      </c>
      <c r="P188" t="s">
        <v>657</v>
      </c>
    </row>
    <row r="189" spans="1:16" x14ac:dyDescent="0.25">
      <c r="A189" t="s">
        <v>531</v>
      </c>
      <c r="B189" t="s">
        <v>532</v>
      </c>
      <c r="D189">
        <v>0</v>
      </c>
      <c r="F189">
        <v>7</v>
      </c>
      <c r="G189">
        <v>0</v>
      </c>
      <c r="H189">
        <v>710</v>
      </c>
      <c r="I189">
        <v>178</v>
      </c>
      <c r="J189">
        <v>185</v>
      </c>
      <c r="K189">
        <v>185</v>
      </c>
      <c r="L189">
        <v>0.26056338028169002</v>
      </c>
      <c r="M189" t="s">
        <v>657</v>
      </c>
      <c r="N189" t="s">
        <v>657</v>
      </c>
      <c r="O189" t="s">
        <v>657</v>
      </c>
      <c r="P189" t="s">
        <v>657</v>
      </c>
    </row>
    <row r="190" spans="1:16" x14ac:dyDescent="0.25">
      <c r="A190" t="s">
        <v>296</v>
      </c>
      <c r="B190" t="s">
        <v>297</v>
      </c>
      <c r="D190">
        <v>0</v>
      </c>
      <c r="F190">
        <v>9</v>
      </c>
      <c r="G190">
        <v>0</v>
      </c>
      <c r="H190">
        <v>3249</v>
      </c>
      <c r="I190">
        <v>168</v>
      </c>
      <c r="J190">
        <v>177</v>
      </c>
      <c r="K190">
        <v>177</v>
      </c>
      <c r="L190">
        <v>5.4478301015697103E-2</v>
      </c>
      <c r="M190" t="s">
        <v>657</v>
      </c>
      <c r="N190" t="s">
        <v>92</v>
      </c>
      <c r="O190" t="s">
        <v>657</v>
      </c>
      <c r="P190" t="s">
        <v>657</v>
      </c>
    </row>
    <row r="191" spans="1:16" x14ac:dyDescent="0.25">
      <c r="A191" t="s">
        <v>533</v>
      </c>
      <c r="B191" t="s">
        <v>534</v>
      </c>
      <c r="D191">
        <v>0</v>
      </c>
      <c r="F191">
        <v>15</v>
      </c>
      <c r="G191">
        <v>0</v>
      </c>
      <c r="H191">
        <v>4618</v>
      </c>
      <c r="I191">
        <v>735</v>
      </c>
      <c r="J191">
        <v>750</v>
      </c>
      <c r="K191">
        <v>750</v>
      </c>
      <c r="L191">
        <v>0.16240796881767</v>
      </c>
      <c r="M191" t="s">
        <v>657</v>
      </c>
      <c r="N191" t="s">
        <v>657</v>
      </c>
      <c r="O191" t="s">
        <v>657</v>
      </c>
      <c r="P191" t="s">
        <v>657</v>
      </c>
    </row>
    <row r="192" spans="1:16" x14ac:dyDescent="0.25">
      <c r="A192" t="s">
        <v>535</v>
      </c>
      <c r="B192" t="s">
        <v>536</v>
      </c>
      <c r="D192">
        <v>0</v>
      </c>
      <c r="F192">
        <v>0</v>
      </c>
      <c r="G192">
        <v>0</v>
      </c>
      <c r="H192">
        <v>46</v>
      </c>
      <c r="I192">
        <v>10</v>
      </c>
      <c r="J192">
        <v>10</v>
      </c>
      <c r="K192">
        <v>10</v>
      </c>
      <c r="L192">
        <v>0.217391304347826</v>
      </c>
      <c r="M192" t="s">
        <v>657</v>
      </c>
      <c r="N192" t="s">
        <v>657</v>
      </c>
      <c r="O192" t="s">
        <v>657</v>
      </c>
      <c r="P192" t="s">
        <v>657</v>
      </c>
    </row>
    <row r="193" spans="1:16" x14ac:dyDescent="0.25">
      <c r="A193" t="s">
        <v>537</v>
      </c>
      <c r="B193" t="s">
        <v>538</v>
      </c>
      <c r="D193">
        <v>0</v>
      </c>
      <c r="F193">
        <v>0</v>
      </c>
      <c r="G193">
        <v>0</v>
      </c>
      <c r="H193">
        <v>237</v>
      </c>
      <c r="I193">
        <v>11</v>
      </c>
      <c r="J193">
        <v>11</v>
      </c>
      <c r="K193">
        <v>11</v>
      </c>
      <c r="L193">
        <v>4.6413502109704602E-2</v>
      </c>
      <c r="M193" t="s">
        <v>657</v>
      </c>
      <c r="N193" t="s">
        <v>92</v>
      </c>
      <c r="O193" t="s">
        <v>92</v>
      </c>
      <c r="P193" t="s">
        <v>92</v>
      </c>
    </row>
    <row r="194" spans="1:16" x14ac:dyDescent="0.25">
      <c r="A194" t="s">
        <v>655</v>
      </c>
      <c r="B194" t="s">
        <v>656</v>
      </c>
      <c r="D194">
        <v>0</v>
      </c>
      <c r="E194">
        <v>720</v>
      </c>
      <c r="F194">
        <v>0</v>
      </c>
      <c r="G194">
        <v>0</v>
      </c>
      <c r="H194">
        <v>720</v>
      </c>
      <c r="I194">
        <v>0</v>
      </c>
      <c r="J194">
        <v>720</v>
      </c>
      <c r="K194">
        <v>720</v>
      </c>
      <c r="L194">
        <v>1</v>
      </c>
      <c r="M194" t="s">
        <v>657</v>
      </c>
      <c r="N194" t="s">
        <v>657</v>
      </c>
      <c r="O194" t="s">
        <v>657</v>
      </c>
      <c r="P194" t="s">
        <v>657</v>
      </c>
    </row>
    <row r="195" spans="1:16" x14ac:dyDescent="0.25">
      <c r="A195" t="s">
        <v>539</v>
      </c>
      <c r="B195" t="s">
        <v>540</v>
      </c>
      <c r="D195">
        <v>0</v>
      </c>
      <c r="F195">
        <v>42</v>
      </c>
      <c r="G195">
        <v>0</v>
      </c>
      <c r="H195">
        <v>20405</v>
      </c>
      <c r="I195">
        <v>2379</v>
      </c>
      <c r="J195">
        <v>2421</v>
      </c>
      <c r="K195">
        <v>2421</v>
      </c>
      <c r="L195">
        <v>0.11864739034550401</v>
      </c>
      <c r="M195" t="s">
        <v>657</v>
      </c>
      <c r="N195" t="s">
        <v>92</v>
      </c>
      <c r="O195" t="s">
        <v>657</v>
      </c>
      <c r="P195" t="s">
        <v>657</v>
      </c>
    </row>
    <row r="196" spans="1:16" x14ac:dyDescent="0.25">
      <c r="A196" t="s">
        <v>541</v>
      </c>
      <c r="B196" t="s">
        <v>542</v>
      </c>
      <c r="D196">
        <v>0</v>
      </c>
      <c r="F196">
        <v>6</v>
      </c>
      <c r="G196">
        <v>0</v>
      </c>
      <c r="H196">
        <v>294</v>
      </c>
      <c r="I196">
        <v>33</v>
      </c>
      <c r="J196">
        <v>39</v>
      </c>
      <c r="K196">
        <v>39</v>
      </c>
      <c r="L196">
        <v>0.13265306122449</v>
      </c>
      <c r="M196" t="s">
        <v>657</v>
      </c>
      <c r="N196" t="s">
        <v>92</v>
      </c>
      <c r="O196" t="s">
        <v>657</v>
      </c>
      <c r="P196" t="s">
        <v>657</v>
      </c>
    </row>
    <row r="197" spans="1:16" x14ac:dyDescent="0.25">
      <c r="A197" t="s">
        <v>195</v>
      </c>
      <c r="B197" t="s">
        <v>196</v>
      </c>
      <c r="D197">
        <v>0</v>
      </c>
      <c r="F197">
        <v>0</v>
      </c>
      <c r="G197">
        <v>0</v>
      </c>
      <c r="H197">
        <v>87</v>
      </c>
      <c r="I197">
        <v>7</v>
      </c>
      <c r="J197">
        <v>7</v>
      </c>
      <c r="K197">
        <v>7</v>
      </c>
      <c r="L197">
        <v>8.04597701149425E-2</v>
      </c>
      <c r="M197" t="s">
        <v>92</v>
      </c>
      <c r="N197" t="s">
        <v>92</v>
      </c>
      <c r="O197" t="s">
        <v>92</v>
      </c>
      <c r="P197" t="s">
        <v>92</v>
      </c>
    </row>
    <row r="198" spans="1:16" x14ac:dyDescent="0.25">
      <c r="A198" t="s">
        <v>298</v>
      </c>
      <c r="B198" t="s">
        <v>299</v>
      </c>
      <c r="D198">
        <v>0</v>
      </c>
      <c r="F198">
        <v>0</v>
      </c>
      <c r="G198">
        <v>0</v>
      </c>
      <c r="H198">
        <v>249</v>
      </c>
      <c r="I198">
        <v>30</v>
      </c>
      <c r="J198">
        <v>30</v>
      </c>
      <c r="K198">
        <v>30</v>
      </c>
      <c r="L198">
        <v>0.120481927710843</v>
      </c>
      <c r="M198" t="s">
        <v>657</v>
      </c>
      <c r="N198" t="s">
        <v>92</v>
      </c>
      <c r="O198" t="s">
        <v>657</v>
      </c>
      <c r="P198" t="s">
        <v>657</v>
      </c>
    </row>
    <row r="199" spans="1:16" x14ac:dyDescent="0.25">
      <c r="A199" t="s">
        <v>197</v>
      </c>
      <c r="B199" t="s">
        <v>198</v>
      </c>
      <c r="D199">
        <v>0</v>
      </c>
      <c r="F199">
        <v>17</v>
      </c>
      <c r="G199">
        <v>0</v>
      </c>
      <c r="H199">
        <v>11683</v>
      </c>
      <c r="I199">
        <v>517</v>
      </c>
      <c r="J199">
        <v>534</v>
      </c>
      <c r="K199">
        <v>534</v>
      </c>
      <c r="L199">
        <v>4.5707438158007402E-2</v>
      </c>
      <c r="M199" t="s">
        <v>657</v>
      </c>
      <c r="N199" t="s">
        <v>92</v>
      </c>
      <c r="O199" t="s">
        <v>92</v>
      </c>
      <c r="P199" t="s">
        <v>92</v>
      </c>
    </row>
    <row r="200" spans="1:16" x14ac:dyDescent="0.25">
      <c r="A200" t="s">
        <v>87</v>
      </c>
      <c r="B200" t="s">
        <v>1406</v>
      </c>
      <c r="C200" t="s">
        <v>67</v>
      </c>
      <c r="D200">
        <v>0</v>
      </c>
      <c r="E200">
        <v>0</v>
      </c>
      <c r="F200">
        <v>0</v>
      </c>
      <c r="G200">
        <v>0</v>
      </c>
      <c r="H200">
        <v>282.1539611360239</v>
      </c>
      <c r="I200">
        <v>27.587345254470446</v>
      </c>
      <c r="J200">
        <v>27.587345254470446</v>
      </c>
      <c r="K200">
        <v>0</v>
      </c>
      <c r="L200">
        <v>9.7774084557936902E-2</v>
      </c>
      <c r="M200" t="s">
        <v>657</v>
      </c>
      <c r="N200" t="s">
        <v>92</v>
      </c>
      <c r="O200" t="s">
        <v>657</v>
      </c>
      <c r="P200" t="s">
        <v>657</v>
      </c>
    </row>
    <row r="201" spans="1:16" x14ac:dyDescent="0.25">
      <c r="A201" t="s">
        <v>543</v>
      </c>
      <c r="B201" t="s">
        <v>544</v>
      </c>
      <c r="D201">
        <v>0</v>
      </c>
      <c r="F201">
        <v>7</v>
      </c>
      <c r="G201">
        <v>0</v>
      </c>
      <c r="H201">
        <v>1491</v>
      </c>
      <c r="I201">
        <v>179</v>
      </c>
      <c r="J201">
        <v>186</v>
      </c>
      <c r="K201">
        <v>186</v>
      </c>
      <c r="L201">
        <v>0.124748490945674</v>
      </c>
      <c r="M201" t="s">
        <v>657</v>
      </c>
      <c r="N201" t="s">
        <v>92</v>
      </c>
      <c r="O201" t="s">
        <v>657</v>
      </c>
      <c r="P201" t="s">
        <v>657</v>
      </c>
    </row>
    <row r="202" spans="1:16" x14ac:dyDescent="0.25">
      <c r="A202" t="s">
        <v>545</v>
      </c>
      <c r="B202" t="s">
        <v>546</v>
      </c>
      <c r="D202">
        <v>0</v>
      </c>
      <c r="F202">
        <v>0</v>
      </c>
      <c r="G202">
        <v>0</v>
      </c>
      <c r="H202">
        <v>377</v>
      </c>
      <c r="I202">
        <v>65</v>
      </c>
      <c r="J202">
        <v>65</v>
      </c>
      <c r="K202">
        <v>65</v>
      </c>
      <c r="L202">
        <v>0.17241379310344801</v>
      </c>
      <c r="M202" t="s">
        <v>657</v>
      </c>
      <c r="N202" t="s">
        <v>657</v>
      </c>
      <c r="O202" t="s">
        <v>657</v>
      </c>
      <c r="P202" t="s">
        <v>657</v>
      </c>
    </row>
    <row r="203" spans="1:16" x14ac:dyDescent="0.25">
      <c r="A203" t="s">
        <v>547</v>
      </c>
      <c r="B203" t="s">
        <v>548</v>
      </c>
      <c r="D203">
        <v>0</v>
      </c>
      <c r="F203">
        <v>37</v>
      </c>
      <c r="G203">
        <v>0</v>
      </c>
      <c r="H203">
        <v>4288</v>
      </c>
      <c r="I203">
        <v>566</v>
      </c>
      <c r="J203">
        <v>603</v>
      </c>
      <c r="K203">
        <v>603</v>
      </c>
      <c r="L203">
        <v>0.140625</v>
      </c>
      <c r="M203" t="s">
        <v>657</v>
      </c>
      <c r="N203" t="s">
        <v>92</v>
      </c>
      <c r="O203" t="s">
        <v>657</v>
      </c>
      <c r="P203" t="s">
        <v>657</v>
      </c>
    </row>
    <row r="204" spans="1:16" x14ac:dyDescent="0.25">
      <c r="A204" t="s">
        <v>549</v>
      </c>
      <c r="B204" t="s">
        <v>550</v>
      </c>
      <c r="D204">
        <v>0</v>
      </c>
      <c r="F204">
        <v>8</v>
      </c>
      <c r="G204">
        <v>0</v>
      </c>
      <c r="H204">
        <v>1344</v>
      </c>
      <c r="I204">
        <v>178</v>
      </c>
      <c r="J204">
        <v>186</v>
      </c>
      <c r="K204">
        <v>186</v>
      </c>
      <c r="L204">
        <v>0.13839285714285701</v>
      </c>
      <c r="M204" t="s">
        <v>657</v>
      </c>
      <c r="N204" t="s">
        <v>92</v>
      </c>
      <c r="O204" t="s">
        <v>657</v>
      </c>
      <c r="P204" t="s">
        <v>657</v>
      </c>
    </row>
    <row r="205" spans="1:16" x14ac:dyDescent="0.25">
      <c r="A205" t="s">
        <v>551</v>
      </c>
      <c r="B205" t="s">
        <v>552</v>
      </c>
      <c r="D205">
        <v>0</v>
      </c>
      <c r="F205">
        <v>3</v>
      </c>
      <c r="G205">
        <v>0</v>
      </c>
      <c r="H205">
        <v>345</v>
      </c>
      <c r="I205">
        <v>46</v>
      </c>
      <c r="J205">
        <v>49</v>
      </c>
      <c r="K205">
        <v>49</v>
      </c>
      <c r="L205">
        <v>0.14202898550724599</v>
      </c>
      <c r="M205" t="s">
        <v>657</v>
      </c>
      <c r="N205" t="s">
        <v>92</v>
      </c>
      <c r="O205" t="s">
        <v>657</v>
      </c>
      <c r="P205" t="s">
        <v>657</v>
      </c>
    </row>
    <row r="206" spans="1:16" x14ac:dyDescent="0.25">
      <c r="A206" t="s">
        <v>81</v>
      </c>
      <c r="B206" t="s">
        <v>35</v>
      </c>
      <c r="C206" t="s">
        <v>64</v>
      </c>
      <c r="D206">
        <v>0</v>
      </c>
      <c r="E206">
        <v>0</v>
      </c>
      <c r="F206">
        <v>0</v>
      </c>
      <c r="G206">
        <v>0</v>
      </c>
      <c r="H206">
        <v>517.33456136311304</v>
      </c>
      <c r="I206">
        <v>63.82162072216979</v>
      </c>
      <c r="J206">
        <v>63.82162072216979</v>
      </c>
      <c r="K206">
        <v>0</v>
      </c>
      <c r="L206">
        <v>0.123366242058152</v>
      </c>
      <c r="M206" t="s">
        <v>657</v>
      </c>
      <c r="N206" t="s">
        <v>92</v>
      </c>
      <c r="O206" t="s">
        <v>657</v>
      </c>
      <c r="P206" t="s">
        <v>657</v>
      </c>
    </row>
    <row r="207" spans="1:16" x14ac:dyDescent="0.25">
      <c r="A207" t="s">
        <v>553</v>
      </c>
      <c r="B207" t="s">
        <v>554</v>
      </c>
      <c r="D207">
        <v>0</v>
      </c>
      <c r="F207">
        <v>11</v>
      </c>
      <c r="G207">
        <v>0</v>
      </c>
      <c r="H207">
        <v>2901</v>
      </c>
      <c r="I207">
        <v>331</v>
      </c>
      <c r="J207">
        <v>342</v>
      </c>
      <c r="K207">
        <v>342</v>
      </c>
      <c r="L207">
        <v>0.11789038262668</v>
      </c>
      <c r="M207" t="s">
        <v>657</v>
      </c>
      <c r="N207" t="s">
        <v>92</v>
      </c>
      <c r="O207" t="s">
        <v>657</v>
      </c>
      <c r="P207" t="s">
        <v>657</v>
      </c>
    </row>
    <row r="208" spans="1:16" x14ac:dyDescent="0.25">
      <c r="A208" t="s">
        <v>61</v>
      </c>
      <c r="B208" t="s">
        <v>1402</v>
      </c>
      <c r="C208" t="s">
        <v>61</v>
      </c>
      <c r="D208">
        <v>0</v>
      </c>
      <c r="F208">
        <v>9</v>
      </c>
      <c r="G208">
        <v>0</v>
      </c>
      <c r="H208">
        <v>3075.7453130527056</v>
      </c>
      <c r="I208">
        <v>306.03564356435623</v>
      </c>
      <c r="J208">
        <v>315.03564356435623</v>
      </c>
      <c r="K208">
        <v>333</v>
      </c>
      <c r="L208">
        <v>0.10242579001174899</v>
      </c>
      <c r="M208" t="s">
        <v>657</v>
      </c>
      <c r="N208" t="s">
        <v>92</v>
      </c>
      <c r="O208" t="s">
        <v>657</v>
      </c>
      <c r="P208" t="s">
        <v>657</v>
      </c>
    </row>
    <row r="209" spans="1:16" x14ac:dyDescent="0.25">
      <c r="A209" t="s">
        <v>74</v>
      </c>
      <c r="B209" t="s">
        <v>1391</v>
      </c>
      <c r="C209" t="s">
        <v>61</v>
      </c>
      <c r="D209">
        <v>0</v>
      </c>
      <c r="E209">
        <v>0</v>
      </c>
      <c r="F209">
        <v>0</v>
      </c>
      <c r="G209">
        <v>0</v>
      </c>
      <c r="H209">
        <v>160.25468694729383</v>
      </c>
      <c r="I209">
        <v>17.964356435643548</v>
      </c>
      <c r="J209">
        <v>17.964356435643548</v>
      </c>
      <c r="K209">
        <v>0</v>
      </c>
      <c r="L209">
        <v>0.11209878960701999</v>
      </c>
      <c r="M209" t="s">
        <v>657</v>
      </c>
      <c r="N209" t="s">
        <v>92</v>
      </c>
      <c r="O209" t="s">
        <v>657</v>
      </c>
      <c r="P209" t="s">
        <v>657</v>
      </c>
    </row>
    <row r="210" spans="1:16" x14ac:dyDescent="0.25">
      <c r="A210" t="s">
        <v>199</v>
      </c>
      <c r="B210" t="s">
        <v>200</v>
      </c>
      <c r="D210">
        <v>0</v>
      </c>
      <c r="F210">
        <v>51</v>
      </c>
      <c r="G210">
        <v>0</v>
      </c>
      <c r="H210">
        <v>25544</v>
      </c>
      <c r="I210">
        <v>1798</v>
      </c>
      <c r="J210">
        <v>1849</v>
      </c>
      <c r="K210">
        <v>1849</v>
      </c>
      <c r="L210">
        <v>7.2384904478546799E-2</v>
      </c>
      <c r="M210" t="s">
        <v>657</v>
      </c>
      <c r="N210" t="s">
        <v>92</v>
      </c>
      <c r="O210" t="s">
        <v>657</v>
      </c>
      <c r="P210" t="s">
        <v>657</v>
      </c>
    </row>
    <row r="211" spans="1:16" x14ac:dyDescent="0.25">
      <c r="A211" t="s">
        <v>555</v>
      </c>
      <c r="B211" t="s">
        <v>556</v>
      </c>
      <c r="D211">
        <v>0</v>
      </c>
      <c r="F211">
        <v>0</v>
      </c>
      <c r="G211">
        <v>0</v>
      </c>
      <c r="H211">
        <v>32</v>
      </c>
      <c r="I211">
        <v>11</v>
      </c>
      <c r="J211">
        <v>11</v>
      </c>
      <c r="K211">
        <v>11</v>
      </c>
      <c r="L211">
        <v>0.34375</v>
      </c>
      <c r="M211" t="s">
        <v>657</v>
      </c>
      <c r="N211" t="s">
        <v>657</v>
      </c>
      <c r="O211" t="s">
        <v>657</v>
      </c>
      <c r="P211" t="s">
        <v>657</v>
      </c>
    </row>
    <row r="212" spans="1:16" x14ac:dyDescent="0.25">
      <c r="A212" t="s">
        <v>557</v>
      </c>
      <c r="B212" t="s">
        <v>558</v>
      </c>
      <c r="D212">
        <v>0</v>
      </c>
      <c r="F212">
        <v>0</v>
      </c>
      <c r="G212">
        <v>0</v>
      </c>
      <c r="H212">
        <v>199</v>
      </c>
      <c r="I212">
        <v>29</v>
      </c>
      <c r="J212">
        <v>29</v>
      </c>
      <c r="K212">
        <v>29</v>
      </c>
      <c r="L212">
        <v>0.14572864321608001</v>
      </c>
      <c r="M212" t="s">
        <v>657</v>
      </c>
      <c r="N212" t="s">
        <v>92</v>
      </c>
      <c r="O212" t="s">
        <v>657</v>
      </c>
      <c r="P212" t="s">
        <v>657</v>
      </c>
    </row>
    <row r="213" spans="1:16" x14ac:dyDescent="0.25">
      <c r="A213" t="s">
        <v>559</v>
      </c>
      <c r="B213" t="s">
        <v>560</v>
      </c>
      <c r="D213">
        <v>0</v>
      </c>
      <c r="F213">
        <v>11</v>
      </c>
      <c r="G213">
        <v>0</v>
      </c>
      <c r="H213">
        <v>1172</v>
      </c>
      <c r="I213">
        <v>264</v>
      </c>
      <c r="J213">
        <v>275</v>
      </c>
      <c r="K213">
        <v>275</v>
      </c>
      <c r="L213">
        <v>0.23464163822525599</v>
      </c>
      <c r="M213" t="s">
        <v>657</v>
      </c>
      <c r="N213" t="s">
        <v>657</v>
      </c>
      <c r="O213" t="s">
        <v>657</v>
      </c>
      <c r="P213" t="s">
        <v>657</v>
      </c>
    </row>
    <row r="214" spans="1:16" x14ac:dyDescent="0.25">
      <c r="A214" t="s">
        <v>561</v>
      </c>
      <c r="B214" t="s">
        <v>562</v>
      </c>
      <c r="D214">
        <v>0</v>
      </c>
      <c r="F214">
        <v>16</v>
      </c>
      <c r="G214">
        <v>0</v>
      </c>
      <c r="H214">
        <v>3136</v>
      </c>
      <c r="I214">
        <v>461</v>
      </c>
      <c r="J214">
        <v>477</v>
      </c>
      <c r="K214">
        <v>477</v>
      </c>
      <c r="L214">
        <v>0.152104591836735</v>
      </c>
      <c r="M214" t="s">
        <v>657</v>
      </c>
      <c r="N214" t="s">
        <v>657</v>
      </c>
      <c r="O214" t="s">
        <v>657</v>
      </c>
      <c r="P214" t="s">
        <v>657</v>
      </c>
    </row>
    <row r="215" spans="1:16" x14ac:dyDescent="0.25">
      <c r="A215" t="s">
        <v>72</v>
      </c>
      <c r="B215" t="s">
        <v>16</v>
      </c>
      <c r="C215" t="s">
        <v>60</v>
      </c>
      <c r="D215">
        <v>0</v>
      </c>
      <c r="E215">
        <v>0</v>
      </c>
      <c r="F215">
        <v>0</v>
      </c>
      <c r="G215">
        <v>0</v>
      </c>
      <c r="H215">
        <v>370.59201638799743</v>
      </c>
      <c r="I215">
        <v>57.27235918661134</v>
      </c>
      <c r="J215">
        <v>57.27235918661134</v>
      </c>
      <c r="K215">
        <v>0</v>
      </c>
      <c r="L215">
        <v>0.154542884503613</v>
      </c>
      <c r="M215" t="s">
        <v>657</v>
      </c>
      <c r="N215" t="s">
        <v>657</v>
      </c>
      <c r="O215" t="s">
        <v>657</v>
      </c>
      <c r="P215" t="s">
        <v>657</v>
      </c>
    </row>
    <row r="216" spans="1:16" x14ac:dyDescent="0.25">
      <c r="A216" t="s">
        <v>201</v>
      </c>
      <c r="B216" t="s">
        <v>202</v>
      </c>
      <c r="D216">
        <v>0</v>
      </c>
      <c r="F216">
        <v>6</v>
      </c>
      <c r="G216">
        <v>0</v>
      </c>
      <c r="H216">
        <v>1025</v>
      </c>
      <c r="I216">
        <v>103</v>
      </c>
      <c r="J216">
        <v>109</v>
      </c>
      <c r="K216">
        <v>109</v>
      </c>
      <c r="L216">
        <v>0.106341463414634</v>
      </c>
      <c r="M216" t="s">
        <v>657</v>
      </c>
      <c r="N216" t="s">
        <v>92</v>
      </c>
      <c r="O216" t="s">
        <v>657</v>
      </c>
      <c r="P216" t="s">
        <v>657</v>
      </c>
    </row>
    <row r="217" spans="1:16" x14ac:dyDescent="0.25">
      <c r="A217" t="s">
        <v>75</v>
      </c>
      <c r="B217" t="s">
        <v>23</v>
      </c>
      <c r="C217" t="s">
        <v>62</v>
      </c>
      <c r="D217">
        <v>0</v>
      </c>
      <c r="E217">
        <v>0</v>
      </c>
      <c r="F217">
        <v>0</v>
      </c>
      <c r="G217">
        <v>0</v>
      </c>
      <c r="H217">
        <v>308.06056000467635</v>
      </c>
      <c r="I217">
        <v>76.240890860995222</v>
      </c>
      <c r="J217">
        <v>76.240890860995222</v>
      </c>
      <c r="K217">
        <v>0</v>
      </c>
      <c r="L217">
        <v>0.24748669826425601</v>
      </c>
      <c r="M217" t="s">
        <v>657</v>
      </c>
      <c r="N217" t="s">
        <v>657</v>
      </c>
      <c r="O217" t="s">
        <v>657</v>
      </c>
      <c r="P217" t="s">
        <v>657</v>
      </c>
    </row>
    <row r="218" spans="1:16" x14ac:dyDescent="0.25">
      <c r="A218" t="s">
        <v>563</v>
      </c>
      <c r="B218" t="s">
        <v>564</v>
      </c>
      <c r="D218">
        <v>0</v>
      </c>
      <c r="F218">
        <v>7</v>
      </c>
      <c r="G218">
        <v>0</v>
      </c>
      <c r="H218">
        <v>629</v>
      </c>
      <c r="I218">
        <v>106</v>
      </c>
      <c r="J218">
        <v>113</v>
      </c>
      <c r="K218">
        <v>113</v>
      </c>
      <c r="L218">
        <v>0.17965023847376799</v>
      </c>
      <c r="M218" t="s">
        <v>657</v>
      </c>
      <c r="N218" t="s">
        <v>657</v>
      </c>
      <c r="O218" t="s">
        <v>657</v>
      </c>
      <c r="P218" t="s">
        <v>657</v>
      </c>
    </row>
    <row r="219" spans="1:16" x14ac:dyDescent="0.25">
      <c r="A219" t="s">
        <v>565</v>
      </c>
      <c r="B219" t="s">
        <v>566</v>
      </c>
      <c r="D219">
        <v>0</v>
      </c>
      <c r="F219">
        <v>2</v>
      </c>
      <c r="G219">
        <v>0</v>
      </c>
      <c r="H219">
        <v>994</v>
      </c>
      <c r="I219">
        <v>124</v>
      </c>
      <c r="J219">
        <v>126</v>
      </c>
      <c r="K219">
        <v>126</v>
      </c>
      <c r="L219">
        <v>0.12676056338028199</v>
      </c>
      <c r="M219" t="s">
        <v>657</v>
      </c>
      <c r="N219" t="s">
        <v>92</v>
      </c>
      <c r="O219" t="s">
        <v>657</v>
      </c>
      <c r="P219" t="s">
        <v>657</v>
      </c>
    </row>
    <row r="220" spans="1:16" x14ac:dyDescent="0.25">
      <c r="A220" t="s">
        <v>567</v>
      </c>
      <c r="B220" t="s">
        <v>1408</v>
      </c>
      <c r="C220" t="s">
        <v>567</v>
      </c>
      <c r="D220">
        <v>0</v>
      </c>
      <c r="F220">
        <v>49</v>
      </c>
      <c r="G220">
        <v>0</v>
      </c>
      <c r="H220">
        <v>17415.483093404746</v>
      </c>
      <c r="I220">
        <v>2218.6794144009573</v>
      </c>
      <c r="J220">
        <v>2267.6794144009573</v>
      </c>
      <c r="K220">
        <v>2313</v>
      </c>
      <c r="L220">
        <v>0.13021053749922801</v>
      </c>
      <c r="M220" t="s">
        <v>657</v>
      </c>
      <c r="N220" t="s">
        <v>92</v>
      </c>
      <c r="O220" t="s">
        <v>657</v>
      </c>
      <c r="P220" t="s">
        <v>657</v>
      </c>
    </row>
    <row r="221" spans="1:16" x14ac:dyDescent="0.25">
      <c r="A221" t="s">
        <v>568</v>
      </c>
      <c r="B221" t="s">
        <v>569</v>
      </c>
      <c r="D221">
        <v>0</v>
      </c>
      <c r="F221">
        <v>0</v>
      </c>
      <c r="G221">
        <v>0</v>
      </c>
      <c r="H221">
        <v>359</v>
      </c>
      <c r="I221">
        <v>89</v>
      </c>
      <c r="J221">
        <v>89</v>
      </c>
      <c r="K221">
        <v>89</v>
      </c>
      <c r="L221">
        <v>0.247910863509749</v>
      </c>
      <c r="M221" t="s">
        <v>657</v>
      </c>
      <c r="N221" t="s">
        <v>657</v>
      </c>
      <c r="O221" t="s">
        <v>657</v>
      </c>
      <c r="P221" t="s">
        <v>657</v>
      </c>
    </row>
    <row r="222" spans="1:16" x14ac:dyDescent="0.25">
      <c r="A222" t="s">
        <v>203</v>
      </c>
      <c r="B222" t="s">
        <v>204</v>
      </c>
      <c r="D222">
        <v>0</v>
      </c>
      <c r="F222">
        <v>30</v>
      </c>
      <c r="G222">
        <v>0</v>
      </c>
      <c r="H222">
        <v>15487</v>
      </c>
      <c r="I222">
        <v>1312</v>
      </c>
      <c r="J222">
        <v>1342</v>
      </c>
      <c r="K222">
        <v>1342</v>
      </c>
      <c r="L222">
        <v>8.6653322141150596E-2</v>
      </c>
      <c r="M222" t="s">
        <v>657</v>
      </c>
      <c r="N222" t="s">
        <v>92</v>
      </c>
      <c r="O222" t="s">
        <v>657</v>
      </c>
      <c r="P222" t="s">
        <v>657</v>
      </c>
    </row>
    <row r="223" spans="1:16" x14ac:dyDescent="0.25">
      <c r="A223" t="s">
        <v>205</v>
      </c>
      <c r="B223" t="s">
        <v>206</v>
      </c>
      <c r="D223">
        <v>0</v>
      </c>
      <c r="F223">
        <v>18</v>
      </c>
      <c r="G223">
        <v>0</v>
      </c>
      <c r="H223">
        <v>4134</v>
      </c>
      <c r="I223">
        <v>160</v>
      </c>
      <c r="J223">
        <v>178</v>
      </c>
      <c r="K223">
        <v>178</v>
      </c>
      <c r="L223">
        <v>4.3057571359458202E-2</v>
      </c>
      <c r="M223" t="s">
        <v>657</v>
      </c>
      <c r="N223" t="s">
        <v>92</v>
      </c>
      <c r="O223" t="s">
        <v>92</v>
      </c>
      <c r="P223" t="s">
        <v>92</v>
      </c>
    </row>
    <row r="224" spans="1:16" x14ac:dyDescent="0.25">
      <c r="A224" t="s">
        <v>207</v>
      </c>
      <c r="B224" t="s">
        <v>208</v>
      </c>
      <c r="D224">
        <v>0</v>
      </c>
      <c r="F224">
        <v>2</v>
      </c>
      <c r="G224">
        <v>0</v>
      </c>
      <c r="H224">
        <v>421</v>
      </c>
      <c r="I224">
        <v>58</v>
      </c>
      <c r="J224">
        <v>60</v>
      </c>
      <c r="K224">
        <v>60</v>
      </c>
      <c r="L224">
        <v>0.142517814726841</v>
      </c>
      <c r="M224" t="s">
        <v>657</v>
      </c>
      <c r="N224" t="s">
        <v>92</v>
      </c>
      <c r="O224" t="s">
        <v>657</v>
      </c>
      <c r="P224" t="s">
        <v>657</v>
      </c>
    </row>
    <row r="225" spans="1:16" x14ac:dyDescent="0.25">
      <c r="A225" t="s">
        <v>300</v>
      </c>
      <c r="B225" t="s">
        <v>301</v>
      </c>
      <c r="D225">
        <v>0</v>
      </c>
      <c r="F225">
        <v>22</v>
      </c>
      <c r="G225">
        <v>0</v>
      </c>
      <c r="H225">
        <v>2040</v>
      </c>
      <c r="I225">
        <v>247</v>
      </c>
      <c r="J225">
        <v>269</v>
      </c>
      <c r="K225">
        <v>269</v>
      </c>
      <c r="L225">
        <v>0.131862745098039</v>
      </c>
      <c r="M225" t="s">
        <v>657</v>
      </c>
      <c r="N225" t="s">
        <v>92</v>
      </c>
      <c r="O225" t="s">
        <v>657</v>
      </c>
      <c r="P225" t="s">
        <v>657</v>
      </c>
    </row>
    <row r="226" spans="1:16" x14ac:dyDescent="0.25">
      <c r="A226" t="s">
        <v>209</v>
      </c>
      <c r="B226" t="s">
        <v>210</v>
      </c>
      <c r="D226">
        <v>0</v>
      </c>
      <c r="F226">
        <v>3</v>
      </c>
      <c r="G226">
        <v>0</v>
      </c>
      <c r="H226">
        <v>3807</v>
      </c>
      <c r="I226">
        <v>130</v>
      </c>
      <c r="J226">
        <v>133</v>
      </c>
      <c r="K226">
        <v>133</v>
      </c>
      <c r="L226">
        <v>3.4935644864722899E-2</v>
      </c>
      <c r="M226" t="s">
        <v>657</v>
      </c>
      <c r="N226" t="s">
        <v>92</v>
      </c>
      <c r="O226" t="s">
        <v>92</v>
      </c>
      <c r="P226" t="s">
        <v>92</v>
      </c>
    </row>
    <row r="227" spans="1:16" x14ac:dyDescent="0.25">
      <c r="A227" t="s">
        <v>570</v>
      </c>
      <c r="B227" t="s">
        <v>571</v>
      </c>
      <c r="D227">
        <v>0</v>
      </c>
      <c r="F227">
        <v>15</v>
      </c>
      <c r="G227">
        <v>0</v>
      </c>
      <c r="H227">
        <v>2477</v>
      </c>
      <c r="I227">
        <v>244</v>
      </c>
      <c r="J227">
        <v>259</v>
      </c>
      <c r="K227">
        <v>259</v>
      </c>
      <c r="L227">
        <v>0.104561970125151</v>
      </c>
      <c r="M227" t="s">
        <v>657</v>
      </c>
      <c r="N227" t="s">
        <v>92</v>
      </c>
      <c r="O227" t="s">
        <v>657</v>
      </c>
      <c r="P227" t="s">
        <v>657</v>
      </c>
    </row>
    <row r="228" spans="1:16" x14ac:dyDescent="0.25">
      <c r="A228" t="s">
        <v>302</v>
      </c>
      <c r="B228" t="s">
        <v>303</v>
      </c>
      <c r="D228">
        <v>0</v>
      </c>
      <c r="F228">
        <v>0</v>
      </c>
      <c r="G228">
        <v>0</v>
      </c>
      <c r="H228">
        <v>42</v>
      </c>
      <c r="I228">
        <v>5</v>
      </c>
      <c r="J228">
        <v>5</v>
      </c>
      <c r="K228">
        <v>5</v>
      </c>
      <c r="L228">
        <v>0.119047619047619</v>
      </c>
      <c r="M228" t="s">
        <v>92</v>
      </c>
      <c r="N228" t="s">
        <v>92</v>
      </c>
      <c r="O228" t="s">
        <v>92</v>
      </c>
      <c r="P228" t="s">
        <v>92</v>
      </c>
    </row>
    <row r="229" spans="1:16" x14ac:dyDescent="0.25">
      <c r="A229" t="s">
        <v>1411</v>
      </c>
      <c r="B229" t="s">
        <v>1412</v>
      </c>
      <c r="C229" t="s">
        <v>66</v>
      </c>
      <c r="D229">
        <v>0</v>
      </c>
      <c r="E229">
        <v>0</v>
      </c>
      <c r="F229">
        <v>0</v>
      </c>
      <c r="G229">
        <v>0</v>
      </c>
      <c r="H229">
        <v>71.570513398899337</v>
      </c>
      <c r="I229">
        <v>9.3459776238678725</v>
      </c>
      <c r="J229">
        <v>9.3459776238678725</v>
      </c>
      <c r="K229">
        <v>0</v>
      </c>
      <c r="L229">
        <v>0.13058419145015701</v>
      </c>
      <c r="M229" t="s">
        <v>92</v>
      </c>
      <c r="N229" t="s">
        <v>92</v>
      </c>
      <c r="O229" t="s">
        <v>92</v>
      </c>
      <c r="P229" t="s">
        <v>92</v>
      </c>
    </row>
    <row r="230" spans="1:16" x14ac:dyDescent="0.25">
      <c r="A230" t="s">
        <v>572</v>
      </c>
      <c r="B230" t="s">
        <v>573</v>
      </c>
      <c r="D230">
        <v>0</v>
      </c>
      <c r="F230">
        <v>0</v>
      </c>
      <c r="G230">
        <v>0</v>
      </c>
      <c r="H230">
        <v>237</v>
      </c>
      <c r="I230">
        <v>33</v>
      </c>
      <c r="J230">
        <v>33</v>
      </c>
      <c r="K230">
        <v>33</v>
      </c>
      <c r="L230">
        <v>0.139240506329114</v>
      </c>
      <c r="M230" t="s">
        <v>657</v>
      </c>
      <c r="N230" t="s">
        <v>92</v>
      </c>
      <c r="O230" t="s">
        <v>657</v>
      </c>
      <c r="P230" t="s">
        <v>657</v>
      </c>
    </row>
    <row r="231" spans="1:16" x14ac:dyDescent="0.25">
      <c r="A231" t="s">
        <v>574</v>
      </c>
      <c r="B231" t="s">
        <v>575</v>
      </c>
      <c r="D231">
        <v>0</v>
      </c>
      <c r="F231">
        <v>3</v>
      </c>
      <c r="G231">
        <v>0</v>
      </c>
      <c r="H231">
        <v>1645</v>
      </c>
      <c r="I231">
        <v>261</v>
      </c>
      <c r="J231">
        <v>264</v>
      </c>
      <c r="K231">
        <v>264</v>
      </c>
      <c r="L231">
        <v>0.16048632218844999</v>
      </c>
      <c r="M231" t="s">
        <v>657</v>
      </c>
      <c r="N231" t="s">
        <v>657</v>
      </c>
      <c r="O231" t="s">
        <v>657</v>
      </c>
      <c r="P231" t="s">
        <v>657</v>
      </c>
    </row>
    <row r="232" spans="1:16" x14ac:dyDescent="0.25">
      <c r="A232" t="s">
        <v>211</v>
      </c>
      <c r="B232" t="s">
        <v>212</v>
      </c>
      <c r="D232">
        <v>0</v>
      </c>
      <c r="F232">
        <v>0</v>
      </c>
      <c r="G232">
        <v>0</v>
      </c>
      <c r="H232">
        <v>890</v>
      </c>
      <c r="I232">
        <v>79</v>
      </c>
      <c r="J232">
        <v>79</v>
      </c>
      <c r="K232">
        <v>79</v>
      </c>
      <c r="L232">
        <v>8.8764044943820203E-2</v>
      </c>
      <c r="M232" t="s">
        <v>657</v>
      </c>
      <c r="N232" t="s">
        <v>92</v>
      </c>
      <c r="O232" t="s">
        <v>657</v>
      </c>
      <c r="P232" t="s">
        <v>657</v>
      </c>
    </row>
    <row r="233" spans="1:16" x14ac:dyDescent="0.25">
      <c r="A233" t="s">
        <v>576</v>
      </c>
      <c r="B233" t="s">
        <v>577</v>
      </c>
      <c r="D233">
        <v>0</v>
      </c>
      <c r="F233">
        <v>0</v>
      </c>
      <c r="G233">
        <v>0</v>
      </c>
      <c r="H233">
        <v>110</v>
      </c>
      <c r="I233">
        <v>18</v>
      </c>
      <c r="J233">
        <v>18</v>
      </c>
      <c r="K233">
        <v>18</v>
      </c>
      <c r="L233">
        <v>0.163636363636364</v>
      </c>
      <c r="M233" t="s">
        <v>657</v>
      </c>
      <c r="N233" t="s">
        <v>657</v>
      </c>
      <c r="O233" t="s">
        <v>657</v>
      </c>
      <c r="P233" t="s">
        <v>657</v>
      </c>
    </row>
    <row r="234" spans="1:16" x14ac:dyDescent="0.25">
      <c r="A234" t="s">
        <v>86</v>
      </c>
      <c r="B234" t="s">
        <v>54</v>
      </c>
      <c r="C234" t="s">
        <v>66</v>
      </c>
      <c r="D234">
        <v>0</v>
      </c>
      <c r="E234">
        <v>0</v>
      </c>
      <c r="F234">
        <v>0</v>
      </c>
      <c r="G234">
        <v>0</v>
      </c>
      <c r="H234">
        <v>135.31300189479373</v>
      </c>
      <c r="I234">
        <v>21.904635055940339</v>
      </c>
      <c r="J234">
        <v>21.904635055940339</v>
      </c>
      <c r="K234">
        <v>0</v>
      </c>
      <c r="L234">
        <v>0.161881229070443</v>
      </c>
      <c r="M234" t="s">
        <v>657</v>
      </c>
      <c r="N234" t="s">
        <v>657</v>
      </c>
      <c r="O234" t="s">
        <v>657</v>
      </c>
      <c r="P234" t="s">
        <v>657</v>
      </c>
    </row>
    <row r="235" spans="1:16" x14ac:dyDescent="0.25">
      <c r="A235" t="s">
        <v>85</v>
      </c>
      <c r="B235" t="s">
        <v>50</v>
      </c>
      <c r="C235" t="s">
        <v>66</v>
      </c>
      <c r="D235">
        <v>0</v>
      </c>
      <c r="E235">
        <v>0</v>
      </c>
      <c r="F235">
        <v>0</v>
      </c>
      <c r="G235">
        <v>0</v>
      </c>
      <c r="H235">
        <v>60.387620680321298</v>
      </c>
      <c r="I235">
        <v>3.7968034096963308</v>
      </c>
      <c r="J235">
        <v>3.7968034096963308</v>
      </c>
      <c r="K235">
        <v>0</v>
      </c>
      <c r="L235">
        <v>6.2873869957482995E-2</v>
      </c>
      <c r="M235" t="s">
        <v>92</v>
      </c>
      <c r="N235" t="s">
        <v>92</v>
      </c>
      <c r="O235" t="s">
        <v>92</v>
      </c>
      <c r="P235" t="s">
        <v>92</v>
      </c>
    </row>
    <row r="236" spans="1:16" x14ac:dyDescent="0.25">
      <c r="A236" t="s">
        <v>62</v>
      </c>
      <c r="B236" t="s">
        <v>24</v>
      </c>
      <c r="C236" t="s">
        <v>62</v>
      </c>
      <c r="D236">
        <v>0</v>
      </c>
      <c r="F236">
        <v>104</v>
      </c>
      <c r="G236">
        <v>0</v>
      </c>
      <c r="H236">
        <v>67992.208335769014</v>
      </c>
      <c r="I236">
        <v>5686.2577011690419</v>
      </c>
      <c r="J236">
        <v>5790.2577011690419</v>
      </c>
      <c r="K236">
        <v>6021</v>
      </c>
      <c r="L236">
        <v>8.5160606529718103E-2</v>
      </c>
      <c r="M236" t="s">
        <v>657</v>
      </c>
      <c r="N236" t="s">
        <v>92</v>
      </c>
      <c r="O236" t="s">
        <v>657</v>
      </c>
      <c r="P236" t="s">
        <v>657</v>
      </c>
    </row>
    <row r="237" spans="1:16" x14ac:dyDescent="0.25">
      <c r="A237" t="s">
        <v>304</v>
      </c>
      <c r="B237" t="s">
        <v>305</v>
      </c>
      <c r="D237">
        <v>0</v>
      </c>
      <c r="F237">
        <v>14</v>
      </c>
      <c r="G237">
        <v>0</v>
      </c>
      <c r="H237">
        <v>5146</v>
      </c>
      <c r="I237">
        <v>607</v>
      </c>
      <c r="J237">
        <v>621</v>
      </c>
      <c r="K237">
        <v>621</v>
      </c>
      <c r="L237">
        <v>0.1206762534007</v>
      </c>
      <c r="M237" t="s">
        <v>657</v>
      </c>
      <c r="N237" t="s">
        <v>92</v>
      </c>
      <c r="O237" t="s">
        <v>657</v>
      </c>
      <c r="P237" t="s">
        <v>657</v>
      </c>
    </row>
    <row r="238" spans="1:16" x14ac:dyDescent="0.25">
      <c r="A238" t="s">
        <v>578</v>
      </c>
      <c r="B238" t="s">
        <v>579</v>
      </c>
      <c r="D238">
        <v>0</v>
      </c>
      <c r="F238">
        <v>18</v>
      </c>
      <c r="G238">
        <v>0</v>
      </c>
      <c r="H238">
        <v>4177</v>
      </c>
      <c r="I238">
        <v>459</v>
      </c>
      <c r="J238">
        <v>477</v>
      </c>
      <c r="K238">
        <v>477</v>
      </c>
      <c r="L238">
        <v>0.11419679195594901</v>
      </c>
      <c r="M238" t="s">
        <v>657</v>
      </c>
      <c r="N238" t="s">
        <v>92</v>
      </c>
      <c r="O238" t="s">
        <v>657</v>
      </c>
      <c r="P238" t="s">
        <v>657</v>
      </c>
    </row>
    <row r="239" spans="1:16" x14ac:dyDescent="0.25">
      <c r="A239" t="s">
        <v>580</v>
      </c>
      <c r="B239" t="s">
        <v>581</v>
      </c>
      <c r="D239">
        <v>0</v>
      </c>
      <c r="F239">
        <v>0</v>
      </c>
      <c r="G239">
        <v>0</v>
      </c>
      <c r="H239">
        <v>312</v>
      </c>
      <c r="I239">
        <v>86</v>
      </c>
      <c r="J239">
        <v>86</v>
      </c>
      <c r="K239">
        <v>86</v>
      </c>
      <c r="L239">
        <v>0.27564102564102599</v>
      </c>
      <c r="M239" t="s">
        <v>657</v>
      </c>
      <c r="N239" t="s">
        <v>657</v>
      </c>
      <c r="O239" t="s">
        <v>657</v>
      </c>
      <c r="P239" t="s">
        <v>657</v>
      </c>
    </row>
    <row r="240" spans="1:16" x14ac:dyDescent="0.25">
      <c r="A240" t="s">
        <v>582</v>
      </c>
      <c r="B240" t="s">
        <v>583</v>
      </c>
      <c r="D240">
        <v>0</v>
      </c>
      <c r="F240">
        <v>3</v>
      </c>
      <c r="G240">
        <v>0</v>
      </c>
      <c r="H240">
        <v>3152</v>
      </c>
      <c r="I240">
        <v>420</v>
      </c>
      <c r="J240">
        <v>423</v>
      </c>
      <c r="K240">
        <v>423</v>
      </c>
      <c r="L240">
        <v>0.13420050761421301</v>
      </c>
      <c r="M240" t="s">
        <v>657</v>
      </c>
      <c r="N240" t="s">
        <v>92</v>
      </c>
      <c r="O240" t="s">
        <v>657</v>
      </c>
      <c r="P240" t="s">
        <v>657</v>
      </c>
    </row>
    <row r="241" spans="1:16" x14ac:dyDescent="0.25">
      <c r="A241" t="s">
        <v>213</v>
      </c>
      <c r="B241" t="s">
        <v>214</v>
      </c>
      <c r="D241">
        <v>0</v>
      </c>
      <c r="F241">
        <v>0</v>
      </c>
      <c r="G241">
        <v>0</v>
      </c>
      <c r="H241">
        <v>22</v>
      </c>
      <c r="I241">
        <v>1</v>
      </c>
      <c r="J241">
        <v>1</v>
      </c>
      <c r="K241">
        <v>1</v>
      </c>
      <c r="L241">
        <v>4.5454545454545497E-2</v>
      </c>
      <c r="M241" t="s">
        <v>92</v>
      </c>
      <c r="N241" t="s">
        <v>92</v>
      </c>
      <c r="O241" t="s">
        <v>92</v>
      </c>
      <c r="P241" t="s">
        <v>92</v>
      </c>
    </row>
    <row r="242" spans="1:16" x14ac:dyDescent="0.25">
      <c r="A242" t="s">
        <v>584</v>
      </c>
      <c r="B242" t="s">
        <v>585</v>
      </c>
      <c r="D242">
        <v>0</v>
      </c>
      <c r="F242">
        <v>33</v>
      </c>
      <c r="G242">
        <v>0</v>
      </c>
      <c r="H242">
        <v>4122</v>
      </c>
      <c r="I242">
        <v>663</v>
      </c>
      <c r="J242">
        <v>696</v>
      </c>
      <c r="K242">
        <v>696</v>
      </c>
      <c r="L242">
        <v>0.168850072780204</v>
      </c>
      <c r="M242" t="s">
        <v>657</v>
      </c>
      <c r="N242" t="s">
        <v>657</v>
      </c>
      <c r="O242" t="s">
        <v>657</v>
      </c>
      <c r="P242" t="s">
        <v>657</v>
      </c>
    </row>
    <row r="243" spans="1:16" x14ac:dyDescent="0.25">
      <c r="A243" t="s">
        <v>215</v>
      </c>
      <c r="B243" t="s">
        <v>216</v>
      </c>
      <c r="D243">
        <v>0</v>
      </c>
      <c r="F243">
        <v>9</v>
      </c>
      <c r="G243">
        <v>0</v>
      </c>
      <c r="H243">
        <v>10315</v>
      </c>
      <c r="I243">
        <v>608</v>
      </c>
      <c r="J243">
        <v>617</v>
      </c>
      <c r="K243">
        <v>617</v>
      </c>
      <c r="L243">
        <v>5.9815802229762502E-2</v>
      </c>
      <c r="M243" t="s">
        <v>657</v>
      </c>
      <c r="N243" t="s">
        <v>92</v>
      </c>
      <c r="O243" t="s">
        <v>657</v>
      </c>
      <c r="P243" t="s">
        <v>657</v>
      </c>
    </row>
    <row r="244" spans="1:16" x14ac:dyDescent="0.25">
      <c r="A244" t="s">
        <v>306</v>
      </c>
      <c r="B244" t="s">
        <v>307</v>
      </c>
      <c r="D244">
        <v>0</v>
      </c>
      <c r="F244">
        <v>0</v>
      </c>
      <c r="G244">
        <v>0</v>
      </c>
      <c r="H244">
        <v>127</v>
      </c>
      <c r="I244">
        <v>13</v>
      </c>
      <c r="J244">
        <v>13</v>
      </c>
      <c r="K244">
        <v>13</v>
      </c>
      <c r="L244">
        <v>0.102362204724409</v>
      </c>
      <c r="M244" t="s">
        <v>657</v>
      </c>
      <c r="N244" t="s">
        <v>92</v>
      </c>
      <c r="O244" t="s">
        <v>657</v>
      </c>
      <c r="P244" t="s">
        <v>657</v>
      </c>
    </row>
    <row r="245" spans="1:16" x14ac:dyDescent="0.25">
      <c r="A245" t="s">
        <v>217</v>
      </c>
      <c r="B245" t="s">
        <v>218</v>
      </c>
      <c r="D245">
        <v>0</v>
      </c>
      <c r="F245">
        <v>0</v>
      </c>
      <c r="G245">
        <v>0</v>
      </c>
      <c r="H245">
        <v>68</v>
      </c>
      <c r="I245">
        <v>6</v>
      </c>
      <c r="J245">
        <v>6</v>
      </c>
      <c r="K245">
        <v>6</v>
      </c>
      <c r="L245">
        <v>8.8235294117647106E-2</v>
      </c>
      <c r="M245" t="s">
        <v>92</v>
      </c>
      <c r="N245" t="s">
        <v>92</v>
      </c>
      <c r="O245" t="s">
        <v>92</v>
      </c>
      <c r="P245" t="s">
        <v>92</v>
      </c>
    </row>
    <row r="246" spans="1:16" x14ac:dyDescent="0.25">
      <c r="A246" t="s">
        <v>219</v>
      </c>
      <c r="B246" t="s">
        <v>220</v>
      </c>
      <c r="D246">
        <v>0</v>
      </c>
      <c r="F246">
        <v>21</v>
      </c>
      <c r="G246">
        <v>0</v>
      </c>
      <c r="H246">
        <v>10714</v>
      </c>
      <c r="I246">
        <v>542</v>
      </c>
      <c r="J246">
        <v>563</v>
      </c>
      <c r="K246">
        <v>563</v>
      </c>
      <c r="L246">
        <v>5.2548067948478598E-2</v>
      </c>
      <c r="M246" t="s">
        <v>657</v>
      </c>
      <c r="N246" t="s">
        <v>92</v>
      </c>
      <c r="O246" t="s">
        <v>657</v>
      </c>
      <c r="P246" t="s">
        <v>657</v>
      </c>
    </row>
    <row r="247" spans="1:16" x14ac:dyDescent="0.25">
      <c r="A247" t="s">
        <v>221</v>
      </c>
      <c r="B247" t="s">
        <v>222</v>
      </c>
      <c r="D247">
        <v>0</v>
      </c>
      <c r="F247">
        <v>13</v>
      </c>
      <c r="G247">
        <v>0</v>
      </c>
      <c r="H247">
        <v>7736</v>
      </c>
      <c r="I247">
        <v>263</v>
      </c>
      <c r="J247">
        <v>276</v>
      </c>
      <c r="K247">
        <v>276</v>
      </c>
      <c r="L247">
        <v>3.5677352637021702E-2</v>
      </c>
      <c r="M247" t="s">
        <v>657</v>
      </c>
      <c r="N247" t="s">
        <v>92</v>
      </c>
      <c r="O247" t="s">
        <v>92</v>
      </c>
      <c r="P247" t="s">
        <v>92</v>
      </c>
    </row>
    <row r="248" spans="1:16" x14ac:dyDescent="0.25">
      <c r="A248" t="s">
        <v>586</v>
      </c>
      <c r="B248" t="s">
        <v>587</v>
      </c>
      <c r="D248">
        <v>0</v>
      </c>
      <c r="F248">
        <v>2</v>
      </c>
      <c r="G248">
        <v>0</v>
      </c>
      <c r="H248">
        <v>609</v>
      </c>
      <c r="I248">
        <v>156</v>
      </c>
      <c r="J248">
        <v>158</v>
      </c>
      <c r="K248">
        <v>158</v>
      </c>
      <c r="L248">
        <v>0.25944170771757002</v>
      </c>
      <c r="M248" t="s">
        <v>657</v>
      </c>
      <c r="N248" t="s">
        <v>657</v>
      </c>
      <c r="O248" t="s">
        <v>657</v>
      </c>
      <c r="P248" t="s">
        <v>657</v>
      </c>
    </row>
    <row r="249" spans="1:16" x14ac:dyDescent="0.25">
      <c r="A249" t="s">
        <v>588</v>
      </c>
      <c r="B249" t="s">
        <v>589</v>
      </c>
      <c r="D249">
        <v>0</v>
      </c>
      <c r="F249">
        <v>4</v>
      </c>
      <c r="G249">
        <v>0</v>
      </c>
      <c r="H249">
        <v>384</v>
      </c>
      <c r="I249">
        <v>92</v>
      </c>
      <c r="J249">
        <v>96</v>
      </c>
      <c r="K249">
        <v>96</v>
      </c>
      <c r="L249">
        <v>0.25</v>
      </c>
      <c r="M249" t="s">
        <v>657</v>
      </c>
      <c r="N249" t="s">
        <v>657</v>
      </c>
      <c r="O249" t="s">
        <v>657</v>
      </c>
      <c r="P249" t="s">
        <v>657</v>
      </c>
    </row>
    <row r="250" spans="1:16" x14ac:dyDescent="0.25">
      <c r="A250" t="s">
        <v>223</v>
      </c>
      <c r="B250" t="s">
        <v>224</v>
      </c>
      <c r="D250">
        <v>0</v>
      </c>
      <c r="F250">
        <v>40</v>
      </c>
      <c r="G250">
        <v>0</v>
      </c>
      <c r="H250">
        <v>11672</v>
      </c>
      <c r="I250">
        <v>1121</v>
      </c>
      <c r="J250">
        <v>1161</v>
      </c>
      <c r="K250">
        <v>1161</v>
      </c>
      <c r="L250">
        <v>9.9468814256339994E-2</v>
      </c>
      <c r="M250" t="s">
        <v>657</v>
      </c>
      <c r="N250" t="s">
        <v>92</v>
      </c>
      <c r="O250" t="s">
        <v>657</v>
      </c>
      <c r="P250" t="s">
        <v>657</v>
      </c>
    </row>
    <row r="251" spans="1:16" x14ac:dyDescent="0.25">
      <c r="A251" t="s">
        <v>225</v>
      </c>
      <c r="B251" t="s">
        <v>226</v>
      </c>
      <c r="D251">
        <v>0</v>
      </c>
      <c r="F251">
        <v>6</v>
      </c>
      <c r="G251">
        <v>0</v>
      </c>
      <c r="H251">
        <v>1757</v>
      </c>
      <c r="I251">
        <v>119</v>
      </c>
      <c r="J251">
        <v>125</v>
      </c>
      <c r="K251">
        <v>125</v>
      </c>
      <c r="L251">
        <v>7.1143995446784306E-2</v>
      </c>
      <c r="M251" t="s">
        <v>657</v>
      </c>
      <c r="N251" t="s">
        <v>92</v>
      </c>
      <c r="O251" t="s">
        <v>657</v>
      </c>
      <c r="P251" t="s">
        <v>657</v>
      </c>
    </row>
    <row r="252" spans="1:16" x14ac:dyDescent="0.25">
      <c r="A252" t="s">
        <v>590</v>
      </c>
      <c r="B252" t="s">
        <v>591</v>
      </c>
      <c r="D252">
        <v>0</v>
      </c>
      <c r="F252">
        <v>2</v>
      </c>
      <c r="G252">
        <v>0</v>
      </c>
      <c r="H252">
        <v>352</v>
      </c>
      <c r="I252">
        <v>56</v>
      </c>
      <c r="J252">
        <v>58</v>
      </c>
      <c r="K252">
        <v>58</v>
      </c>
      <c r="L252">
        <v>0.16477272727272699</v>
      </c>
      <c r="M252" t="s">
        <v>657</v>
      </c>
      <c r="N252" t="s">
        <v>657</v>
      </c>
      <c r="O252" t="s">
        <v>657</v>
      </c>
      <c r="P252" t="s">
        <v>657</v>
      </c>
    </row>
    <row r="253" spans="1:16" x14ac:dyDescent="0.25">
      <c r="A253" t="s">
        <v>64</v>
      </c>
      <c r="B253" t="s">
        <v>32</v>
      </c>
      <c r="C253" t="s">
        <v>64</v>
      </c>
      <c r="D253">
        <v>0</v>
      </c>
      <c r="F253">
        <v>164</v>
      </c>
      <c r="G253">
        <v>0</v>
      </c>
      <c r="H253">
        <v>33580.555902766355</v>
      </c>
      <c r="I253">
        <v>5851.4349104221001</v>
      </c>
      <c r="J253">
        <v>6015.4349104221001</v>
      </c>
      <c r="K253">
        <v>6220</v>
      </c>
      <c r="L253">
        <v>0.17913446483256601</v>
      </c>
      <c r="M253" t="s">
        <v>657</v>
      </c>
      <c r="N253" t="s">
        <v>657</v>
      </c>
      <c r="O253" t="s">
        <v>657</v>
      </c>
      <c r="P253" t="s">
        <v>657</v>
      </c>
    </row>
    <row r="254" spans="1:16" x14ac:dyDescent="0.25">
      <c r="A254" t="s">
        <v>82</v>
      </c>
      <c r="B254" t="s">
        <v>37</v>
      </c>
      <c r="C254" t="s">
        <v>64</v>
      </c>
      <c r="D254">
        <v>0</v>
      </c>
      <c r="E254">
        <v>0</v>
      </c>
      <c r="F254">
        <v>0</v>
      </c>
      <c r="G254">
        <v>0</v>
      </c>
      <c r="H254">
        <v>972.3118318476354</v>
      </c>
      <c r="I254">
        <v>132.00998391480414</v>
      </c>
      <c r="J254">
        <v>132.00998391480414</v>
      </c>
      <c r="K254">
        <v>0</v>
      </c>
      <c r="L254">
        <v>0.13576918390878001</v>
      </c>
      <c r="M254" t="s">
        <v>657</v>
      </c>
      <c r="N254" t="s">
        <v>92</v>
      </c>
      <c r="O254" t="s">
        <v>657</v>
      </c>
      <c r="P254" t="s">
        <v>657</v>
      </c>
    </row>
    <row r="255" spans="1:16" x14ac:dyDescent="0.25">
      <c r="A255" t="s">
        <v>592</v>
      </c>
      <c r="B255" t="s">
        <v>593</v>
      </c>
      <c r="D255">
        <v>0</v>
      </c>
      <c r="F255">
        <v>1</v>
      </c>
      <c r="G255">
        <v>0</v>
      </c>
      <c r="H255">
        <v>129</v>
      </c>
      <c r="I255">
        <v>22</v>
      </c>
      <c r="J255">
        <v>23</v>
      </c>
      <c r="K255">
        <v>23</v>
      </c>
      <c r="L255">
        <v>0.178294573643411</v>
      </c>
      <c r="M255" t="s">
        <v>657</v>
      </c>
      <c r="N255" t="s">
        <v>657</v>
      </c>
      <c r="O255" t="s">
        <v>657</v>
      </c>
      <c r="P255" t="s">
        <v>657</v>
      </c>
    </row>
    <row r="256" spans="1:16" x14ac:dyDescent="0.25">
      <c r="A256" t="s">
        <v>594</v>
      </c>
      <c r="B256" t="s">
        <v>595</v>
      </c>
      <c r="D256">
        <v>0</v>
      </c>
      <c r="F256">
        <v>5</v>
      </c>
      <c r="G256">
        <v>0</v>
      </c>
      <c r="H256">
        <v>155</v>
      </c>
      <c r="I256">
        <v>18</v>
      </c>
      <c r="J256">
        <v>23</v>
      </c>
      <c r="K256">
        <v>23</v>
      </c>
      <c r="L256">
        <v>0.14838709677419401</v>
      </c>
      <c r="M256" t="s">
        <v>657</v>
      </c>
      <c r="N256" t="s">
        <v>92</v>
      </c>
      <c r="O256" t="s">
        <v>657</v>
      </c>
      <c r="P256" t="s">
        <v>657</v>
      </c>
    </row>
    <row r="257" spans="1:16" x14ac:dyDescent="0.25">
      <c r="A257" t="s">
        <v>227</v>
      </c>
      <c r="B257" t="s">
        <v>228</v>
      </c>
      <c r="D257">
        <v>0</v>
      </c>
      <c r="F257">
        <v>6</v>
      </c>
      <c r="G257">
        <v>0</v>
      </c>
      <c r="H257">
        <v>5413</v>
      </c>
      <c r="I257">
        <v>399</v>
      </c>
      <c r="J257">
        <v>405</v>
      </c>
      <c r="K257">
        <v>405</v>
      </c>
      <c r="L257">
        <v>7.4819878071309798E-2</v>
      </c>
      <c r="M257" t="s">
        <v>657</v>
      </c>
      <c r="N257" t="s">
        <v>92</v>
      </c>
      <c r="O257" t="s">
        <v>657</v>
      </c>
      <c r="P257" t="s">
        <v>657</v>
      </c>
    </row>
    <row r="258" spans="1:16" x14ac:dyDescent="0.25">
      <c r="A258" t="s">
        <v>229</v>
      </c>
      <c r="B258" t="s">
        <v>230</v>
      </c>
      <c r="D258">
        <v>0</v>
      </c>
      <c r="F258">
        <v>0</v>
      </c>
      <c r="G258">
        <v>0</v>
      </c>
      <c r="H258">
        <v>25</v>
      </c>
      <c r="I258">
        <v>4</v>
      </c>
      <c r="J258">
        <v>4</v>
      </c>
      <c r="K258">
        <v>4</v>
      </c>
      <c r="L258">
        <v>0.16</v>
      </c>
      <c r="M258" t="s">
        <v>92</v>
      </c>
      <c r="N258" t="s">
        <v>92</v>
      </c>
      <c r="O258" t="s">
        <v>92</v>
      </c>
      <c r="P258" t="s">
        <v>92</v>
      </c>
    </row>
    <row r="259" spans="1:16" x14ac:dyDescent="0.25">
      <c r="A259" t="s">
        <v>596</v>
      </c>
      <c r="B259" t="s">
        <v>597</v>
      </c>
      <c r="D259">
        <v>0</v>
      </c>
      <c r="F259">
        <v>1</v>
      </c>
      <c r="G259">
        <v>0</v>
      </c>
      <c r="H259">
        <v>15</v>
      </c>
      <c r="I259">
        <v>15</v>
      </c>
      <c r="J259">
        <v>16</v>
      </c>
      <c r="K259">
        <v>16</v>
      </c>
      <c r="L259">
        <v>1.06666666666667</v>
      </c>
      <c r="M259" t="s">
        <v>657</v>
      </c>
      <c r="N259" t="s">
        <v>657</v>
      </c>
      <c r="O259" t="s">
        <v>657</v>
      </c>
      <c r="P259" t="s">
        <v>657</v>
      </c>
    </row>
    <row r="260" spans="1:16" x14ac:dyDescent="0.25">
      <c r="A260" t="s">
        <v>231</v>
      </c>
      <c r="B260" t="s">
        <v>232</v>
      </c>
      <c r="D260">
        <v>0</v>
      </c>
      <c r="F260">
        <v>0</v>
      </c>
      <c r="G260">
        <v>0</v>
      </c>
      <c r="H260">
        <v>15</v>
      </c>
      <c r="I260">
        <v>3</v>
      </c>
      <c r="J260">
        <v>3</v>
      </c>
      <c r="K260">
        <v>3</v>
      </c>
      <c r="L260">
        <v>0.2</v>
      </c>
      <c r="M260" t="s">
        <v>92</v>
      </c>
      <c r="N260" t="s">
        <v>92</v>
      </c>
      <c r="O260" t="s">
        <v>92</v>
      </c>
      <c r="P260" t="s">
        <v>92</v>
      </c>
    </row>
    <row r="261" spans="1:16" x14ac:dyDescent="0.25">
      <c r="A261" t="s">
        <v>233</v>
      </c>
      <c r="B261" t="s">
        <v>234</v>
      </c>
      <c r="D261">
        <v>0</v>
      </c>
      <c r="F261">
        <v>23</v>
      </c>
      <c r="G261">
        <v>0</v>
      </c>
      <c r="H261">
        <v>3953</v>
      </c>
      <c r="I261">
        <v>255</v>
      </c>
      <c r="J261">
        <v>278</v>
      </c>
      <c r="K261">
        <v>278</v>
      </c>
      <c r="L261">
        <v>7.0326334429547194E-2</v>
      </c>
      <c r="M261" t="s">
        <v>657</v>
      </c>
      <c r="N261" t="s">
        <v>92</v>
      </c>
      <c r="O261" t="s">
        <v>657</v>
      </c>
      <c r="P261" t="s">
        <v>657</v>
      </c>
    </row>
    <row r="262" spans="1:16" x14ac:dyDescent="0.25">
      <c r="A262" t="s">
        <v>598</v>
      </c>
      <c r="B262" t="s">
        <v>599</v>
      </c>
      <c r="D262">
        <v>0</v>
      </c>
      <c r="F262">
        <v>0</v>
      </c>
      <c r="G262">
        <v>0</v>
      </c>
      <c r="H262">
        <v>51</v>
      </c>
      <c r="I262">
        <v>2</v>
      </c>
      <c r="J262">
        <v>2</v>
      </c>
      <c r="K262">
        <v>2</v>
      </c>
      <c r="L262">
        <v>3.9215686274509803E-2</v>
      </c>
      <c r="M262" t="s">
        <v>92</v>
      </c>
      <c r="N262" t="s">
        <v>92</v>
      </c>
      <c r="O262" t="s">
        <v>92</v>
      </c>
      <c r="P262" t="s">
        <v>92</v>
      </c>
    </row>
    <row r="263" spans="1:16" x14ac:dyDescent="0.25">
      <c r="A263" t="s">
        <v>600</v>
      </c>
      <c r="B263" t="s">
        <v>601</v>
      </c>
      <c r="D263">
        <v>0</v>
      </c>
      <c r="F263">
        <v>14</v>
      </c>
      <c r="G263">
        <v>0</v>
      </c>
      <c r="H263">
        <v>920</v>
      </c>
      <c r="I263">
        <v>125</v>
      </c>
      <c r="J263">
        <v>139</v>
      </c>
      <c r="K263">
        <v>139</v>
      </c>
      <c r="L263">
        <v>0.15108695652173901</v>
      </c>
      <c r="M263" t="s">
        <v>657</v>
      </c>
      <c r="N263" t="s">
        <v>657</v>
      </c>
      <c r="O263" t="s">
        <v>657</v>
      </c>
      <c r="P263" t="s">
        <v>657</v>
      </c>
    </row>
    <row r="264" spans="1:16" x14ac:dyDescent="0.25">
      <c r="A264" t="s">
        <v>235</v>
      </c>
      <c r="B264" t="s">
        <v>236</v>
      </c>
      <c r="D264">
        <v>0</v>
      </c>
      <c r="F264">
        <v>12</v>
      </c>
      <c r="G264">
        <v>0</v>
      </c>
      <c r="H264">
        <v>2497</v>
      </c>
      <c r="I264">
        <v>212</v>
      </c>
      <c r="J264">
        <v>224</v>
      </c>
      <c r="K264">
        <v>224</v>
      </c>
      <c r="L264">
        <v>8.9707649179014803E-2</v>
      </c>
      <c r="M264" t="s">
        <v>657</v>
      </c>
      <c r="N264" t="s">
        <v>92</v>
      </c>
      <c r="O264" t="s">
        <v>657</v>
      </c>
      <c r="P264" t="s">
        <v>657</v>
      </c>
    </row>
    <row r="265" spans="1:16" x14ac:dyDescent="0.25">
      <c r="A265" t="s">
        <v>602</v>
      </c>
      <c r="B265" t="s">
        <v>603</v>
      </c>
      <c r="D265">
        <v>0</v>
      </c>
      <c r="F265">
        <v>0</v>
      </c>
      <c r="G265">
        <v>0</v>
      </c>
      <c r="H265">
        <v>114</v>
      </c>
      <c r="I265">
        <v>22</v>
      </c>
      <c r="J265">
        <v>22</v>
      </c>
      <c r="K265">
        <v>22</v>
      </c>
      <c r="L265">
        <v>0.19298245614035101</v>
      </c>
      <c r="M265" t="s">
        <v>657</v>
      </c>
      <c r="N265" t="s">
        <v>657</v>
      </c>
      <c r="O265" t="s">
        <v>657</v>
      </c>
      <c r="P265" t="s">
        <v>657</v>
      </c>
    </row>
    <row r="266" spans="1:16" x14ac:dyDescent="0.25">
      <c r="A266" t="s">
        <v>76</v>
      </c>
      <c r="B266" t="s">
        <v>27</v>
      </c>
      <c r="C266" t="s">
        <v>62</v>
      </c>
      <c r="D266">
        <v>0</v>
      </c>
      <c r="E266">
        <v>0</v>
      </c>
      <c r="F266">
        <v>0</v>
      </c>
      <c r="G266">
        <v>0</v>
      </c>
      <c r="H266">
        <v>741.77740106389422</v>
      </c>
      <c r="I266">
        <v>111.58435020052876</v>
      </c>
      <c r="J266">
        <v>111.58435020052876</v>
      </c>
      <c r="K266">
        <v>0</v>
      </c>
      <c r="L266">
        <v>0.15042834958370099</v>
      </c>
      <c r="M266" t="s">
        <v>657</v>
      </c>
      <c r="N266" t="s">
        <v>657</v>
      </c>
      <c r="O266" t="s">
        <v>657</v>
      </c>
      <c r="P266" t="s">
        <v>657</v>
      </c>
    </row>
    <row r="267" spans="1:16" x14ac:dyDescent="0.25">
      <c r="A267" t="s">
        <v>84</v>
      </c>
      <c r="B267" t="s">
        <v>42</v>
      </c>
      <c r="C267" t="s">
        <v>65</v>
      </c>
      <c r="D267">
        <v>0</v>
      </c>
      <c r="E267">
        <v>0</v>
      </c>
      <c r="F267">
        <v>0</v>
      </c>
      <c r="G267">
        <v>0</v>
      </c>
      <c r="H267">
        <v>175.64614016364291</v>
      </c>
      <c r="I267">
        <v>23.088142442227554</v>
      </c>
      <c r="J267">
        <v>23.088142442227554</v>
      </c>
      <c r="K267">
        <v>0</v>
      </c>
      <c r="L267">
        <v>0.13144691036601899</v>
      </c>
      <c r="M267" t="s">
        <v>657</v>
      </c>
      <c r="N267" t="s">
        <v>92</v>
      </c>
      <c r="O267" t="s">
        <v>657</v>
      </c>
      <c r="P267" t="s">
        <v>657</v>
      </c>
    </row>
    <row r="268" spans="1:16" x14ac:dyDescent="0.25">
      <c r="A268" t="s">
        <v>77</v>
      </c>
      <c r="B268" t="s">
        <v>29</v>
      </c>
      <c r="C268" t="s">
        <v>62</v>
      </c>
      <c r="D268">
        <v>0</v>
      </c>
      <c r="E268">
        <v>0</v>
      </c>
      <c r="F268">
        <v>0</v>
      </c>
      <c r="G268">
        <v>0</v>
      </c>
      <c r="H268">
        <v>299.95370316244794</v>
      </c>
      <c r="I268">
        <v>42.917057769434265</v>
      </c>
      <c r="J268">
        <v>42.917057769434265</v>
      </c>
      <c r="K268">
        <v>0</v>
      </c>
      <c r="L268">
        <v>0.143078939572856</v>
      </c>
      <c r="M268" t="s">
        <v>657</v>
      </c>
      <c r="N268" t="s">
        <v>92</v>
      </c>
      <c r="O268" t="s">
        <v>657</v>
      </c>
      <c r="P268" t="s">
        <v>657</v>
      </c>
    </row>
    <row r="269" spans="1:16" x14ac:dyDescent="0.25">
      <c r="A269" t="s">
        <v>237</v>
      </c>
      <c r="B269" t="s">
        <v>238</v>
      </c>
      <c r="D269">
        <v>0</v>
      </c>
      <c r="F269">
        <v>39</v>
      </c>
      <c r="G269">
        <v>0</v>
      </c>
      <c r="H269">
        <v>10613</v>
      </c>
      <c r="I269">
        <v>524</v>
      </c>
      <c r="J269">
        <v>563</v>
      </c>
      <c r="K269">
        <v>563</v>
      </c>
      <c r="L269">
        <v>5.3048148497126198E-2</v>
      </c>
      <c r="M269" t="s">
        <v>657</v>
      </c>
      <c r="N269" t="s">
        <v>92</v>
      </c>
      <c r="O269" t="s">
        <v>657</v>
      </c>
      <c r="P269" t="s">
        <v>657</v>
      </c>
    </row>
    <row r="270" spans="1:16" x14ac:dyDescent="0.25">
      <c r="A270" t="s">
        <v>604</v>
      </c>
      <c r="B270" t="s">
        <v>605</v>
      </c>
      <c r="D270">
        <v>0</v>
      </c>
      <c r="F270">
        <v>17</v>
      </c>
      <c r="G270">
        <v>0</v>
      </c>
      <c r="H270">
        <v>6200</v>
      </c>
      <c r="I270">
        <v>1182</v>
      </c>
      <c r="J270">
        <v>1199</v>
      </c>
      <c r="K270">
        <v>1199</v>
      </c>
      <c r="L270">
        <v>0.193387096774194</v>
      </c>
      <c r="M270" t="s">
        <v>657</v>
      </c>
      <c r="N270" t="s">
        <v>657</v>
      </c>
      <c r="O270" t="s">
        <v>657</v>
      </c>
      <c r="P270" t="s">
        <v>657</v>
      </c>
    </row>
    <row r="271" spans="1:16" x14ac:dyDescent="0.25">
      <c r="A271" t="s">
        <v>70</v>
      </c>
      <c r="B271" t="s">
        <v>12</v>
      </c>
      <c r="C271" t="s">
        <v>58</v>
      </c>
      <c r="D271">
        <v>0</v>
      </c>
      <c r="E271">
        <v>0</v>
      </c>
      <c r="F271">
        <v>0</v>
      </c>
      <c r="G271">
        <v>0</v>
      </c>
      <c r="H271">
        <v>85.977924944812486</v>
      </c>
      <c r="I271">
        <v>18.010820895522368</v>
      </c>
      <c r="J271">
        <v>18.010820895522368</v>
      </c>
      <c r="K271">
        <v>0</v>
      </c>
      <c r="L271">
        <v>0.20948192116852299</v>
      </c>
      <c r="M271" t="s">
        <v>657</v>
      </c>
      <c r="N271" t="s">
        <v>657</v>
      </c>
      <c r="O271" t="s">
        <v>657</v>
      </c>
      <c r="P271" t="s">
        <v>657</v>
      </c>
    </row>
    <row r="272" spans="1:16" x14ac:dyDescent="0.25">
      <c r="A272" t="s">
        <v>65</v>
      </c>
      <c r="B272" t="s">
        <v>39</v>
      </c>
      <c r="C272" t="s">
        <v>65</v>
      </c>
      <c r="D272">
        <v>0</v>
      </c>
      <c r="F272">
        <v>113</v>
      </c>
      <c r="G272">
        <v>0</v>
      </c>
      <c r="H272">
        <v>32594.736748488082</v>
      </c>
      <c r="I272">
        <v>4223.7719409016281</v>
      </c>
      <c r="J272">
        <v>4336.7719409016281</v>
      </c>
      <c r="K272">
        <v>4415</v>
      </c>
      <c r="L272">
        <v>0.13305129519424</v>
      </c>
      <c r="M272" t="s">
        <v>657</v>
      </c>
      <c r="N272" t="s">
        <v>92</v>
      </c>
      <c r="O272" t="s">
        <v>657</v>
      </c>
      <c r="P272" t="s">
        <v>657</v>
      </c>
    </row>
    <row r="273" spans="1:16" x14ac:dyDescent="0.25">
      <c r="A273" t="s">
        <v>606</v>
      </c>
      <c r="B273" t="s">
        <v>607</v>
      </c>
      <c r="D273">
        <v>0</v>
      </c>
      <c r="F273">
        <v>0</v>
      </c>
      <c r="G273">
        <v>0</v>
      </c>
      <c r="H273">
        <v>346</v>
      </c>
      <c r="I273">
        <v>87</v>
      </c>
      <c r="J273">
        <v>87</v>
      </c>
      <c r="K273">
        <v>87</v>
      </c>
      <c r="L273">
        <v>0.25144508670520199</v>
      </c>
      <c r="M273" t="s">
        <v>657</v>
      </c>
      <c r="N273" t="s">
        <v>657</v>
      </c>
      <c r="O273" t="s">
        <v>657</v>
      </c>
      <c r="P273" t="s">
        <v>657</v>
      </c>
    </row>
    <row r="274" spans="1:16" x14ac:dyDescent="0.25">
      <c r="A274" t="s">
        <v>239</v>
      </c>
      <c r="B274" t="s">
        <v>240</v>
      </c>
      <c r="D274">
        <v>0</v>
      </c>
      <c r="F274">
        <v>4</v>
      </c>
      <c r="G274">
        <v>0</v>
      </c>
      <c r="H274">
        <v>9053</v>
      </c>
      <c r="I274">
        <v>378</v>
      </c>
      <c r="J274">
        <v>382</v>
      </c>
      <c r="K274">
        <v>382</v>
      </c>
      <c r="L274">
        <v>4.2195957141279099E-2</v>
      </c>
      <c r="M274" t="s">
        <v>657</v>
      </c>
      <c r="N274" t="s">
        <v>92</v>
      </c>
      <c r="O274" t="s">
        <v>92</v>
      </c>
      <c r="P274" t="s">
        <v>92</v>
      </c>
    </row>
    <row r="275" spans="1:16" x14ac:dyDescent="0.25">
      <c r="A275" t="s">
        <v>241</v>
      </c>
      <c r="B275" t="s">
        <v>242</v>
      </c>
      <c r="D275">
        <v>0</v>
      </c>
      <c r="F275">
        <v>0</v>
      </c>
      <c r="G275">
        <v>0</v>
      </c>
      <c r="H275">
        <v>163</v>
      </c>
      <c r="I275">
        <v>28</v>
      </c>
      <c r="J275">
        <v>28</v>
      </c>
      <c r="K275">
        <v>28</v>
      </c>
      <c r="L275">
        <v>0.17177914110429399</v>
      </c>
      <c r="M275" t="s">
        <v>657</v>
      </c>
      <c r="N275" t="s">
        <v>657</v>
      </c>
      <c r="O275" t="s">
        <v>657</v>
      </c>
      <c r="P275" t="s">
        <v>657</v>
      </c>
    </row>
    <row r="276" spans="1:16" x14ac:dyDescent="0.25">
      <c r="A276" t="s">
        <v>308</v>
      </c>
      <c r="B276" t="s">
        <v>309</v>
      </c>
      <c r="D276">
        <v>0</v>
      </c>
      <c r="F276">
        <v>2</v>
      </c>
      <c r="G276">
        <v>0</v>
      </c>
      <c r="H276">
        <v>1509</v>
      </c>
      <c r="I276">
        <v>191</v>
      </c>
      <c r="J276">
        <v>193</v>
      </c>
      <c r="K276">
        <v>193</v>
      </c>
      <c r="L276">
        <v>0.12789927104042401</v>
      </c>
      <c r="M276" t="s">
        <v>657</v>
      </c>
      <c r="N276" t="s">
        <v>92</v>
      </c>
      <c r="O276" t="s">
        <v>657</v>
      </c>
      <c r="P276" t="s">
        <v>657</v>
      </c>
    </row>
    <row r="277" spans="1:16" x14ac:dyDescent="0.25">
      <c r="A277" t="s">
        <v>243</v>
      </c>
      <c r="B277" t="s">
        <v>244</v>
      </c>
      <c r="D277">
        <v>0</v>
      </c>
      <c r="F277">
        <v>1</v>
      </c>
      <c r="G277">
        <v>0</v>
      </c>
      <c r="H277">
        <v>205</v>
      </c>
      <c r="I277">
        <v>24</v>
      </c>
      <c r="J277">
        <v>25</v>
      </c>
      <c r="K277">
        <v>25</v>
      </c>
      <c r="L277">
        <v>0.12195121951219499</v>
      </c>
      <c r="M277" t="s">
        <v>657</v>
      </c>
      <c r="N277" t="s">
        <v>92</v>
      </c>
      <c r="O277" t="s">
        <v>657</v>
      </c>
      <c r="P277" t="s">
        <v>657</v>
      </c>
    </row>
    <row r="278" spans="1:16" x14ac:dyDescent="0.25">
      <c r="A278" t="s">
        <v>245</v>
      </c>
      <c r="B278" t="s">
        <v>246</v>
      </c>
      <c r="D278">
        <v>0</v>
      </c>
      <c r="F278">
        <v>3</v>
      </c>
      <c r="G278">
        <v>0</v>
      </c>
      <c r="H278">
        <v>852</v>
      </c>
      <c r="I278">
        <v>87</v>
      </c>
      <c r="J278">
        <v>90</v>
      </c>
      <c r="K278">
        <v>90</v>
      </c>
      <c r="L278">
        <v>0.105633802816901</v>
      </c>
      <c r="M278" t="s">
        <v>657</v>
      </c>
      <c r="N278" t="s">
        <v>92</v>
      </c>
      <c r="O278" t="s">
        <v>657</v>
      </c>
      <c r="P278" t="s">
        <v>657</v>
      </c>
    </row>
    <row r="279" spans="1:16" x14ac:dyDescent="0.25">
      <c r="A279" t="s">
        <v>608</v>
      </c>
      <c r="B279" t="s">
        <v>609</v>
      </c>
      <c r="D279">
        <v>0</v>
      </c>
      <c r="F279">
        <v>2</v>
      </c>
      <c r="G279">
        <v>0</v>
      </c>
      <c r="H279">
        <v>1130</v>
      </c>
      <c r="I279">
        <v>281</v>
      </c>
      <c r="J279">
        <v>283</v>
      </c>
      <c r="K279">
        <v>283</v>
      </c>
      <c r="L279">
        <v>0.25044247787610602</v>
      </c>
      <c r="M279" t="s">
        <v>657</v>
      </c>
      <c r="N279" t="s">
        <v>657</v>
      </c>
      <c r="O279" t="s">
        <v>657</v>
      </c>
      <c r="P279" t="s">
        <v>657</v>
      </c>
    </row>
    <row r="280" spans="1:16" x14ac:dyDescent="0.25">
      <c r="A280" t="s">
        <v>610</v>
      </c>
      <c r="B280" t="s">
        <v>611</v>
      </c>
      <c r="D280">
        <v>0</v>
      </c>
      <c r="F280">
        <v>15</v>
      </c>
      <c r="G280">
        <v>0</v>
      </c>
      <c r="H280">
        <v>3470</v>
      </c>
      <c r="I280">
        <v>710</v>
      </c>
      <c r="J280">
        <v>725</v>
      </c>
      <c r="K280">
        <v>725</v>
      </c>
      <c r="L280">
        <v>0.208933717579251</v>
      </c>
      <c r="M280" t="s">
        <v>657</v>
      </c>
      <c r="N280" t="s">
        <v>657</v>
      </c>
      <c r="O280" t="s">
        <v>657</v>
      </c>
      <c r="P280" t="s">
        <v>657</v>
      </c>
    </row>
    <row r="281" spans="1:16" x14ac:dyDescent="0.25">
      <c r="A281" t="s">
        <v>247</v>
      </c>
      <c r="B281" t="s">
        <v>248</v>
      </c>
      <c r="D281">
        <v>0</v>
      </c>
      <c r="F281">
        <v>0</v>
      </c>
      <c r="G281">
        <v>0</v>
      </c>
      <c r="H281">
        <v>218</v>
      </c>
      <c r="I281">
        <v>28</v>
      </c>
      <c r="J281">
        <v>28</v>
      </c>
      <c r="K281">
        <v>28</v>
      </c>
      <c r="L281">
        <v>0.12844036697247699</v>
      </c>
      <c r="M281" t="s">
        <v>657</v>
      </c>
      <c r="N281" t="s">
        <v>92</v>
      </c>
      <c r="O281" t="s">
        <v>657</v>
      </c>
      <c r="P281" t="s">
        <v>657</v>
      </c>
    </row>
    <row r="282" spans="1:16" x14ac:dyDescent="0.25">
      <c r="A282" t="s">
        <v>249</v>
      </c>
      <c r="B282" t="s">
        <v>250</v>
      </c>
      <c r="D282">
        <v>0</v>
      </c>
      <c r="F282">
        <v>1</v>
      </c>
      <c r="G282">
        <v>0</v>
      </c>
      <c r="H282">
        <v>768</v>
      </c>
      <c r="I282">
        <v>75</v>
      </c>
      <c r="J282">
        <v>76</v>
      </c>
      <c r="K282">
        <v>76</v>
      </c>
      <c r="L282">
        <v>9.8958333333333301E-2</v>
      </c>
      <c r="M282" t="s">
        <v>657</v>
      </c>
      <c r="N282" t="s">
        <v>92</v>
      </c>
      <c r="O282" t="s">
        <v>657</v>
      </c>
      <c r="P282" t="s">
        <v>657</v>
      </c>
    </row>
    <row r="283" spans="1:16" x14ac:dyDescent="0.25">
      <c r="A283" t="s">
        <v>612</v>
      </c>
      <c r="B283" t="s">
        <v>613</v>
      </c>
      <c r="D283">
        <v>0</v>
      </c>
      <c r="F283">
        <v>1</v>
      </c>
      <c r="G283">
        <v>0</v>
      </c>
      <c r="H283">
        <v>198</v>
      </c>
      <c r="I283">
        <v>33</v>
      </c>
      <c r="J283">
        <v>34</v>
      </c>
      <c r="K283">
        <v>34</v>
      </c>
      <c r="L283">
        <v>0.17171717171717199</v>
      </c>
      <c r="M283" t="s">
        <v>657</v>
      </c>
      <c r="N283" t="s">
        <v>657</v>
      </c>
      <c r="O283" t="s">
        <v>657</v>
      </c>
      <c r="P283" t="s">
        <v>657</v>
      </c>
    </row>
    <row r="284" spans="1:16" x14ac:dyDescent="0.25">
      <c r="A284" t="s">
        <v>63</v>
      </c>
      <c r="B284" t="s">
        <v>45</v>
      </c>
      <c r="C284" t="s">
        <v>63</v>
      </c>
      <c r="D284">
        <v>0</v>
      </c>
      <c r="F284">
        <v>6</v>
      </c>
      <c r="G284">
        <v>0</v>
      </c>
      <c r="H284">
        <v>2228.7327061427782</v>
      </c>
      <c r="I284">
        <v>441.71840873634949</v>
      </c>
      <c r="J284">
        <v>447.71840873634949</v>
      </c>
      <c r="K284">
        <v>572</v>
      </c>
      <c r="L284">
        <v>0.20088474831565001</v>
      </c>
      <c r="M284" t="s">
        <v>657</v>
      </c>
      <c r="N284" t="s">
        <v>657</v>
      </c>
      <c r="O284" t="s">
        <v>657</v>
      </c>
      <c r="P284" t="s">
        <v>657</v>
      </c>
    </row>
    <row r="285" spans="1:16" x14ac:dyDescent="0.25">
      <c r="A285" t="s">
        <v>251</v>
      </c>
      <c r="B285" t="s">
        <v>252</v>
      </c>
      <c r="D285">
        <v>0</v>
      </c>
      <c r="F285">
        <v>22</v>
      </c>
      <c r="G285">
        <v>0</v>
      </c>
      <c r="H285">
        <v>6868</v>
      </c>
      <c r="I285">
        <v>644</v>
      </c>
      <c r="J285">
        <v>666</v>
      </c>
      <c r="K285">
        <v>666</v>
      </c>
      <c r="L285">
        <v>9.6971461852067606E-2</v>
      </c>
      <c r="M285" t="s">
        <v>657</v>
      </c>
      <c r="N285" t="s">
        <v>92</v>
      </c>
      <c r="O285" t="s">
        <v>657</v>
      </c>
      <c r="P285" t="s">
        <v>657</v>
      </c>
    </row>
    <row r="286" spans="1:16" x14ac:dyDescent="0.25">
      <c r="A286" t="s">
        <v>614</v>
      </c>
      <c r="B286" t="s">
        <v>615</v>
      </c>
      <c r="D286">
        <v>0</v>
      </c>
      <c r="F286">
        <v>0</v>
      </c>
      <c r="G286">
        <v>0</v>
      </c>
      <c r="H286">
        <v>810</v>
      </c>
      <c r="I286">
        <v>202</v>
      </c>
      <c r="J286">
        <v>202</v>
      </c>
      <c r="K286">
        <v>202</v>
      </c>
      <c r="L286">
        <v>0.249382716049383</v>
      </c>
      <c r="M286" t="s">
        <v>657</v>
      </c>
      <c r="N286" t="s">
        <v>657</v>
      </c>
      <c r="O286" t="s">
        <v>657</v>
      </c>
      <c r="P286" t="s">
        <v>657</v>
      </c>
    </row>
    <row r="287" spans="1:16" x14ac:dyDescent="0.25">
      <c r="A287" t="s">
        <v>253</v>
      </c>
      <c r="B287" t="s">
        <v>254</v>
      </c>
      <c r="D287">
        <v>0</v>
      </c>
      <c r="F287">
        <v>10</v>
      </c>
      <c r="G287">
        <v>0</v>
      </c>
      <c r="H287">
        <v>5685</v>
      </c>
      <c r="I287">
        <v>457</v>
      </c>
      <c r="J287">
        <v>467</v>
      </c>
      <c r="K287">
        <v>467</v>
      </c>
      <c r="L287">
        <v>8.2145998240984994E-2</v>
      </c>
      <c r="M287" t="s">
        <v>657</v>
      </c>
      <c r="N287" t="s">
        <v>92</v>
      </c>
      <c r="O287" t="s">
        <v>657</v>
      </c>
      <c r="P287" t="s">
        <v>657</v>
      </c>
    </row>
    <row r="288" spans="1:16" x14ac:dyDescent="0.25">
      <c r="A288" t="s">
        <v>616</v>
      </c>
      <c r="B288" t="s">
        <v>617</v>
      </c>
      <c r="D288">
        <v>0</v>
      </c>
      <c r="F288">
        <v>1</v>
      </c>
      <c r="G288">
        <v>0</v>
      </c>
      <c r="H288">
        <v>288</v>
      </c>
      <c r="I288">
        <v>66</v>
      </c>
      <c r="J288">
        <v>67</v>
      </c>
      <c r="K288">
        <v>67</v>
      </c>
      <c r="L288">
        <v>0.23263888888888901</v>
      </c>
      <c r="M288" t="s">
        <v>657</v>
      </c>
      <c r="N288" t="s">
        <v>657</v>
      </c>
      <c r="O288" t="s">
        <v>657</v>
      </c>
      <c r="P288" t="s">
        <v>657</v>
      </c>
    </row>
    <row r="289" spans="1:16" x14ac:dyDescent="0.25">
      <c r="A289" t="s">
        <v>66</v>
      </c>
      <c r="B289" t="s">
        <v>51</v>
      </c>
      <c r="C289" t="s">
        <v>66</v>
      </c>
      <c r="D289">
        <v>0</v>
      </c>
      <c r="F289">
        <v>106</v>
      </c>
      <c r="G289">
        <v>0</v>
      </c>
      <c r="H289">
        <v>24520.728864025979</v>
      </c>
      <c r="I289">
        <v>2705.9525839104963</v>
      </c>
      <c r="J289">
        <v>2811.9525839104963</v>
      </c>
      <c r="K289">
        <v>2847</v>
      </c>
      <c r="L289">
        <v>0.11467654976748599</v>
      </c>
      <c r="M289" t="s">
        <v>657</v>
      </c>
      <c r="N289" t="s">
        <v>92</v>
      </c>
      <c r="O289" t="s">
        <v>657</v>
      </c>
      <c r="P289" t="s">
        <v>657</v>
      </c>
    </row>
    <row r="290" spans="1:16" x14ac:dyDescent="0.25">
      <c r="A290" t="s">
        <v>255</v>
      </c>
      <c r="B290" t="s">
        <v>256</v>
      </c>
      <c r="D290">
        <v>0</v>
      </c>
      <c r="F290">
        <v>0</v>
      </c>
      <c r="G290">
        <v>0</v>
      </c>
      <c r="H290">
        <v>1410</v>
      </c>
      <c r="I290">
        <v>117</v>
      </c>
      <c r="J290">
        <v>117</v>
      </c>
      <c r="K290">
        <v>117</v>
      </c>
      <c r="L290">
        <v>8.29787234042553E-2</v>
      </c>
      <c r="M290" t="s">
        <v>657</v>
      </c>
      <c r="N290" t="s">
        <v>92</v>
      </c>
      <c r="O290" t="s">
        <v>657</v>
      </c>
      <c r="P290" t="s">
        <v>657</v>
      </c>
    </row>
    <row r="291" spans="1:16" x14ac:dyDescent="0.25">
      <c r="A291" t="s">
        <v>618</v>
      </c>
      <c r="B291" t="s">
        <v>619</v>
      </c>
      <c r="D291">
        <v>0</v>
      </c>
      <c r="F291">
        <v>2</v>
      </c>
      <c r="G291">
        <v>0</v>
      </c>
      <c r="H291">
        <v>495</v>
      </c>
      <c r="I291">
        <v>109</v>
      </c>
      <c r="J291">
        <v>111</v>
      </c>
      <c r="K291">
        <v>111</v>
      </c>
      <c r="L291">
        <v>0.22424242424242399</v>
      </c>
      <c r="M291" t="s">
        <v>657</v>
      </c>
      <c r="N291" t="s">
        <v>657</v>
      </c>
      <c r="O291" t="s">
        <v>657</v>
      </c>
      <c r="P291" t="s">
        <v>657</v>
      </c>
    </row>
    <row r="292" spans="1:16" x14ac:dyDescent="0.25">
      <c r="A292" t="s">
        <v>620</v>
      </c>
      <c r="B292" t="s">
        <v>621</v>
      </c>
      <c r="D292">
        <v>0</v>
      </c>
      <c r="F292">
        <v>1</v>
      </c>
      <c r="G292">
        <v>0</v>
      </c>
      <c r="H292">
        <v>2012</v>
      </c>
      <c r="I292">
        <v>351</v>
      </c>
      <c r="J292">
        <v>352</v>
      </c>
      <c r="K292">
        <v>352</v>
      </c>
      <c r="L292">
        <v>0.17495029821073599</v>
      </c>
      <c r="M292" t="s">
        <v>657</v>
      </c>
      <c r="N292" t="s">
        <v>657</v>
      </c>
      <c r="O292" t="s">
        <v>657</v>
      </c>
      <c r="P292" t="s">
        <v>657</v>
      </c>
    </row>
    <row r="293" spans="1:16" x14ac:dyDescent="0.25">
      <c r="A293" t="s">
        <v>622</v>
      </c>
      <c r="B293" t="s">
        <v>623</v>
      </c>
      <c r="D293">
        <v>0</v>
      </c>
      <c r="F293">
        <v>0</v>
      </c>
      <c r="G293">
        <v>0</v>
      </c>
      <c r="H293">
        <v>274</v>
      </c>
      <c r="I293">
        <v>28</v>
      </c>
      <c r="J293">
        <v>28</v>
      </c>
      <c r="K293">
        <v>28</v>
      </c>
      <c r="L293">
        <v>0.102189781021898</v>
      </c>
      <c r="M293" t="s">
        <v>657</v>
      </c>
      <c r="N293" t="s">
        <v>92</v>
      </c>
      <c r="O293" t="s">
        <v>657</v>
      </c>
      <c r="P293" t="s">
        <v>657</v>
      </c>
    </row>
    <row r="294" spans="1:16" x14ac:dyDescent="0.25">
      <c r="A294" t="s">
        <v>624</v>
      </c>
      <c r="B294" t="s">
        <v>1407</v>
      </c>
      <c r="D294">
        <v>0</v>
      </c>
      <c r="F294">
        <v>22</v>
      </c>
      <c r="G294">
        <v>0</v>
      </c>
      <c r="H294">
        <v>5918</v>
      </c>
      <c r="I294">
        <v>796</v>
      </c>
      <c r="J294">
        <v>818</v>
      </c>
      <c r="K294">
        <v>818</v>
      </c>
      <c r="L294">
        <v>0.138222372423116</v>
      </c>
      <c r="M294" t="s">
        <v>657</v>
      </c>
      <c r="N294" t="s">
        <v>92</v>
      </c>
      <c r="O294" t="s">
        <v>657</v>
      </c>
      <c r="P294" t="s">
        <v>657</v>
      </c>
    </row>
    <row r="295" spans="1:16" x14ac:dyDescent="0.25">
      <c r="A295" t="s">
        <v>625</v>
      </c>
      <c r="B295" t="s">
        <v>626</v>
      </c>
      <c r="D295">
        <v>0</v>
      </c>
      <c r="F295">
        <v>25</v>
      </c>
      <c r="G295">
        <v>0</v>
      </c>
      <c r="H295">
        <v>3490</v>
      </c>
      <c r="I295">
        <v>828</v>
      </c>
      <c r="J295">
        <v>853</v>
      </c>
      <c r="K295">
        <v>853</v>
      </c>
      <c r="L295">
        <v>0.24441260744985699</v>
      </c>
      <c r="M295" t="s">
        <v>657</v>
      </c>
      <c r="N295" t="s">
        <v>657</v>
      </c>
      <c r="O295" t="s">
        <v>657</v>
      </c>
      <c r="P295" t="s">
        <v>657</v>
      </c>
    </row>
    <row r="296" spans="1:16" x14ac:dyDescent="0.25">
      <c r="A296" t="s">
        <v>627</v>
      </c>
      <c r="B296" t="s">
        <v>628</v>
      </c>
      <c r="D296">
        <v>0</v>
      </c>
      <c r="F296">
        <v>4</v>
      </c>
      <c r="G296">
        <v>0</v>
      </c>
      <c r="H296">
        <v>865</v>
      </c>
      <c r="I296">
        <v>175</v>
      </c>
      <c r="J296">
        <v>179</v>
      </c>
      <c r="K296">
        <v>179</v>
      </c>
      <c r="L296">
        <v>0.20693641618497099</v>
      </c>
      <c r="M296" t="s">
        <v>657</v>
      </c>
      <c r="N296" t="s">
        <v>657</v>
      </c>
      <c r="O296" t="s">
        <v>657</v>
      </c>
      <c r="P296" t="s">
        <v>657</v>
      </c>
    </row>
    <row r="297" spans="1:16" x14ac:dyDescent="0.25">
      <c r="A297" t="s">
        <v>257</v>
      </c>
      <c r="B297" t="s">
        <v>258</v>
      </c>
      <c r="D297">
        <v>0</v>
      </c>
      <c r="F297">
        <v>8</v>
      </c>
      <c r="G297">
        <v>0</v>
      </c>
      <c r="H297">
        <v>3739</v>
      </c>
      <c r="I297">
        <v>266</v>
      </c>
      <c r="J297">
        <v>274</v>
      </c>
      <c r="K297">
        <v>274</v>
      </c>
      <c r="L297">
        <v>7.32816261032362E-2</v>
      </c>
      <c r="M297" t="s">
        <v>657</v>
      </c>
      <c r="N297" t="s">
        <v>92</v>
      </c>
      <c r="O297" t="s">
        <v>657</v>
      </c>
      <c r="P297" t="s">
        <v>657</v>
      </c>
    </row>
    <row r="298" spans="1:16" x14ac:dyDescent="0.25">
      <c r="A298" t="s">
        <v>629</v>
      </c>
      <c r="B298" t="s">
        <v>630</v>
      </c>
      <c r="D298">
        <v>0</v>
      </c>
      <c r="F298">
        <v>0</v>
      </c>
      <c r="G298">
        <v>0</v>
      </c>
      <c r="H298">
        <v>67</v>
      </c>
      <c r="I298">
        <v>7</v>
      </c>
      <c r="J298">
        <v>7</v>
      </c>
      <c r="K298">
        <v>7</v>
      </c>
      <c r="L298">
        <v>0.104477611940298</v>
      </c>
      <c r="M298" t="s">
        <v>92</v>
      </c>
      <c r="N298" t="s">
        <v>92</v>
      </c>
      <c r="O298" t="s">
        <v>92</v>
      </c>
      <c r="P298" t="s">
        <v>92</v>
      </c>
    </row>
    <row r="299" spans="1:16" x14ac:dyDescent="0.25">
      <c r="A299" t="s">
        <v>631</v>
      </c>
      <c r="B299" t="s">
        <v>632</v>
      </c>
      <c r="D299">
        <v>0</v>
      </c>
      <c r="F299">
        <v>0</v>
      </c>
      <c r="G299">
        <v>0</v>
      </c>
      <c r="H299">
        <v>328</v>
      </c>
      <c r="I299">
        <v>42</v>
      </c>
      <c r="J299">
        <v>42</v>
      </c>
      <c r="K299">
        <v>42</v>
      </c>
      <c r="L299">
        <v>0.12804878048780499</v>
      </c>
      <c r="M299" t="s">
        <v>657</v>
      </c>
      <c r="N299" t="s">
        <v>92</v>
      </c>
      <c r="O299" t="s">
        <v>657</v>
      </c>
      <c r="P299" t="s">
        <v>657</v>
      </c>
    </row>
    <row r="300" spans="1:16" x14ac:dyDescent="0.25">
      <c r="A300" t="s">
        <v>633</v>
      </c>
      <c r="B300" t="s">
        <v>634</v>
      </c>
      <c r="D300">
        <v>0</v>
      </c>
      <c r="F300">
        <v>12</v>
      </c>
      <c r="G300">
        <v>0</v>
      </c>
      <c r="H300">
        <v>315</v>
      </c>
      <c r="I300">
        <v>63</v>
      </c>
      <c r="J300">
        <v>75</v>
      </c>
      <c r="K300">
        <v>75</v>
      </c>
      <c r="L300">
        <v>0.238095238095238</v>
      </c>
      <c r="M300" t="s">
        <v>657</v>
      </c>
      <c r="N300" t="s">
        <v>657</v>
      </c>
      <c r="O300" t="s">
        <v>657</v>
      </c>
      <c r="P300" t="s">
        <v>657</v>
      </c>
    </row>
    <row r="301" spans="1:16" x14ac:dyDescent="0.25">
      <c r="A301" t="s">
        <v>67</v>
      </c>
      <c r="B301" t="s">
        <v>1397</v>
      </c>
      <c r="C301" t="s">
        <v>67</v>
      </c>
      <c r="D301">
        <v>0</v>
      </c>
      <c r="F301">
        <v>42</v>
      </c>
      <c r="G301">
        <v>0</v>
      </c>
      <c r="H301">
        <v>7924.8460388639733</v>
      </c>
      <c r="I301">
        <v>844.41265474552949</v>
      </c>
      <c r="J301">
        <v>886.41265474552949</v>
      </c>
      <c r="K301">
        <v>914</v>
      </c>
      <c r="L301">
        <v>0.111852350241065</v>
      </c>
      <c r="M301" t="s">
        <v>657</v>
      </c>
      <c r="N301" t="s">
        <v>92</v>
      </c>
      <c r="O301" t="s">
        <v>657</v>
      </c>
      <c r="P301" t="s">
        <v>657</v>
      </c>
    </row>
    <row r="302" spans="1:16" x14ac:dyDescent="0.25">
      <c r="A302" t="s">
        <v>310</v>
      </c>
      <c r="B302" t="s">
        <v>1393</v>
      </c>
      <c r="D302">
        <v>0</v>
      </c>
      <c r="F302">
        <v>34</v>
      </c>
      <c r="G302">
        <v>0</v>
      </c>
      <c r="H302">
        <v>3207</v>
      </c>
      <c r="I302">
        <v>396</v>
      </c>
      <c r="J302">
        <v>430</v>
      </c>
      <c r="K302">
        <v>430</v>
      </c>
      <c r="L302">
        <v>0.134081696289367</v>
      </c>
      <c r="M302" t="s">
        <v>657</v>
      </c>
      <c r="N302" t="s">
        <v>92</v>
      </c>
      <c r="O302" t="s">
        <v>657</v>
      </c>
      <c r="P302" t="s">
        <v>657</v>
      </c>
    </row>
    <row r="303" spans="1:16" x14ac:dyDescent="0.25">
      <c r="A303" t="s">
        <v>259</v>
      </c>
      <c r="B303" t="s">
        <v>1392</v>
      </c>
      <c r="D303">
        <v>0</v>
      </c>
      <c r="F303">
        <v>28</v>
      </c>
      <c r="G303">
        <v>0</v>
      </c>
      <c r="H303">
        <v>6288</v>
      </c>
      <c r="I303">
        <v>713</v>
      </c>
      <c r="J303">
        <v>741</v>
      </c>
      <c r="K303">
        <v>741</v>
      </c>
      <c r="L303">
        <v>0.11784351145038199</v>
      </c>
      <c r="M303" t="s">
        <v>657</v>
      </c>
      <c r="N303" t="s">
        <v>92</v>
      </c>
      <c r="O303" t="s">
        <v>657</v>
      </c>
      <c r="P303" t="s">
        <v>657</v>
      </c>
    </row>
    <row r="304" spans="1:16" x14ac:dyDescent="0.25">
      <c r="A304" t="s">
        <v>71</v>
      </c>
      <c r="B304" t="s">
        <v>1389</v>
      </c>
      <c r="C304" t="s">
        <v>59</v>
      </c>
      <c r="D304">
        <v>0</v>
      </c>
      <c r="E304">
        <v>0</v>
      </c>
      <c r="F304">
        <v>0</v>
      </c>
      <c r="G304">
        <v>0</v>
      </c>
      <c r="H304">
        <v>74.901315789473657</v>
      </c>
      <c r="I304">
        <v>7.9857569492304208</v>
      </c>
      <c r="J304">
        <v>7.9857569492304208</v>
      </c>
      <c r="K304">
        <v>0</v>
      </c>
      <c r="L304">
        <v>0.106617044908478</v>
      </c>
      <c r="M304" t="s">
        <v>92</v>
      </c>
      <c r="N304" t="s">
        <v>92</v>
      </c>
      <c r="O304" t="s">
        <v>92</v>
      </c>
      <c r="P304" t="s">
        <v>92</v>
      </c>
    </row>
    <row r="305" spans="1:16" x14ac:dyDescent="0.25">
      <c r="A305" t="s">
        <v>635</v>
      </c>
      <c r="B305" t="s">
        <v>636</v>
      </c>
      <c r="D305">
        <v>0</v>
      </c>
      <c r="F305">
        <v>3</v>
      </c>
      <c r="G305">
        <v>0</v>
      </c>
      <c r="H305">
        <v>468</v>
      </c>
      <c r="I305">
        <v>60</v>
      </c>
      <c r="J305">
        <v>63</v>
      </c>
      <c r="K305">
        <v>63</v>
      </c>
      <c r="L305">
        <v>0.134615384615385</v>
      </c>
      <c r="M305" t="s">
        <v>657</v>
      </c>
      <c r="N305" t="s">
        <v>92</v>
      </c>
      <c r="O305" t="s">
        <v>657</v>
      </c>
      <c r="P305" t="s">
        <v>657</v>
      </c>
    </row>
    <row r="306" spans="1:16" x14ac:dyDescent="0.25">
      <c r="A306" t="s">
        <v>260</v>
      </c>
      <c r="B306" t="s">
        <v>261</v>
      </c>
      <c r="D306">
        <v>0</v>
      </c>
      <c r="F306">
        <v>3</v>
      </c>
      <c r="G306">
        <v>0</v>
      </c>
      <c r="H306">
        <v>4695</v>
      </c>
      <c r="I306">
        <v>226</v>
      </c>
      <c r="J306">
        <v>229</v>
      </c>
      <c r="K306">
        <v>229</v>
      </c>
      <c r="L306">
        <v>4.87752928647497E-2</v>
      </c>
      <c r="M306" t="s">
        <v>657</v>
      </c>
      <c r="N306" t="s">
        <v>92</v>
      </c>
      <c r="O306" t="s">
        <v>92</v>
      </c>
      <c r="P306" t="s">
        <v>92</v>
      </c>
    </row>
    <row r="307" spans="1:16" x14ac:dyDescent="0.25">
      <c r="A307" t="s">
        <v>311</v>
      </c>
      <c r="B307" t="s">
        <v>312</v>
      </c>
      <c r="D307">
        <v>0</v>
      </c>
      <c r="F307">
        <v>0</v>
      </c>
      <c r="G307">
        <v>0</v>
      </c>
      <c r="H307">
        <v>1210</v>
      </c>
      <c r="I307">
        <v>148</v>
      </c>
      <c r="J307">
        <v>148</v>
      </c>
      <c r="K307">
        <v>148</v>
      </c>
      <c r="L307">
        <v>0.122314049586777</v>
      </c>
      <c r="M307" t="s">
        <v>657</v>
      </c>
      <c r="N307" t="s">
        <v>92</v>
      </c>
      <c r="O307" t="s">
        <v>657</v>
      </c>
      <c r="P307" t="s">
        <v>657</v>
      </c>
    </row>
    <row r="308" spans="1:16" x14ac:dyDescent="0.25">
      <c r="A308" t="s">
        <v>73</v>
      </c>
      <c r="B308" t="s">
        <v>1404</v>
      </c>
      <c r="C308" t="s">
        <v>60</v>
      </c>
      <c r="D308">
        <v>0</v>
      </c>
      <c r="E308">
        <v>0</v>
      </c>
      <c r="F308">
        <v>0</v>
      </c>
      <c r="G308">
        <v>0</v>
      </c>
      <c r="H308">
        <v>280.44801240172728</v>
      </c>
      <c r="I308">
        <v>45.651880511067233</v>
      </c>
      <c r="J308">
        <v>45.651880511067233</v>
      </c>
      <c r="K308">
        <v>0</v>
      </c>
      <c r="L308">
        <v>0.162781972031498</v>
      </c>
      <c r="M308" t="s">
        <v>657</v>
      </c>
      <c r="N308" t="s">
        <v>657</v>
      </c>
      <c r="O308" t="s">
        <v>657</v>
      </c>
      <c r="P308" t="s">
        <v>657</v>
      </c>
    </row>
    <row r="309" spans="1:16" x14ac:dyDescent="0.25">
      <c r="A309" t="s">
        <v>262</v>
      </c>
      <c r="B309" t="s">
        <v>263</v>
      </c>
      <c r="D309">
        <v>0</v>
      </c>
      <c r="F309">
        <v>0</v>
      </c>
      <c r="G309">
        <v>0</v>
      </c>
      <c r="H309">
        <v>226</v>
      </c>
      <c r="I309">
        <v>33</v>
      </c>
      <c r="J309">
        <v>33</v>
      </c>
      <c r="K309">
        <v>33</v>
      </c>
      <c r="L309">
        <v>0.146017699115044</v>
      </c>
      <c r="M309" t="s">
        <v>657</v>
      </c>
      <c r="N309" t="s">
        <v>92</v>
      </c>
      <c r="O309" t="s">
        <v>657</v>
      </c>
      <c r="P309" t="s">
        <v>657</v>
      </c>
    </row>
    <row r="310" spans="1:16" x14ac:dyDescent="0.25">
      <c r="A310" t="s">
        <v>637</v>
      </c>
      <c r="B310" t="s">
        <v>638</v>
      </c>
      <c r="D310">
        <v>0</v>
      </c>
      <c r="F310">
        <v>3</v>
      </c>
      <c r="G310">
        <v>0</v>
      </c>
      <c r="H310">
        <v>327</v>
      </c>
      <c r="I310">
        <v>34</v>
      </c>
      <c r="J310">
        <v>37</v>
      </c>
      <c r="K310">
        <v>37</v>
      </c>
      <c r="L310">
        <v>0.113149847094801</v>
      </c>
      <c r="M310" t="s">
        <v>657</v>
      </c>
      <c r="N310" t="s">
        <v>92</v>
      </c>
      <c r="O310" t="s">
        <v>657</v>
      </c>
      <c r="P310" t="s">
        <v>657</v>
      </c>
    </row>
    <row r="311" spans="1:16" x14ac:dyDescent="0.25">
      <c r="A311" t="s">
        <v>639</v>
      </c>
      <c r="B311" t="s">
        <v>640</v>
      </c>
      <c r="D311">
        <v>0</v>
      </c>
      <c r="F311">
        <v>0</v>
      </c>
      <c r="G311">
        <v>0</v>
      </c>
      <c r="H311">
        <v>112</v>
      </c>
      <c r="I311">
        <v>15</v>
      </c>
      <c r="J311">
        <v>15</v>
      </c>
      <c r="K311">
        <v>15</v>
      </c>
      <c r="L311">
        <v>0.13392857142857101</v>
      </c>
      <c r="M311" t="s">
        <v>657</v>
      </c>
      <c r="N311" t="s">
        <v>92</v>
      </c>
      <c r="O311" t="s">
        <v>657</v>
      </c>
      <c r="P311" t="s">
        <v>657</v>
      </c>
    </row>
    <row r="312" spans="1:16" x14ac:dyDescent="0.25">
      <c r="A312" t="s">
        <v>641</v>
      </c>
      <c r="B312" t="s">
        <v>642</v>
      </c>
      <c r="D312">
        <v>0</v>
      </c>
      <c r="F312">
        <v>0</v>
      </c>
      <c r="G312">
        <v>0</v>
      </c>
      <c r="H312">
        <v>810</v>
      </c>
      <c r="I312">
        <v>102</v>
      </c>
      <c r="J312">
        <v>102</v>
      </c>
      <c r="K312">
        <v>102</v>
      </c>
      <c r="L312">
        <v>0.125925925925926</v>
      </c>
      <c r="M312" t="s">
        <v>657</v>
      </c>
      <c r="N312" t="s">
        <v>92</v>
      </c>
      <c r="O312" t="s">
        <v>657</v>
      </c>
      <c r="P312" t="s">
        <v>657</v>
      </c>
    </row>
    <row r="313" spans="1:16" x14ac:dyDescent="0.25">
      <c r="A313" t="s">
        <v>643</v>
      </c>
      <c r="B313" t="s">
        <v>644</v>
      </c>
      <c r="D313">
        <v>0</v>
      </c>
      <c r="F313">
        <v>0</v>
      </c>
      <c r="G313">
        <v>0</v>
      </c>
      <c r="H313">
        <v>146</v>
      </c>
      <c r="I313">
        <v>21</v>
      </c>
      <c r="J313">
        <v>21</v>
      </c>
      <c r="K313">
        <v>21</v>
      </c>
      <c r="L313">
        <v>0.14383561643835599</v>
      </c>
      <c r="M313" t="s">
        <v>657</v>
      </c>
      <c r="N313" t="s">
        <v>92</v>
      </c>
      <c r="O313" t="s">
        <v>657</v>
      </c>
      <c r="P313" t="s">
        <v>657</v>
      </c>
    </row>
    <row r="314" spans="1:16" x14ac:dyDescent="0.25">
      <c r="A314" t="s">
        <v>645</v>
      </c>
      <c r="B314" t="s">
        <v>646</v>
      </c>
      <c r="D314">
        <v>0</v>
      </c>
      <c r="F314">
        <v>0</v>
      </c>
      <c r="G314">
        <v>0</v>
      </c>
      <c r="H314">
        <v>43</v>
      </c>
      <c r="I314">
        <v>16</v>
      </c>
      <c r="J314">
        <v>16</v>
      </c>
      <c r="K314">
        <v>16</v>
      </c>
      <c r="L314">
        <v>0.372093023255814</v>
      </c>
      <c r="M314" t="s">
        <v>657</v>
      </c>
      <c r="N314" t="s">
        <v>657</v>
      </c>
      <c r="O314" t="s">
        <v>657</v>
      </c>
      <c r="P314" t="s">
        <v>657</v>
      </c>
    </row>
    <row r="315" spans="1:16" x14ac:dyDescent="0.25">
      <c r="A315" t="s">
        <v>647</v>
      </c>
      <c r="B315" t="s">
        <v>648</v>
      </c>
      <c r="D315">
        <v>0</v>
      </c>
      <c r="F315">
        <v>7</v>
      </c>
      <c r="G315">
        <v>0</v>
      </c>
      <c r="H315">
        <v>2649</v>
      </c>
      <c r="I315">
        <v>239</v>
      </c>
      <c r="J315">
        <v>246</v>
      </c>
      <c r="K315">
        <v>246</v>
      </c>
      <c r="L315">
        <v>9.2865232163080402E-2</v>
      </c>
      <c r="M315" t="s">
        <v>657</v>
      </c>
      <c r="N315" t="s">
        <v>92</v>
      </c>
      <c r="O315" t="s">
        <v>657</v>
      </c>
      <c r="P315" t="s">
        <v>657</v>
      </c>
    </row>
    <row r="316" spans="1:16" x14ac:dyDescent="0.25">
      <c r="A316" t="s">
        <v>649</v>
      </c>
      <c r="B316" t="s">
        <v>650</v>
      </c>
      <c r="D316">
        <v>0</v>
      </c>
      <c r="F316">
        <v>66</v>
      </c>
      <c r="G316">
        <v>0</v>
      </c>
      <c r="H316">
        <v>16521</v>
      </c>
      <c r="I316">
        <v>4230</v>
      </c>
      <c r="J316">
        <v>4296</v>
      </c>
      <c r="K316">
        <v>4296</v>
      </c>
      <c r="L316">
        <v>0.26003268567277998</v>
      </c>
      <c r="M316" t="s">
        <v>657</v>
      </c>
      <c r="N316" t="s">
        <v>657</v>
      </c>
      <c r="O316" t="s">
        <v>657</v>
      </c>
      <c r="P316" t="s">
        <v>657</v>
      </c>
    </row>
    <row r="317" spans="1:16" x14ac:dyDescent="0.25">
      <c r="A317" t="s">
        <v>651</v>
      </c>
      <c r="B317" t="s">
        <v>652</v>
      </c>
      <c r="D317">
        <v>0</v>
      </c>
      <c r="F317">
        <v>27</v>
      </c>
      <c r="G317">
        <v>0</v>
      </c>
      <c r="H317">
        <v>6528</v>
      </c>
      <c r="I317">
        <v>575</v>
      </c>
      <c r="J317">
        <v>602</v>
      </c>
      <c r="K317">
        <v>602</v>
      </c>
      <c r="L317">
        <v>9.2218137254901994E-2</v>
      </c>
      <c r="M317" t="s">
        <v>657</v>
      </c>
      <c r="N317" t="s">
        <v>92</v>
      </c>
      <c r="O317" t="s">
        <v>657</v>
      </c>
      <c r="P317" t="s">
        <v>657</v>
      </c>
    </row>
    <row r="318" spans="1:16" x14ac:dyDescent="0.25">
      <c r="A318" t="s">
        <v>653</v>
      </c>
      <c r="B318" t="s">
        <v>654</v>
      </c>
      <c r="D318">
        <v>0</v>
      </c>
      <c r="F318">
        <v>13</v>
      </c>
      <c r="G318">
        <v>0</v>
      </c>
      <c r="H318">
        <v>1203</v>
      </c>
      <c r="I318">
        <v>136</v>
      </c>
      <c r="J318">
        <v>149</v>
      </c>
      <c r="K318">
        <v>149</v>
      </c>
      <c r="L318">
        <v>0.123857024106401</v>
      </c>
      <c r="M318" t="s">
        <v>657</v>
      </c>
      <c r="N318" t="s">
        <v>92</v>
      </c>
      <c r="O318" t="s">
        <v>657</v>
      </c>
      <c r="P318" t="s">
        <v>657</v>
      </c>
    </row>
  </sheetData>
  <sheetProtection algorithmName="SHA-512" hashValue="UtvylaSds8NN2jGzQaAMxocpHTCWigtVs03fbB3QJELyDw/F1RFKpLwYq8tOijbarP4TsArksk9urCu11kjSTg==" saltValue="ktybBRoZc0vMcaL/Bo66UQ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4C182-92C9-430D-B4F1-923CD86FD3EA}">
  <sheetPr>
    <tabColor rgb="FF7030A0"/>
  </sheetPr>
  <dimension ref="A1:AH42"/>
  <sheetViews>
    <sheetView workbookViewId="0"/>
  </sheetViews>
  <sheetFormatPr defaultRowHeight="15" x14ac:dyDescent="0.25"/>
  <cols>
    <col min="1" max="1" width="9.42578125" bestFit="1" customWidth="1"/>
    <col min="2" max="2" width="47.5703125" bestFit="1" customWidth="1"/>
    <col min="3" max="3" width="15.42578125" bestFit="1" customWidth="1"/>
    <col min="4" max="4" width="8.140625" bestFit="1" customWidth="1"/>
    <col min="5" max="5" width="8.85546875" bestFit="1" customWidth="1"/>
    <col min="6" max="6" width="13.42578125" bestFit="1" customWidth="1"/>
    <col min="7" max="8" width="52" bestFit="1" customWidth="1"/>
    <col min="9" max="9" width="57.28515625" bestFit="1" customWidth="1"/>
    <col min="10" max="10" width="29.5703125" bestFit="1" customWidth="1"/>
    <col min="11" max="11" width="74.5703125" bestFit="1" customWidth="1"/>
    <col min="12" max="12" width="76.140625" bestFit="1" customWidth="1"/>
    <col min="13" max="13" width="66.85546875" bestFit="1" customWidth="1"/>
    <col min="14" max="14" width="74.28515625" bestFit="1" customWidth="1"/>
    <col min="15" max="15" width="50.5703125" bestFit="1" customWidth="1"/>
    <col min="16" max="16" width="45.5703125" bestFit="1" customWidth="1"/>
    <col min="17" max="17" width="46" bestFit="1" customWidth="1"/>
    <col min="18" max="18" width="48.85546875" bestFit="1" customWidth="1"/>
    <col min="19" max="19" width="45.140625" bestFit="1" customWidth="1"/>
    <col min="20" max="20" width="51.140625" bestFit="1" customWidth="1"/>
    <col min="21" max="21" width="30" bestFit="1" customWidth="1"/>
    <col min="22" max="22" width="30.28515625" bestFit="1" customWidth="1"/>
    <col min="23" max="23" width="34" bestFit="1" customWidth="1"/>
    <col min="24" max="24" width="29.5703125" bestFit="1" customWidth="1"/>
    <col min="25" max="25" width="29.28515625" bestFit="1" customWidth="1"/>
    <col min="26" max="26" width="45.140625" bestFit="1" customWidth="1"/>
    <col min="27" max="27" width="51.140625" bestFit="1" customWidth="1"/>
    <col min="28" max="28" width="30" bestFit="1" customWidth="1"/>
    <col min="29" max="29" width="30.28515625" bestFit="1" customWidth="1"/>
    <col min="30" max="30" width="34" bestFit="1" customWidth="1"/>
    <col min="31" max="31" width="29.5703125" bestFit="1" customWidth="1"/>
    <col min="32" max="32" width="29.28515625" customWidth="1"/>
    <col min="33" max="33" width="29.28515625" bestFit="1" customWidth="1"/>
    <col min="34" max="34" width="41.5703125" bestFit="1" customWidth="1"/>
    <col min="35" max="35" width="32" bestFit="1" customWidth="1"/>
    <col min="36" max="36" width="31.7109375" bestFit="1" customWidth="1"/>
    <col min="37" max="37" width="35.42578125" bestFit="1" customWidth="1"/>
    <col min="38" max="38" width="31.42578125" bestFit="1" customWidth="1"/>
    <col min="39" max="39" width="37.28515625" bestFit="1" customWidth="1"/>
    <col min="40" max="40" width="28.42578125" bestFit="1" customWidth="1"/>
    <col min="41" max="41" width="28.28515625" bestFit="1" customWidth="1"/>
    <col min="42" max="42" width="32" bestFit="1" customWidth="1"/>
    <col min="43" max="44" width="28" bestFit="1" customWidth="1"/>
    <col min="45" max="45" width="22.140625" bestFit="1" customWidth="1"/>
  </cols>
  <sheetData>
    <row r="1" spans="1:25" x14ac:dyDescent="0.25">
      <c r="A1" t="s">
        <v>0</v>
      </c>
      <c r="B1" t="s">
        <v>1318</v>
      </c>
      <c r="C1" t="s">
        <v>1319</v>
      </c>
      <c r="D1" t="s">
        <v>68</v>
      </c>
      <c r="E1" t="s">
        <v>5</v>
      </c>
      <c r="F1" t="s">
        <v>659</v>
      </c>
      <c r="G1" t="s">
        <v>1346</v>
      </c>
      <c r="H1" t="s">
        <v>1347</v>
      </c>
      <c r="I1" t="s">
        <v>1386</v>
      </c>
      <c r="J1" t="s">
        <v>1348</v>
      </c>
      <c r="K1" t="s">
        <v>1349</v>
      </c>
      <c r="L1" t="s">
        <v>1350</v>
      </c>
      <c r="M1" t="s">
        <v>1368</v>
      </c>
      <c r="N1" t="s">
        <v>1351</v>
      </c>
      <c r="O1" t="s">
        <v>1369</v>
      </c>
      <c r="P1" t="s">
        <v>1352</v>
      </c>
      <c r="Q1" t="s">
        <v>1353</v>
      </c>
      <c r="R1" t="s">
        <v>1354</v>
      </c>
      <c r="S1" t="s">
        <v>1355</v>
      </c>
      <c r="T1" t="s">
        <v>1356</v>
      </c>
      <c r="U1" t="s">
        <v>1357</v>
      </c>
      <c r="V1" t="s">
        <v>1358</v>
      </c>
      <c r="W1" t="s">
        <v>1359</v>
      </c>
      <c r="X1" t="s">
        <v>1360</v>
      </c>
      <c r="Y1" t="s">
        <v>1361</v>
      </c>
    </row>
    <row r="2" spans="1:25" x14ac:dyDescent="0.25">
      <c r="A2" t="s">
        <v>8</v>
      </c>
      <c r="B2" t="s">
        <v>1403</v>
      </c>
      <c r="C2" t="s">
        <v>58</v>
      </c>
      <c r="D2" t="s">
        <v>69</v>
      </c>
      <c r="E2" t="s">
        <v>92</v>
      </c>
      <c r="F2" t="s">
        <v>657</v>
      </c>
      <c r="G2">
        <v>85.072388059701495</v>
      </c>
      <c r="H2">
        <v>0.13928522931482101</v>
      </c>
      <c r="I2">
        <v>65</v>
      </c>
      <c r="J2" t="s">
        <v>1547</v>
      </c>
      <c r="K2">
        <v>52755.711029081001</v>
      </c>
      <c r="L2">
        <v>28804.343879735923</v>
      </c>
      <c r="M2">
        <v>0</v>
      </c>
      <c r="N2">
        <v>39719.279409568313</v>
      </c>
      <c r="O2">
        <v>121279.33431838523</v>
      </c>
      <c r="P2">
        <v>73185.513548353993</v>
      </c>
      <c r="Q2">
        <v>0</v>
      </c>
      <c r="R2">
        <v>41033.186735469535</v>
      </c>
      <c r="S2">
        <v>56575.377516384979</v>
      </c>
      <c r="T2">
        <v>170794.07780020853</v>
      </c>
      <c r="U2">
        <v>69046.989554330052</v>
      </c>
      <c r="V2">
        <v>0</v>
      </c>
      <c r="W2">
        <v>37699.297236030499</v>
      </c>
      <c r="X2">
        <v>51984.830021269336</v>
      </c>
      <c r="Y2">
        <v>158731.11681162988</v>
      </c>
    </row>
    <row r="3" spans="1:25" x14ac:dyDescent="0.25">
      <c r="A3" t="s">
        <v>13</v>
      </c>
      <c r="B3" t="s">
        <v>1389</v>
      </c>
      <c r="C3" t="s">
        <v>59</v>
      </c>
      <c r="D3" t="s">
        <v>71</v>
      </c>
      <c r="E3" t="s">
        <v>92</v>
      </c>
      <c r="F3" t="s">
        <v>92</v>
      </c>
      <c r="G3">
        <v>7.9857569492304208</v>
      </c>
      <c r="H3">
        <v>0.106617044908478</v>
      </c>
      <c r="I3">
        <v>12</v>
      </c>
      <c r="J3" t="s">
        <v>1438</v>
      </c>
      <c r="K3">
        <v>9614.6000607706683</v>
      </c>
      <c r="L3">
        <v>6118.2888850737545</v>
      </c>
      <c r="M3">
        <v>0</v>
      </c>
      <c r="N3">
        <v>8436.7145021367051</v>
      </c>
      <c r="O3">
        <v>24169.603447981128</v>
      </c>
      <c r="P3">
        <v>0</v>
      </c>
      <c r="Q3">
        <v>0</v>
      </c>
      <c r="R3">
        <v>0</v>
      </c>
      <c r="S3">
        <v>0</v>
      </c>
      <c r="T3">
        <v>0</v>
      </c>
      <c r="U3">
        <v>9614.6000607706683</v>
      </c>
      <c r="V3">
        <v>0</v>
      </c>
      <c r="W3">
        <v>6118.2888850737545</v>
      </c>
      <c r="X3">
        <v>8436.7145021367051</v>
      </c>
      <c r="Y3">
        <v>24169.603447981128</v>
      </c>
    </row>
    <row r="4" spans="1:25" x14ac:dyDescent="0.25">
      <c r="A4" t="s">
        <v>11</v>
      </c>
      <c r="B4" t="s">
        <v>12</v>
      </c>
      <c r="C4" t="s">
        <v>58</v>
      </c>
      <c r="D4" t="s">
        <v>70</v>
      </c>
      <c r="E4" t="s">
        <v>92</v>
      </c>
      <c r="F4" t="s">
        <v>92</v>
      </c>
      <c r="G4">
        <v>18.010820895522368</v>
      </c>
      <c r="H4">
        <v>0.20948192116852299</v>
      </c>
      <c r="I4">
        <v>18</v>
      </c>
      <c r="J4" t="s">
        <v>1548</v>
      </c>
      <c r="K4">
        <v>14184.318531403884</v>
      </c>
      <c r="L4">
        <v>7744.5641563441086</v>
      </c>
      <c r="M4">
        <v>3714.9515232200738</v>
      </c>
      <c r="N4">
        <v>10679.24021861037</v>
      </c>
      <c r="O4">
        <v>36323.074429578439</v>
      </c>
      <c r="P4">
        <v>15494.230345822674</v>
      </c>
      <c r="Q4">
        <v>4083.0261051697285</v>
      </c>
      <c r="R4">
        <v>8687.2062007525492</v>
      </c>
      <c r="S4">
        <v>11977.67001473014</v>
      </c>
      <c r="T4">
        <v>40242.132666475089</v>
      </c>
      <c r="U4">
        <v>14184.318531403884</v>
      </c>
      <c r="V4">
        <v>3714.9515232200738</v>
      </c>
      <c r="W4">
        <v>7744.5641563441086</v>
      </c>
      <c r="X4">
        <v>10679.24021861037</v>
      </c>
      <c r="Y4">
        <v>36323.074429578439</v>
      </c>
    </row>
    <row r="5" spans="1:25" x14ac:dyDescent="0.25">
      <c r="A5" t="s">
        <v>19</v>
      </c>
      <c r="B5" t="s">
        <v>1404</v>
      </c>
      <c r="C5" t="s">
        <v>60</v>
      </c>
      <c r="D5" t="s">
        <v>73</v>
      </c>
      <c r="E5" t="s">
        <v>92</v>
      </c>
      <c r="F5" t="s">
        <v>657</v>
      </c>
      <c r="G5">
        <v>45.651880511067233</v>
      </c>
      <c r="H5">
        <v>0.162781972031498</v>
      </c>
      <c r="I5">
        <v>37</v>
      </c>
      <c r="J5" t="s">
        <v>1549</v>
      </c>
      <c r="K5">
        <v>29510.685488897456</v>
      </c>
      <c r="L5">
        <v>22641.882091211166</v>
      </c>
      <c r="M5">
        <v>7729.0118496371269</v>
      </c>
      <c r="N5">
        <v>31221.653403881042</v>
      </c>
      <c r="O5">
        <v>91103.232833626796</v>
      </c>
      <c r="P5">
        <v>39273.099014287531</v>
      </c>
      <c r="Q5">
        <v>10349.212895849554</v>
      </c>
      <c r="R5">
        <v>28697.813676823946</v>
      </c>
      <c r="S5">
        <v>39567.719980611248</v>
      </c>
      <c r="T5">
        <v>117887.84556757228</v>
      </c>
      <c r="U5">
        <v>36411.305074022493</v>
      </c>
      <c r="V5">
        <v>9536.3223088718059</v>
      </c>
      <c r="W5">
        <v>27936.337723612032</v>
      </c>
      <c r="X5">
        <v>38522.356501403592</v>
      </c>
      <c r="Y5">
        <v>112406.32160790992</v>
      </c>
    </row>
    <row r="6" spans="1:25" x14ac:dyDescent="0.25">
      <c r="A6" t="s">
        <v>22</v>
      </c>
      <c r="B6" t="s">
        <v>23</v>
      </c>
      <c r="C6" t="s">
        <v>62</v>
      </c>
      <c r="D6" t="s">
        <v>75</v>
      </c>
      <c r="E6" t="s">
        <v>92</v>
      </c>
      <c r="F6" t="s">
        <v>657</v>
      </c>
      <c r="G6">
        <v>76.240890860995222</v>
      </c>
      <c r="H6">
        <v>0.24748669826425601</v>
      </c>
      <c r="I6">
        <v>50</v>
      </c>
      <c r="J6" t="s">
        <v>1550</v>
      </c>
      <c r="K6">
        <v>40568.614060721447</v>
      </c>
      <c r="L6">
        <v>35333.025329587806</v>
      </c>
      <c r="M6">
        <v>10625.144540157748</v>
      </c>
      <c r="N6">
        <v>48721.898034225211</v>
      </c>
      <c r="O6">
        <v>135248.68196469222</v>
      </c>
      <c r="P6">
        <v>65588.011319609854</v>
      </c>
      <c r="Q6">
        <v>16144.895399464869</v>
      </c>
      <c r="R6">
        <v>55078.844921876524</v>
      </c>
      <c r="S6">
        <v>75941.126988511227</v>
      </c>
      <c r="T6">
        <v>212752.8786294625</v>
      </c>
      <c r="U6">
        <v>61859.745539706004</v>
      </c>
      <c r="V6">
        <v>16201.409705369322</v>
      </c>
      <c r="W6">
        <v>53876.426558837673</v>
      </c>
      <c r="X6">
        <v>74292.018211358038</v>
      </c>
      <c r="Y6">
        <v>206229.60001527105</v>
      </c>
    </row>
    <row r="7" spans="1:25" x14ac:dyDescent="0.25">
      <c r="A7" t="s">
        <v>15</v>
      </c>
      <c r="B7" t="s">
        <v>16</v>
      </c>
      <c r="C7" t="s">
        <v>60</v>
      </c>
      <c r="D7" t="s">
        <v>72</v>
      </c>
      <c r="E7" t="s">
        <v>92</v>
      </c>
      <c r="F7" t="s">
        <v>92</v>
      </c>
      <c r="G7">
        <v>57.27235918661134</v>
      </c>
      <c r="H7">
        <v>0.154542884503613</v>
      </c>
      <c r="I7">
        <v>56</v>
      </c>
      <c r="J7" t="s">
        <v>1551</v>
      </c>
      <c r="K7">
        <v>45401.054598303781</v>
      </c>
      <c r="L7">
        <v>34833.664755709484</v>
      </c>
      <c r="M7">
        <v>11890.787460980197</v>
      </c>
      <c r="N7">
        <v>48033.312929047759</v>
      </c>
      <c r="O7">
        <v>140158.81974404122</v>
      </c>
      <c r="P7">
        <v>49269.88785428775</v>
      </c>
      <c r="Q7">
        <v>12983.557996611195</v>
      </c>
      <c r="R7">
        <v>36002.711703651687</v>
      </c>
      <c r="S7">
        <v>49639.503248402958</v>
      </c>
      <c r="T7">
        <v>147895.66080295359</v>
      </c>
      <c r="U7">
        <v>45401.054598303781</v>
      </c>
      <c r="V7">
        <v>11890.787460980197</v>
      </c>
      <c r="W7">
        <v>34833.664755709484</v>
      </c>
      <c r="X7">
        <v>48033.312929047759</v>
      </c>
      <c r="Y7">
        <v>140158.81974404122</v>
      </c>
    </row>
    <row r="8" spans="1:25" x14ac:dyDescent="0.25">
      <c r="A8" t="s">
        <v>43</v>
      </c>
      <c r="B8" t="s">
        <v>44</v>
      </c>
      <c r="C8" t="s">
        <v>63</v>
      </c>
      <c r="D8" t="s">
        <v>78</v>
      </c>
      <c r="E8" t="s">
        <v>92</v>
      </c>
      <c r="F8" t="s">
        <v>92</v>
      </c>
      <c r="G8">
        <v>72.405616224648881</v>
      </c>
      <c r="H8">
        <v>0.181661214923031</v>
      </c>
      <c r="I8">
        <v>104</v>
      </c>
      <c r="J8" t="s">
        <v>1552</v>
      </c>
      <c r="K8">
        <v>84397.936852825325</v>
      </c>
      <c r="L8">
        <v>52055.662549781948</v>
      </c>
      <c r="M8">
        <v>22104.286742706343</v>
      </c>
      <c r="N8">
        <v>71781.305427323838</v>
      </c>
      <c r="O8">
        <v>230339.19157263747</v>
      </c>
      <c r="P8">
        <v>64245.317579215407</v>
      </c>
      <c r="Q8">
        <v>16826.204224916077</v>
      </c>
      <c r="R8">
        <v>39625.762157422403</v>
      </c>
      <c r="S8">
        <v>54641.297351508656</v>
      </c>
      <c r="T8">
        <v>175338.58131306255</v>
      </c>
      <c r="U8">
        <v>84397.936852825325</v>
      </c>
      <c r="V8">
        <v>22104.286742706343</v>
      </c>
      <c r="W8">
        <v>52055.662549781948</v>
      </c>
      <c r="X8">
        <v>71781.305427323838</v>
      </c>
      <c r="Y8">
        <v>230339.19157263747</v>
      </c>
    </row>
    <row r="9" spans="1:25" x14ac:dyDescent="0.25">
      <c r="A9" t="s">
        <v>1413</v>
      </c>
      <c r="B9" t="s">
        <v>1410</v>
      </c>
      <c r="C9" t="s">
        <v>567</v>
      </c>
      <c r="D9" t="s">
        <v>1409</v>
      </c>
      <c r="E9" t="s">
        <v>92</v>
      </c>
      <c r="F9" t="s">
        <v>657</v>
      </c>
      <c r="G9">
        <v>45.320585599043945</v>
      </c>
      <c r="H9">
        <v>0.14981174476863399</v>
      </c>
      <c r="I9">
        <v>22</v>
      </c>
      <c r="J9" t="s">
        <v>1553</v>
      </c>
      <c r="K9">
        <v>17968.245492426206</v>
      </c>
      <c r="L9">
        <v>12204.796365499991</v>
      </c>
      <c r="M9">
        <v>0</v>
      </c>
      <c r="N9">
        <v>16829.604555555052</v>
      </c>
      <c r="O9">
        <v>47002.646413481249</v>
      </c>
      <c r="P9">
        <v>38988.094809922601</v>
      </c>
      <c r="Q9">
        <v>0</v>
      </c>
      <c r="R9">
        <v>25406.037059244059</v>
      </c>
      <c r="S9">
        <v>35029.113071043364</v>
      </c>
      <c r="T9">
        <v>99423.244940210017</v>
      </c>
      <c r="U9">
        <v>37015.063995642609</v>
      </c>
      <c r="V9">
        <v>0</v>
      </c>
      <c r="W9">
        <v>25142.205381888307</v>
      </c>
      <c r="X9">
        <v>34669.433357186026</v>
      </c>
      <c r="Y9">
        <v>96826.702734716935</v>
      </c>
    </row>
    <row r="10" spans="1:25" x14ac:dyDescent="0.25">
      <c r="A10" t="s">
        <v>47</v>
      </c>
      <c r="B10" t="s">
        <v>48</v>
      </c>
      <c r="C10" t="s">
        <v>63</v>
      </c>
      <c r="D10" t="s">
        <v>79</v>
      </c>
      <c r="E10" t="s">
        <v>92</v>
      </c>
      <c r="F10" t="s">
        <v>657</v>
      </c>
      <c r="G10">
        <v>51.875975039001581</v>
      </c>
      <c r="H10">
        <v>0.15137770493984801</v>
      </c>
      <c r="I10">
        <v>50</v>
      </c>
      <c r="J10" t="s">
        <v>1554</v>
      </c>
      <c r="K10">
        <v>40602.250702170117</v>
      </c>
      <c r="L10">
        <v>25042.994415841105</v>
      </c>
      <c r="M10">
        <v>10633.954162707401</v>
      </c>
      <c r="N10">
        <v>34532.628016388313</v>
      </c>
      <c r="O10">
        <v>110811.82729710694</v>
      </c>
      <c r="P10">
        <v>46029.419607059906</v>
      </c>
      <c r="Q10">
        <v>12055.359734314896</v>
      </c>
      <c r="R10">
        <v>28390.408862787444</v>
      </c>
      <c r="S10">
        <v>39148.490480501699</v>
      </c>
      <c r="T10">
        <v>125623.67868466394</v>
      </c>
      <c r="U10">
        <v>42125.626879061223</v>
      </c>
      <c r="V10">
        <v>11032.934814209921</v>
      </c>
      <c r="W10">
        <v>25982.595064360579</v>
      </c>
      <c r="X10">
        <v>35828.274980185735</v>
      </c>
      <c r="Y10">
        <v>114969.43173781745</v>
      </c>
    </row>
    <row r="11" spans="1:25" x14ac:dyDescent="0.25">
      <c r="A11" t="s">
        <v>38</v>
      </c>
      <c r="B11" t="s">
        <v>1405</v>
      </c>
      <c r="C11" t="s">
        <v>65</v>
      </c>
      <c r="D11" t="s">
        <v>83</v>
      </c>
      <c r="E11" t="s">
        <v>92</v>
      </c>
      <c r="F11" t="s">
        <v>657</v>
      </c>
      <c r="G11">
        <v>55.139916656143292</v>
      </c>
      <c r="H11">
        <v>0.150401917830186</v>
      </c>
      <c r="I11">
        <v>46</v>
      </c>
      <c r="J11" t="s">
        <v>1555</v>
      </c>
      <c r="K11">
        <v>37015.379675357319</v>
      </c>
      <c r="L11">
        <v>29771.52385185481</v>
      </c>
      <c r="M11">
        <v>0</v>
      </c>
      <c r="N11">
        <v>41052.956431073202</v>
      </c>
      <c r="O11">
        <v>107839.85995828532</v>
      </c>
      <c r="P11">
        <v>47435.404242576602</v>
      </c>
      <c r="Q11">
        <v>0</v>
      </c>
      <c r="R11">
        <v>37809.847756311174</v>
      </c>
      <c r="S11">
        <v>52131.130454005877</v>
      </c>
      <c r="T11">
        <v>137376.38245289365</v>
      </c>
      <c r="U11">
        <v>44370.107615102235</v>
      </c>
      <c r="V11">
        <v>0</v>
      </c>
      <c r="W11">
        <v>35686.942259079486</v>
      </c>
      <c r="X11">
        <v>49209.926002123</v>
      </c>
      <c r="Y11">
        <v>129266.97587630471</v>
      </c>
    </row>
    <row r="12" spans="1:25" x14ac:dyDescent="0.25">
      <c r="A12" t="s">
        <v>30</v>
      </c>
      <c r="B12" t="s">
        <v>31</v>
      </c>
      <c r="C12" t="s">
        <v>64</v>
      </c>
      <c r="D12" t="s">
        <v>80</v>
      </c>
      <c r="E12" t="s">
        <v>92</v>
      </c>
      <c r="F12" t="s">
        <v>92</v>
      </c>
      <c r="G12">
        <v>8.7334849409284985</v>
      </c>
      <c r="H12">
        <v>0.243967739812114</v>
      </c>
      <c r="I12">
        <v>9</v>
      </c>
      <c r="J12" t="s">
        <v>1556</v>
      </c>
      <c r="K12">
        <v>0</v>
      </c>
      <c r="L12">
        <v>0</v>
      </c>
      <c r="M12">
        <v>2156.2952641663801</v>
      </c>
      <c r="N12">
        <v>0</v>
      </c>
      <c r="O12">
        <v>2156.2952641663801</v>
      </c>
      <c r="P12">
        <v>0</v>
      </c>
      <c r="Q12">
        <v>1979.867947705975</v>
      </c>
      <c r="R12">
        <v>0</v>
      </c>
      <c r="S12">
        <v>0</v>
      </c>
      <c r="T12">
        <v>1979.867947705975</v>
      </c>
      <c r="U12">
        <v>0</v>
      </c>
      <c r="V12">
        <v>2156.2952641663801</v>
      </c>
      <c r="W12">
        <v>0</v>
      </c>
      <c r="X12">
        <v>0</v>
      </c>
      <c r="Y12">
        <v>2156.2952641663801</v>
      </c>
    </row>
    <row r="13" spans="1:25" x14ac:dyDescent="0.25">
      <c r="A13" t="s">
        <v>55</v>
      </c>
      <c r="B13" t="s">
        <v>1406</v>
      </c>
      <c r="C13" t="s">
        <v>67</v>
      </c>
      <c r="D13" t="s">
        <v>87</v>
      </c>
      <c r="E13" t="s">
        <v>92</v>
      </c>
      <c r="F13" t="s">
        <v>657</v>
      </c>
      <c r="G13">
        <v>27.587345254470446</v>
      </c>
      <c r="H13">
        <v>9.7774084557936902E-2</v>
      </c>
      <c r="I13">
        <v>32</v>
      </c>
      <c r="J13" t="s">
        <v>1557</v>
      </c>
      <c r="K13">
        <v>26041.49355790051</v>
      </c>
      <c r="L13">
        <v>15148.11654473966</v>
      </c>
      <c r="M13">
        <v>0</v>
      </c>
      <c r="N13">
        <v>20888.247830998167</v>
      </c>
      <c r="O13">
        <v>62077.857933638341</v>
      </c>
      <c r="P13">
        <v>23732.659631786646</v>
      </c>
      <c r="Q13">
        <v>0</v>
      </c>
      <c r="R13">
        <v>13733.03213131986</v>
      </c>
      <c r="S13">
        <v>18936.940297682413</v>
      </c>
      <c r="T13">
        <v>56402.632060788921</v>
      </c>
      <c r="U13">
        <v>22450.489803870918</v>
      </c>
      <c r="V13">
        <v>0</v>
      </c>
      <c r="W13">
        <v>13059.260033584029</v>
      </c>
      <c r="X13">
        <v>18007.853271084059</v>
      </c>
      <c r="Y13">
        <v>53517.603108539006</v>
      </c>
    </row>
    <row r="14" spans="1:25" x14ac:dyDescent="0.25">
      <c r="A14" t="s">
        <v>34</v>
      </c>
      <c r="B14" t="s">
        <v>35</v>
      </c>
      <c r="C14" t="s">
        <v>64</v>
      </c>
      <c r="D14" t="s">
        <v>81</v>
      </c>
      <c r="E14" t="s">
        <v>92</v>
      </c>
      <c r="F14" t="s">
        <v>92</v>
      </c>
      <c r="G14">
        <v>63.82162072216979</v>
      </c>
      <c r="H14">
        <v>0.123366242058152</v>
      </c>
      <c r="I14">
        <v>79</v>
      </c>
      <c r="J14" t="s">
        <v>1558</v>
      </c>
      <c r="K14">
        <v>71371.675082509653</v>
      </c>
      <c r="L14">
        <v>56913.968628857387</v>
      </c>
      <c r="M14">
        <v>18557.207727977278</v>
      </c>
      <c r="N14">
        <v>77081.254328656403</v>
      </c>
      <c r="O14">
        <v>223924.10576800071</v>
      </c>
      <c r="P14">
        <v>54904.04342196689</v>
      </c>
      <c r="Q14">
        <v>14468.265771697508</v>
      </c>
      <c r="R14">
        <v>46312.913131680521</v>
      </c>
      <c r="S14">
        <v>63854.91239566492</v>
      </c>
      <c r="T14">
        <v>179540.13472100985</v>
      </c>
      <c r="U14">
        <v>71371.675082509653</v>
      </c>
      <c r="V14">
        <v>18557.207727977278</v>
      </c>
      <c r="W14">
        <v>56913.968628857387</v>
      </c>
      <c r="X14">
        <v>77081.254328656403</v>
      </c>
      <c r="Y14">
        <v>223924.10576800071</v>
      </c>
    </row>
    <row r="15" spans="1:25" x14ac:dyDescent="0.25">
      <c r="A15" t="s">
        <v>20</v>
      </c>
      <c r="B15" t="s">
        <v>1391</v>
      </c>
      <c r="C15" t="s">
        <v>61</v>
      </c>
      <c r="D15" t="s">
        <v>74</v>
      </c>
      <c r="E15" t="s">
        <v>92</v>
      </c>
      <c r="F15" t="s">
        <v>657</v>
      </c>
      <c r="G15">
        <v>17.964356435643548</v>
      </c>
      <c r="H15">
        <v>0.11209878960701999</v>
      </c>
      <c r="I15">
        <v>16</v>
      </c>
      <c r="J15" t="s">
        <v>1559</v>
      </c>
      <c r="K15">
        <v>13231.608042813854</v>
      </c>
      <c r="L15">
        <v>6431.8105646894146</v>
      </c>
      <c r="M15">
        <v>0</v>
      </c>
      <c r="N15">
        <v>8869.0401001647242</v>
      </c>
      <c r="O15">
        <v>28532.458707667996</v>
      </c>
      <c r="P15">
        <v>15454.25820638312</v>
      </c>
      <c r="Q15">
        <v>0</v>
      </c>
      <c r="R15">
        <v>7395.8330306394901</v>
      </c>
      <c r="S15">
        <v>10197.161835224706</v>
      </c>
      <c r="T15">
        <v>33047.253072247317</v>
      </c>
      <c r="U15">
        <v>14856.08269361475</v>
      </c>
      <c r="V15">
        <v>0</v>
      </c>
      <c r="W15">
        <v>7221.4585944136534</v>
      </c>
      <c r="X15">
        <v>9957.9123500859296</v>
      </c>
      <c r="Y15">
        <v>32035.453638114333</v>
      </c>
    </row>
    <row r="16" spans="1:25" x14ac:dyDescent="0.25">
      <c r="A16" t="s">
        <v>49</v>
      </c>
      <c r="B16" t="s">
        <v>50</v>
      </c>
      <c r="C16" t="s">
        <v>66</v>
      </c>
      <c r="D16" t="s">
        <v>85</v>
      </c>
      <c r="E16" t="s">
        <v>92</v>
      </c>
      <c r="F16" t="s">
        <v>92</v>
      </c>
      <c r="G16">
        <v>3.7968034096963308</v>
      </c>
      <c r="H16">
        <v>6.2873869957482995E-2</v>
      </c>
      <c r="I16">
        <v>4</v>
      </c>
      <c r="J16" t="s">
        <v>1560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</row>
    <row r="17" spans="1:34" x14ac:dyDescent="0.25">
      <c r="A17" t="s">
        <v>53</v>
      </c>
      <c r="B17" t="s">
        <v>54</v>
      </c>
      <c r="C17" t="s">
        <v>66</v>
      </c>
      <c r="D17" t="s">
        <v>86</v>
      </c>
      <c r="E17" t="s">
        <v>92</v>
      </c>
      <c r="F17" t="s">
        <v>92</v>
      </c>
      <c r="G17">
        <v>21.904635055940339</v>
      </c>
      <c r="H17">
        <v>0.161881229070443</v>
      </c>
      <c r="I17">
        <v>20</v>
      </c>
      <c r="J17" t="s">
        <v>1561</v>
      </c>
      <c r="K17">
        <v>15812.640371767773</v>
      </c>
      <c r="L17">
        <v>11907.521423752907</v>
      </c>
      <c r="M17">
        <v>2171.4103386478887</v>
      </c>
      <c r="N17">
        <v>16419.682131284098</v>
      </c>
      <c r="O17">
        <v>46311.254265452662</v>
      </c>
      <c r="P17">
        <v>18843.975139539496</v>
      </c>
      <c r="Q17">
        <v>0</v>
      </c>
      <c r="R17">
        <v>13359.157822830792</v>
      </c>
      <c r="S17">
        <v>18419.222518593659</v>
      </c>
      <c r="T17">
        <v>50622.355480963946</v>
      </c>
      <c r="U17">
        <v>15812.640371767773</v>
      </c>
      <c r="V17">
        <v>2171.4103386478887</v>
      </c>
      <c r="W17">
        <v>11907.521423752907</v>
      </c>
      <c r="X17">
        <v>16419.682131284098</v>
      </c>
      <c r="Y17">
        <v>46311.254265452662</v>
      </c>
    </row>
    <row r="18" spans="1:34" x14ac:dyDescent="0.25">
      <c r="A18" t="s">
        <v>28</v>
      </c>
      <c r="B18" t="s">
        <v>29</v>
      </c>
      <c r="C18" t="s">
        <v>62</v>
      </c>
      <c r="D18" t="s">
        <v>77</v>
      </c>
      <c r="E18" t="s">
        <v>92</v>
      </c>
      <c r="F18" t="s">
        <v>92</v>
      </c>
      <c r="G18">
        <v>42.917057769434265</v>
      </c>
      <c r="H18">
        <v>0.143078939572856</v>
      </c>
      <c r="I18">
        <v>33</v>
      </c>
      <c r="J18" t="s">
        <v>1562</v>
      </c>
      <c r="K18">
        <v>27045.74270714763</v>
      </c>
      <c r="L18">
        <v>23555.350219725206</v>
      </c>
      <c r="M18">
        <v>0</v>
      </c>
      <c r="N18">
        <v>32481.265356150139</v>
      </c>
      <c r="O18">
        <v>83082.358283022972</v>
      </c>
      <c r="P18">
        <v>36920.403722959076</v>
      </c>
      <c r="Q18">
        <v>0</v>
      </c>
      <c r="R18">
        <v>31004.647803705233</v>
      </c>
      <c r="S18">
        <v>42748.316516711486</v>
      </c>
      <c r="T18">
        <v>110673.36804337578</v>
      </c>
      <c r="U18">
        <v>27045.74270714763</v>
      </c>
      <c r="V18">
        <v>0</v>
      </c>
      <c r="W18">
        <v>23555.350219725206</v>
      </c>
      <c r="X18">
        <v>32481.265356150139</v>
      </c>
      <c r="Y18">
        <v>83082.358283022972</v>
      </c>
    </row>
    <row r="19" spans="1:34" x14ac:dyDescent="0.25">
      <c r="A19" t="s">
        <v>1414</v>
      </c>
      <c r="B19" t="s">
        <v>1412</v>
      </c>
      <c r="C19" t="s">
        <v>66</v>
      </c>
      <c r="D19" t="s">
        <v>1411</v>
      </c>
      <c r="E19" t="s">
        <v>92</v>
      </c>
      <c r="F19" t="s">
        <v>657</v>
      </c>
      <c r="G19">
        <v>9.3459776238678725</v>
      </c>
      <c r="H19">
        <v>0.13058419145015701</v>
      </c>
      <c r="I19">
        <v>3</v>
      </c>
      <c r="J19" t="s">
        <v>1563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</row>
    <row r="20" spans="1:34" x14ac:dyDescent="0.25">
      <c r="A20" t="s">
        <v>26</v>
      </c>
      <c r="B20" t="s">
        <v>27</v>
      </c>
      <c r="C20" t="s">
        <v>62</v>
      </c>
      <c r="D20" t="s">
        <v>76</v>
      </c>
      <c r="E20" t="s">
        <v>92</v>
      </c>
      <c r="F20" t="s">
        <v>92</v>
      </c>
      <c r="G20">
        <v>111.58435020052876</v>
      </c>
      <c r="H20">
        <v>0.15042834958370099</v>
      </c>
      <c r="I20">
        <v>84</v>
      </c>
      <c r="J20" t="s">
        <v>1564</v>
      </c>
      <c r="K20">
        <v>67614.356767869074</v>
      </c>
      <c r="L20">
        <v>58888.375549313016</v>
      </c>
      <c r="M20">
        <v>17708.574233596246</v>
      </c>
      <c r="N20">
        <v>81203.163390375354</v>
      </c>
      <c r="O20">
        <v>225414.46994115369</v>
      </c>
      <c r="P20">
        <v>95993.0496796933</v>
      </c>
      <c r="Q20">
        <v>23629.283995243142</v>
      </c>
      <c r="R20">
        <v>80612.084289633363</v>
      </c>
      <c r="S20">
        <v>111145.62294344953</v>
      </c>
      <c r="T20">
        <v>311380.04090801935</v>
      </c>
      <c r="U20">
        <v>67614.356767869074</v>
      </c>
      <c r="V20">
        <v>17708.574233596246</v>
      </c>
      <c r="W20">
        <v>58888.375549313016</v>
      </c>
      <c r="X20">
        <v>81203.163390375354</v>
      </c>
      <c r="Y20">
        <v>225414.46994115369</v>
      </c>
    </row>
    <row r="21" spans="1:34" x14ac:dyDescent="0.25">
      <c r="A21" t="s">
        <v>41</v>
      </c>
      <c r="B21" t="s">
        <v>42</v>
      </c>
      <c r="C21" t="s">
        <v>65</v>
      </c>
      <c r="D21" t="s">
        <v>84</v>
      </c>
      <c r="E21" t="s">
        <v>92</v>
      </c>
      <c r="F21" t="s">
        <v>92</v>
      </c>
      <c r="G21">
        <v>23.088142442227554</v>
      </c>
      <c r="H21">
        <v>0.13144691036601899</v>
      </c>
      <c r="I21">
        <v>22</v>
      </c>
      <c r="J21" t="s">
        <v>1565</v>
      </c>
      <c r="K21">
        <v>17533.600898853398</v>
      </c>
      <c r="L21">
        <v>14102.30077193117</v>
      </c>
      <c r="M21">
        <v>2560.3551453745126</v>
      </c>
      <c r="N21">
        <v>19446.137256824069</v>
      </c>
      <c r="O21">
        <v>53642.394072983152</v>
      </c>
      <c r="P21">
        <v>19862.115076940998</v>
      </c>
      <c r="Q21">
        <v>0</v>
      </c>
      <c r="R21">
        <v>15831.709651657435</v>
      </c>
      <c r="S21">
        <v>21828.305855125676</v>
      </c>
      <c r="T21">
        <v>57522.130583724109</v>
      </c>
      <c r="U21">
        <v>17533.600898853398</v>
      </c>
      <c r="V21">
        <v>2560.3551453745126</v>
      </c>
      <c r="W21">
        <v>14102.30077193117</v>
      </c>
      <c r="X21">
        <v>19446.137256824069</v>
      </c>
      <c r="Y21">
        <v>53642.394072983152</v>
      </c>
    </row>
    <row r="22" spans="1:34" x14ac:dyDescent="0.25">
      <c r="A22" t="s">
        <v>36</v>
      </c>
      <c r="B22" t="s">
        <v>37</v>
      </c>
      <c r="C22" t="s">
        <v>64</v>
      </c>
      <c r="D22" t="s">
        <v>82</v>
      </c>
      <c r="E22" t="s">
        <v>92</v>
      </c>
      <c r="F22" t="s">
        <v>657</v>
      </c>
      <c r="G22">
        <v>132.00998391480414</v>
      </c>
      <c r="H22">
        <v>0.13576918390878001</v>
      </c>
      <c r="I22">
        <v>98</v>
      </c>
      <c r="J22" t="s">
        <v>1566</v>
      </c>
      <c r="K22">
        <v>88963.28513805788</v>
      </c>
      <c r="L22">
        <v>70942.059488082858</v>
      </c>
      <c r="M22">
        <v>0</v>
      </c>
      <c r="N22">
        <v>96080.155043466162</v>
      </c>
      <c r="O22">
        <v>255985.49966960688</v>
      </c>
      <c r="P22">
        <v>113564.67928859494</v>
      </c>
      <c r="Q22">
        <v>0</v>
      </c>
      <c r="R22">
        <v>95794.604530265715</v>
      </c>
      <c r="S22">
        <v>132078.84511313881</v>
      </c>
      <c r="T22">
        <v>341438.12893199944</v>
      </c>
      <c r="U22">
        <v>119837.16163350159</v>
      </c>
      <c r="V22">
        <v>0</v>
      </c>
      <c r="W22">
        <v>95561.838080662201</v>
      </c>
      <c r="X22">
        <v>129423.8747124475</v>
      </c>
      <c r="Y22">
        <v>344822.87442661129</v>
      </c>
    </row>
    <row r="24" spans="1:34" x14ac:dyDescent="0.25">
      <c r="D24">
        <v>1</v>
      </c>
      <c r="E24">
        <v>2</v>
      </c>
      <c r="F24">
        <v>3</v>
      </c>
      <c r="G24">
        <v>4</v>
      </c>
      <c r="H24">
        <v>5</v>
      </c>
      <c r="I24">
        <v>6</v>
      </c>
      <c r="J24">
        <v>7</v>
      </c>
      <c r="K24">
        <v>8</v>
      </c>
      <c r="L24">
        <v>9</v>
      </c>
      <c r="M24">
        <v>10</v>
      </c>
      <c r="N24">
        <v>11</v>
      </c>
      <c r="O24">
        <v>12</v>
      </c>
      <c r="P24">
        <v>13</v>
      </c>
      <c r="Q24">
        <v>14</v>
      </c>
      <c r="R24">
        <v>15</v>
      </c>
      <c r="S24">
        <v>16</v>
      </c>
      <c r="T24">
        <v>17</v>
      </c>
      <c r="U24">
        <v>18</v>
      </c>
      <c r="V24">
        <v>19</v>
      </c>
      <c r="W24">
        <v>20</v>
      </c>
      <c r="X24">
        <v>21</v>
      </c>
      <c r="AG24">
        <v>22</v>
      </c>
      <c r="AH24">
        <v>23</v>
      </c>
    </row>
    <row r="36" spans="11:11" x14ac:dyDescent="0.25">
      <c r="K36" s="48"/>
    </row>
    <row r="37" spans="11:11" x14ac:dyDescent="0.25">
      <c r="K37" s="48"/>
    </row>
    <row r="38" spans="11:11" x14ac:dyDescent="0.25">
      <c r="K38" s="48"/>
    </row>
    <row r="39" spans="11:11" x14ac:dyDescent="0.25">
      <c r="K39" s="48"/>
    </row>
    <row r="42" spans="11:11" x14ac:dyDescent="0.25">
      <c r="K42" s="48"/>
    </row>
  </sheetData>
  <sheetProtection algorithmName="SHA-512" hashValue="8r2md2GGojXW8T9zG5Ck9j/4bY6S8LBZ012NY7RAqRut6hy3D1LOJueZMo5/4qDd5s+0uw/pZ4WP2FNUie7gqg==" saltValue="WoUMic+eSGGiDiyWcQPhKQ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7B0E1-0AB5-4E1E-92C6-BF0D3D67B20F}">
  <sheetPr>
    <tabColor rgb="FF7030A0"/>
  </sheetPr>
  <dimension ref="A1:I33"/>
  <sheetViews>
    <sheetView workbookViewId="0"/>
  </sheetViews>
  <sheetFormatPr defaultRowHeight="15" x14ac:dyDescent="0.25"/>
  <cols>
    <col min="1" max="1" width="9.42578125" bestFit="1" customWidth="1"/>
    <col min="2" max="2" width="47.5703125" bestFit="1" customWidth="1"/>
    <col min="3" max="3" width="15.42578125" bestFit="1" customWidth="1"/>
    <col min="4" max="4" width="13.85546875" bestFit="1" customWidth="1"/>
    <col min="5" max="5" width="8.140625" bestFit="1" customWidth="1"/>
    <col min="6" max="6" width="8.85546875" bestFit="1" customWidth="1"/>
    <col min="7" max="7" width="13.42578125" bestFit="1" customWidth="1"/>
    <col min="8" max="8" width="19.85546875" bestFit="1" customWidth="1"/>
    <col min="9" max="9" width="22.7109375" bestFit="1" customWidth="1"/>
    <col min="10" max="14" width="12.140625" bestFit="1" customWidth="1"/>
    <col min="15" max="15" width="19.85546875" bestFit="1" customWidth="1"/>
    <col min="16" max="16" width="22.7109375" customWidth="1"/>
  </cols>
  <sheetData>
    <row r="1" spans="1:9" x14ac:dyDescent="0.25">
      <c r="A1" t="s">
        <v>0</v>
      </c>
      <c r="B1" t="s">
        <v>1318</v>
      </c>
      <c r="C1" t="s">
        <v>1319</v>
      </c>
      <c r="D1" t="s">
        <v>1320</v>
      </c>
      <c r="E1" t="s">
        <v>68</v>
      </c>
      <c r="F1" t="s">
        <v>5</v>
      </c>
      <c r="G1" t="s">
        <v>659</v>
      </c>
      <c r="H1" t="s">
        <v>1321</v>
      </c>
      <c r="I1" t="s">
        <v>1322</v>
      </c>
    </row>
    <row r="2" spans="1:9" x14ac:dyDescent="0.25">
      <c r="A2" t="s">
        <v>14</v>
      </c>
      <c r="B2" t="s">
        <v>1390</v>
      </c>
      <c r="C2" t="s">
        <v>59</v>
      </c>
      <c r="D2" t="s">
        <v>1323</v>
      </c>
      <c r="E2" t="s">
        <v>59</v>
      </c>
      <c r="H2" s="32">
        <v>0.99402710774178704</v>
      </c>
      <c r="I2" s="32">
        <v>0.99402700831024904</v>
      </c>
    </row>
    <row r="3" spans="1:9" x14ac:dyDescent="0.25">
      <c r="A3" t="s">
        <v>13</v>
      </c>
      <c r="B3" t="s">
        <v>1389</v>
      </c>
      <c r="C3" t="s">
        <v>59</v>
      </c>
      <c r="D3" t="s">
        <v>1</v>
      </c>
      <c r="E3" t="s">
        <v>71</v>
      </c>
      <c r="F3" t="s">
        <v>92</v>
      </c>
      <c r="G3" t="s">
        <v>92</v>
      </c>
      <c r="H3" s="32">
        <v>5.9728922582127303E-3</v>
      </c>
      <c r="I3" s="32">
        <v>5.9729916897506901E-3</v>
      </c>
    </row>
    <row r="4" spans="1:9" x14ac:dyDescent="0.25">
      <c r="A4" t="s">
        <v>10</v>
      </c>
      <c r="B4" t="s">
        <v>9</v>
      </c>
      <c r="C4" t="s">
        <v>58</v>
      </c>
      <c r="D4" t="s">
        <v>1323</v>
      </c>
      <c r="E4" t="s">
        <v>58</v>
      </c>
      <c r="H4" s="32">
        <v>0.89962686567164196</v>
      </c>
      <c r="I4" s="32">
        <v>0.87477423239012597</v>
      </c>
    </row>
    <row r="5" spans="1:9" x14ac:dyDescent="0.25">
      <c r="A5" t="s">
        <v>8</v>
      </c>
      <c r="B5" t="s">
        <v>1403</v>
      </c>
      <c r="C5" t="s">
        <v>58</v>
      </c>
      <c r="D5" t="s">
        <v>1</v>
      </c>
      <c r="E5" t="s">
        <v>69</v>
      </c>
      <c r="F5" t="s">
        <v>92</v>
      </c>
      <c r="G5" t="s">
        <v>657</v>
      </c>
      <c r="H5" s="32">
        <v>8.2835820895522397E-2</v>
      </c>
      <c r="I5" s="32">
        <v>0.109773228978527</v>
      </c>
    </row>
    <row r="6" spans="1:9" x14ac:dyDescent="0.25">
      <c r="A6" t="s">
        <v>11</v>
      </c>
      <c r="B6" t="s">
        <v>12</v>
      </c>
      <c r="C6" t="s">
        <v>58</v>
      </c>
      <c r="D6" t="s">
        <v>1</v>
      </c>
      <c r="E6" t="s">
        <v>70</v>
      </c>
      <c r="F6" t="s">
        <v>92</v>
      </c>
      <c r="G6" t="s">
        <v>92</v>
      </c>
      <c r="H6" s="32">
        <v>1.7537313432835801E-2</v>
      </c>
      <c r="I6" s="32">
        <v>1.54525386313466E-2</v>
      </c>
    </row>
    <row r="7" spans="1:9" x14ac:dyDescent="0.25">
      <c r="A7" t="s">
        <v>18</v>
      </c>
      <c r="B7" t="s">
        <v>17</v>
      </c>
      <c r="C7" t="s">
        <v>60</v>
      </c>
      <c r="D7" t="s">
        <v>1323</v>
      </c>
      <c r="E7" t="s">
        <v>60</v>
      </c>
      <c r="H7" s="32">
        <v>0.96652870253734002</v>
      </c>
      <c r="I7" s="32">
        <v>0.967611560181597</v>
      </c>
    </row>
    <row r="8" spans="1:9" x14ac:dyDescent="0.25">
      <c r="A8" t="s">
        <v>15</v>
      </c>
      <c r="B8" t="s">
        <v>16</v>
      </c>
      <c r="C8" t="s">
        <v>60</v>
      </c>
      <c r="D8" t="s">
        <v>1</v>
      </c>
      <c r="E8" t="s">
        <v>72</v>
      </c>
      <c r="F8" t="s">
        <v>92</v>
      </c>
      <c r="G8" t="s">
        <v>92</v>
      </c>
      <c r="H8" s="32">
        <v>1.8625157459060598E-2</v>
      </c>
      <c r="I8" s="32">
        <v>1.8436496512014199E-2</v>
      </c>
    </row>
    <row r="9" spans="1:9" x14ac:dyDescent="0.25">
      <c r="A9" t="s">
        <v>19</v>
      </c>
      <c r="B9" t="s">
        <v>1404</v>
      </c>
      <c r="C9" t="s">
        <v>60</v>
      </c>
      <c r="D9" t="s">
        <v>1</v>
      </c>
      <c r="E9" t="s">
        <v>73</v>
      </c>
      <c r="F9" t="s">
        <v>92</v>
      </c>
      <c r="G9" t="s">
        <v>657</v>
      </c>
      <c r="H9" s="32">
        <v>1.4846140003599099E-2</v>
      </c>
      <c r="I9" s="32">
        <v>1.3951943306389099E-2</v>
      </c>
    </row>
    <row r="10" spans="1:9" x14ac:dyDescent="0.25">
      <c r="A10" t="s">
        <v>21</v>
      </c>
      <c r="B10" t="s">
        <v>1402</v>
      </c>
      <c r="C10" t="s">
        <v>61</v>
      </c>
      <c r="D10" t="s">
        <v>1323</v>
      </c>
      <c r="E10" t="s">
        <v>61</v>
      </c>
      <c r="H10" s="32">
        <v>0.94455445544554395</v>
      </c>
      <c r="I10" s="32">
        <v>0.95047753802617596</v>
      </c>
    </row>
    <row r="11" spans="1:9" x14ac:dyDescent="0.25">
      <c r="A11" t="s">
        <v>20</v>
      </c>
      <c r="B11" t="s">
        <v>1391</v>
      </c>
      <c r="C11" t="s">
        <v>61</v>
      </c>
      <c r="D11" t="s">
        <v>1</v>
      </c>
      <c r="E11" t="s">
        <v>74</v>
      </c>
      <c r="F11" t="s">
        <v>92</v>
      </c>
      <c r="G11" t="s">
        <v>657</v>
      </c>
      <c r="H11" s="32">
        <v>5.5445544554455398E-2</v>
      </c>
      <c r="I11" s="32">
        <v>4.9522461973823803E-2</v>
      </c>
    </row>
    <row r="12" spans="1:9" x14ac:dyDescent="0.25">
      <c r="A12" t="s">
        <v>1083</v>
      </c>
      <c r="B12" t="s">
        <v>1408</v>
      </c>
      <c r="C12" t="s">
        <v>567</v>
      </c>
      <c r="D12" t="s">
        <v>1323</v>
      </c>
      <c r="E12" t="s">
        <v>567</v>
      </c>
      <c r="H12" s="32">
        <v>0.97998207349865596</v>
      </c>
      <c r="I12" s="32">
        <v>0.98292601272179403</v>
      </c>
    </row>
    <row r="13" spans="1:9" x14ac:dyDescent="0.25">
      <c r="A13" t="s">
        <v>1413</v>
      </c>
      <c r="B13" t="s">
        <v>1410</v>
      </c>
      <c r="C13" t="s">
        <v>567</v>
      </c>
      <c r="D13" t="s">
        <v>1</v>
      </c>
      <c r="E13" t="s">
        <v>1409</v>
      </c>
      <c r="F13" t="s">
        <v>92</v>
      </c>
      <c r="G13" t="s">
        <v>657</v>
      </c>
      <c r="H13" s="32">
        <v>2.0017926501344499E-2</v>
      </c>
      <c r="I13" s="32">
        <v>1.70739872782056E-2</v>
      </c>
    </row>
    <row r="14" spans="1:9" x14ac:dyDescent="0.25">
      <c r="A14" t="s">
        <v>25</v>
      </c>
      <c r="B14" t="s">
        <v>24</v>
      </c>
      <c r="C14" t="s">
        <v>62</v>
      </c>
      <c r="D14" t="s">
        <v>1323</v>
      </c>
      <c r="E14" t="s">
        <v>62</v>
      </c>
      <c r="H14" s="32">
        <v>0.96100349859203005</v>
      </c>
      <c r="I14" s="32">
        <v>0.98053428421114197</v>
      </c>
    </row>
    <row r="15" spans="1:9" x14ac:dyDescent="0.25">
      <c r="A15" t="s">
        <v>28</v>
      </c>
      <c r="B15" t="s">
        <v>29</v>
      </c>
      <c r="C15" t="s">
        <v>62</v>
      </c>
      <c r="D15" t="s">
        <v>1</v>
      </c>
      <c r="E15" t="s">
        <v>77</v>
      </c>
      <c r="F15" t="s">
        <v>92</v>
      </c>
      <c r="G15" t="s">
        <v>92</v>
      </c>
      <c r="H15" s="32">
        <v>7.2531785988565597E-3</v>
      </c>
      <c r="I15" s="32">
        <v>4.3257146197462999E-3</v>
      </c>
    </row>
    <row r="16" spans="1:9" x14ac:dyDescent="0.25">
      <c r="A16" t="s">
        <v>26</v>
      </c>
      <c r="B16" t="s">
        <v>27</v>
      </c>
      <c r="C16" t="s">
        <v>62</v>
      </c>
      <c r="D16" t="s">
        <v>1</v>
      </c>
      <c r="E16" t="s">
        <v>76</v>
      </c>
      <c r="F16" t="s">
        <v>92</v>
      </c>
      <c r="G16" t="s">
        <v>92</v>
      </c>
      <c r="H16" s="32">
        <v>1.8858264357027001E-2</v>
      </c>
      <c r="I16" s="32">
        <v>1.0697375343426701E-2</v>
      </c>
    </row>
    <row r="17" spans="1:9" x14ac:dyDescent="0.25">
      <c r="A17" t="s">
        <v>22</v>
      </c>
      <c r="B17" t="s">
        <v>23</v>
      </c>
      <c r="C17" t="s">
        <v>62</v>
      </c>
      <c r="D17" t="s">
        <v>1</v>
      </c>
      <c r="E17" t="s">
        <v>75</v>
      </c>
      <c r="F17" t="s">
        <v>92</v>
      </c>
      <c r="G17" t="s">
        <v>657</v>
      </c>
      <c r="H17" s="32">
        <v>1.2885058452086399E-2</v>
      </c>
      <c r="I17" s="32">
        <v>4.4426258256853902E-3</v>
      </c>
    </row>
    <row r="18" spans="1:9" x14ac:dyDescent="0.25">
      <c r="A18" t="s">
        <v>46</v>
      </c>
      <c r="B18" t="s">
        <v>45</v>
      </c>
      <c r="C18" t="s">
        <v>63</v>
      </c>
      <c r="D18" t="s">
        <v>1323</v>
      </c>
      <c r="E18" t="s">
        <v>63</v>
      </c>
      <c r="H18" s="32">
        <v>0.78042121684867405</v>
      </c>
      <c r="I18" s="32">
        <v>0.75041505257332597</v>
      </c>
    </row>
    <row r="19" spans="1:9" x14ac:dyDescent="0.25">
      <c r="A19" t="s">
        <v>43</v>
      </c>
      <c r="B19" t="s">
        <v>44</v>
      </c>
      <c r="C19" t="s">
        <v>63</v>
      </c>
      <c r="D19" t="s">
        <v>1</v>
      </c>
      <c r="E19" t="s">
        <v>78</v>
      </c>
      <c r="F19" t="s">
        <v>92</v>
      </c>
      <c r="G19" t="s">
        <v>92</v>
      </c>
      <c r="H19" s="32">
        <v>0.12792511700468001</v>
      </c>
      <c r="I19" s="32">
        <v>0.134200332042059</v>
      </c>
    </row>
    <row r="20" spans="1:9" x14ac:dyDescent="0.25">
      <c r="A20" t="s">
        <v>47</v>
      </c>
      <c r="B20" t="s">
        <v>48</v>
      </c>
      <c r="C20" t="s">
        <v>63</v>
      </c>
      <c r="D20" t="s">
        <v>1</v>
      </c>
      <c r="E20" t="s">
        <v>79</v>
      </c>
      <c r="F20" t="s">
        <v>92</v>
      </c>
      <c r="G20" t="s">
        <v>657</v>
      </c>
      <c r="H20" s="32">
        <v>9.1653666146645899E-2</v>
      </c>
      <c r="I20" s="32">
        <v>0.115384615384615</v>
      </c>
    </row>
    <row r="21" spans="1:9" x14ac:dyDescent="0.25">
      <c r="A21" t="s">
        <v>33</v>
      </c>
      <c r="B21" t="s">
        <v>32</v>
      </c>
      <c r="C21" t="s">
        <v>64</v>
      </c>
      <c r="D21" t="s">
        <v>1323</v>
      </c>
      <c r="E21" t="s">
        <v>64</v>
      </c>
      <c r="H21" s="32">
        <v>0.96622108824671404</v>
      </c>
      <c r="I21" s="32">
        <v>0.95654748199072404</v>
      </c>
    </row>
    <row r="22" spans="1:9" x14ac:dyDescent="0.25">
      <c r="A22" t="s">
        <v>36</v>
      </c>
      <c r="B22" t="s">
        <v>37</v>
      </c>
      <c r="C22" t="s">
        <v>64</v>
      </c>
      <c r="D22" t="s">
        <v>1</v>
      </c>
      <c r="E22" t="s">
        <v>82</v>
      </c>
      <c r="F22" t="s">
        <v>92</v>
      </c>
      <c r="G22" t="s">
        <v>657</v>
      </c>
      <c r="H22" s="32">
        <v>2.1798213988574001E-2</v>
      </c>
      <c r="I22" s="32">
        <v>2.7696457353376499E-2</v>
      </c>
    </row>
    <row r="23" spans="1:9" x14ac:dyDescent="0.25">
      <c r="A23" t="s">
        <v>30</v>
      </c>
      <c r="B23" t="s">
        <v>31</v>
      </c>
      <c r="C23" t="s">
        <v>64</v>
      </c>
      <c r="D23" t="s">
        <v>1</v>
      </c>
      <c r="E23" t="s">
        <v>80</v>
      </c>
      <c r="F23" t="s">
        <v>92</v>
      </c>
      <c r="G23" t="s">
        <v>92</v>
      </c>
      <c r="H23" s="32">
        <v>1.4421210272339E-3</v>
      </c>
      <c r="I23" s="32">
        <v>1.01970329923358E-3</v>
      </c>
    </row>
    <row r="24" spans="1:9" x14ac:dyDescent="0.25">
      <c r="A24" t="s">
        <v>34</v>
      </c>
      <c r="B24" t="s">
        <v>35</v>
      </c>
      <c r="C24" t="s">
        <v>64</v>
      </c>
      <c r="D24" t="s">
        <v>1</v>
      </c>
      <c r="E24" t="s">
        <v>81</v>
      </c>
      <c r="F24" t="s">
        <v>92</v>
      </c>
      <c r="G24" t="s">
        <v>92</v>
      </c>
      <c r="H24" s="32">
        <v>1.0538576737478499E-2</v>
      </c>
      <c r="I24" s="32">
        <v>1.47363573566659E-2</v>
      </c>
    </row>
    <row r="25" spans="1:9" x14ac:dyDescent="0.25">
      <c r="A25" t="s">
        <v>40</v>
      </c>
      <c r="B25" t="s">
        <v>39</v>
      </c>
      <c r="C25" t="s">
        <v>65</v>
      </c>
      <c r="D25" t="s">
        <v>1323</v>
      </c>
      <c r="E25" t="s">
        <v>65</v>
      </c>
      <c r="H25" s="32">
        <v>0.98181588584417201</v>
      </c>
      <c r="I25" s="32">
        <v>0.98363571682675199</v>
      </c>
    </row>
    <row r="26" spans="1:9" x14ac:dyDescent="0.25">
      <c r="A26" t="s">
        <v>38</v>
      </c>
      <c r="B26" t="s">
        <v>1405</v>
      </c>
      <c r="C26" t="s">
        <v>65</v>
      </c>
      <c r="D26" t="s">
        <v>1</v>
      </c>
      <c r="E26" t="s">
        <v>83</v>
      </c>
      <c r="F26" t="s">
        <v>92</v>
      </c>
      <c r="G26" t="s">
        <v>657</v>
      </c>
      <c r="H26" s="32">
        <v>1.2817274908447999E-2</v>
      </c>
      <c r="I26" s="32">
        <v>1.10636784062611E-2</v>
      </c>
    </row>
    <row r="27" spans="1:9" x14ac:dyDescent="0.25">
      <c r="A27" t="s">
        <v>41</v>
      </c>
      <c r="B27" t="s">
        <v>42</v>
      </c>
      <c r="C27" t="s">
        <v>65</v>
      </c>
      <c r="D27" t="s">
        <v>1</v>
      </c>
      <c r="E27" t="s">
        <v>84</v>
      </c>
      <c r="F27" t="s">
        <v>92</v>
      </c>
      <c r="G27" t="s">
        <v>92</v>
      </c>
      <c r="H27" s="32">
        <v>5.36683924737972E-3</v>
      </c>
      <c r="I27" s="32">
        <v>5.3006047669868399E-3</v>
      </c>
    </row>
    <row r="28" spans="1:9" x14ac:dyDescent="0.25">
      <c r="A28" t="s">
        <v>52</v>
      </c>
      <c r="B28" t="s">
        <v>51</v>
      </c>
      <c r="C28" t="s">
        <v>66</v>
      </c>
      <c r="D28" t="s">
        <v>1323</v>
      </c>
      <c r="E28" t="s">
        <v>66</v>
      </c>
      <c r="H28" s="32">
        <v>0.987213638785296</v>
      </c>
      <c r="I28" s="32">
        <v>0.98921772083370896</v>
      </c>
    </row>
    <row r="29" spans="1:9" x14ac:dyDescent="0.25">
      <c r="A29" t="s">
        <v>1414</v>
      </c>
      <c r="B29" t="s">
        <v>1412</v>
      </c>
      <c r="C29" t="s">
        <v>66</v>
      </c>
      <c r="D29" t="s">
        <v>1</v>
      </c>
      <c r="E29" t="s">
        <v>1411</v>
      </c>
      <c r="F29" t="s">
        <v>92</v>
      </c>
      <c r="G29" t="s">
        <v>657</v>
      </c>
      <c r="H29" s="32">
        <v>3.4096963239211501E-3</v>
      </c>
      <c r="I29" s="32">
        <v>2.8873048813498202E-3</v>
      </c>
    </row>
    <row r="30" spans="1:9" x14ac:dyDescent="0.25">
      <c r="A30" t="s">
        <v>49</v>
      </c>
      <c r="B30" t="s">
        <v>50</v>
      </c>
      <c r="C30" t="s">
        <v>66</v>
      </c>
      <c r="D30" t="s">
        <v>1</v>
      </c>
      <c r="E30" t="s">
        <v>85</v>
      </c>
      <c r="F30" t="s">
        <v>92</v>
      </c>
      <c r="G30" t="s">
        <v>92</v>
      </c>
      <c r="H30" s="32">
        <v>1.38518913159297E-3</v>
      </c>
      <c r="I30" s="32">
        <v>2.43616349363891E-3</v>
      </c>
    </row>
    <row r="31" spans="1:9" x14ac:dyDescent="0.25">
      <c r="A31" t="s">
        <v>53</v>
      </c>
      <c r="B31" t="s">
        <v>54</v>
      </c>
      <c r="C31" t="s">
        <v>66</v>
      </c>
      <c r="D31" t="s">
        <v>1</v>
      </c>
      <c r="E31" t="s">
        <v>86</v>
      </c>
      <c r="F31" t="s">
        <v>92</v>
      </c>
      <c r="G31" t="s">
        <v>92</v>
      </c>
      <c r="H31" s="32">
        <v>7.9914757591901999E-3</v>
      </c>
      <c r="I31" s="32">
        <v>5.4588107913019898E-3</v>
      </c>
    </row>
    <row r="32" spans="1:9" x14ac:dyDescent="0.25">
      <c r="A32" t="s">
        <v>56</v>
      </c>
      <c r="B32" t="s">
        <v>1397</v>
      </c>
      <c r="C32" t="s">
        <v>67</v>
      </c>
      <c r="D32" t="s">
        <v>1323</v>
      </c>
      <c r="E32" t="s">
        <v>67</v>
      </c>
      <c r="H32" s="32">
        <v>0.96836313617606595</v>
      </c>
      <c r="I32" s="32">
        <v>0.96562032884902804</v>
      </c>
    </row>
    <row r="33" spans="1:9" x14ac:dyDescent="0.25">
      <c r="A33" t="s">
        <v>55</v>
      </c>
      <c r="B33" t="s">
        <v>1406</v>
      </c>
      <c r="C33" t="s">
        <v>67</v>
      </c>
      <c r="D33" t="s">
        <v>1</v>
      </c>
      <c r="E33" t="s">
        <v>87</v>
      </c>
      <c r="F33" t="s">
        <v>92</v>
      </c>
      <c r="G33" t="s">
        <v>657</v>
      </c>
      <c r="H33" s="32">
        <v>3.1636863823933999E-2</v>
      </c>
      <c r="I33" s="32">
        <v>3.4379671150971597E-2</v>
      </c>
    </row>
  </sheetData>
  <sheetProtection algorithmName="SHA-512" hashValue="lUnCvHMtw1LF9nghxvfPUK93KfvJngwdu3smiVKQ/K8XxnvwYegfEJjMEVzBT4LmQ20r0+V2oKNt2S4V7EOy8g==" saltValue="/vXQzPukMOWU2iWVDuNm2A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39DA6-C1C7-4DC6-842C-993C6A5AB959}">
  <sheetPr codeName="Sheet8">
    <tabColor rgb="FF7030A0"/>
  </sheetPr>
  <dimension ref="A1:S22"/>
  <sheetViews>
    <sheetView workbookViewId="0"/>
  </sheetViews>
  <sheetFormatPr defaultRowHeight="15" x14ac:dyDescent="0.25"/>
  <cols>
    <col min="1" max="1" width="9.42578125" bestFit="1" customWidth="1"/>
    <col min="2" max="2" width="47.5703125" bestFit="1" customWidth="1"/>
    <col min="3" max="3" width="17.28515625" bestFit="1" customWidth="1"/>
    <col min="4" max="4" width="24.140625" bestFit="1" customWidth="1"/>
    <col min="5" max="5" width="8.28515625" bestFit="1" customWidth="1"/>
    <col min="6" max="6" width="8.85546875" bestFit="1" customWidth="1"/>
    <col min="7" max="7" width="13.42578125" bestFit="1" customWidth="1"/>
    <col min="8" max="8" width="20.5703125" bestFit="1" customWidth="1"/>
    <col min="9" max="9" width="24.5703125" bestFit="1" customWidth="1"/>
    <col min="10" max="10" width="23" bestFit="1" customWidth="1"/>
    <col min="11" max="11" width="32" bestFit="1" customWidth="1"/>
    <col min="12" max="12" width="15.42578125" bestFit="1" customWidth="1"/>
    <col min="13" max="13" width="23.28515625" bestFit="1" customWidth="1"/>
    <col min="14" max="14" width="35.28515625" bestFit="1" customWidth="1"/>
    <col min="15" max="15" width="15.140625" bestFit="1" customWidth="1"/>
    <col min="16" max="16" width="23" bestFit="1" customWidth="1"/>
    <col min="17" max="17" width="51.85546875" bestFit="1" customWidth="1"/>
    <col min="18" max="18" width="26.140625" bestFit="1" customWidth="1"/>
    <col min="19" max="19" width="34.140625" bestFit="1" customWidth="1"/>
    <col min="20" max="20" width="23.28515625" bestFit="1" customWidth="1"/>
    <col min="21" max="21" width="35.28515625" bestFit="1" customWidth="1"/>
    <col min="22" max="22" width="15.140625" bestFit="1" customWidth="1"/>
    <col min="23" max="23" width="23" bestFit="1" customWidth="1"/>
    <col min="24" max="24" width="51.85546875" bestFit="1" customWidth="1"/>
    <col min="25" max="25" width="26.140625" bestFit="1" customWidth="1"/>
    <col min="26" max="26" width="34.140625" customWidth="1"/>
    <col min="27" max="27" width="51.85546875" bestFit="1" customWidth="1"/>
    <col min="28" max="28" width="26.140625" bestFit="1" customWidth="1"/>
    <col min="29" max="29" width="34.140625" bestFit="1" customWidth="1"/>
    <col min="30" max="30" width="24.28515625" bestFit="1" customWidth="1"/>
    <col min="31" max="31" width="30.85546875" bestFit="1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659</v>
      </c>
      <c r="H1" t="s">
        <v>1313</v>
      </c>
      <c r="I1" t="s">
        <v>6</v>
      </c>
      <c r="J1" t="s">
        <v>1314</v>
      </c>
      <c r="K1" t="s">
        <v>7</v>
      </c>
      <c r="L1" t="s">
        <v>57</v>
      </c>
      <c r="M1" t="s">
        <v>1324</v>
      </c>
      <c r="N1" t="s">
        <v>660</v>
      </c>
      <c r="O1" t="s">
        <v>1325</v>
      </c>
      <c r="P1" t="s">
        <v>1326</v>
      </c>
      <c r="Q1" t="s">
        <v>1315</v>
      </c>
      <c r="R1" t="s">
        <v>1316</v>
      </c>
      <c r="S1" t="s">
        <v>1317</v>
      </c>
    </row>
    <row r="2" spans="1:19" x14ac:dyDescent="0.25">
      <c r="A2" t="s">
        <v>13</v>
      </c>
      <c r="B2" t="s">
        <v>1389</v>
      </c>
      <c r="C2" t="s">
        <v>1390</v>
      </c>
      <c r="D2" t="s">
        <v>14</v>
      </c>
      <c r="E2" t="s">
        <v>71</v>
      </c>
      <c r="F2" t="s">
        <v>92</v>
      </c>
      <c r="G2" t="s">
        <v>92</v>
      </c>
      <c r="H2">
        <v>69</v>
      </c>
      <c r="I2">
        <v>26</v>
      </c>
      <c r="J2">
        <v>11483</v>
      </c>
      <c r="K2">
        <v>4327</v>
      </c>
      <c r="L2" t="s">
        <v>59</v>
      </c>
      <c r="M2">
        <v>69</v>
      </c>
      <c r="N2" t="s">
        <v>1439</v>
      </c>
      <c r="O2">
        <v>5.9728922582127303E-3</v>
      </c>
      <c r="P2">
        <v>0.99402710774178704</v>
      </c>
      <c r="Q2" t="s">
        <v>1440</v>
      </c>
      <c r="R2">
        <v>5.9729916897506901E-3</v>
      </c>
      <c r="S2">
        <v>0.99402700831024904</v>
      </c>
    </row>
    <row r="3" spans="1:19" x14ac:dyDescent="0.25">
      <c r="A3" t="s">
        <v>8</v>
      </c>
      <c r="B3" t="s">
        <v>1403</v>
      </c>
      <c r="C3" t="s">
        <v>9</v>
      </c>
      <c r="D3" t="s">
        <v>10</v>
      </c>
      <c r="E3" t="s">
        <v>69</v>
      </c>
      <c r="F3" t="s">
        <v>92</v>
      </c>
      <c r="G3" t="s">
        <v>657</v>
      </c>
      <c r="H3">
        <v>547</v>
      </c>
      <c r="I3">
        <v>222</v>
      </c>
      <c r="J3">
        <v>4359</v>
      </c>
      <c r="K3">
        <v>2411</v>
      </c>
      <c r="L3" t="s">
        <v>58</v>
      </c>
      <c r="M3">
        <v>624</v>
      </c>
      <c r="N3" t="s">
        <v>1567</v>
      </c>
      <c r="O3">
        <v>8.2835820895522397E-2</v>
      </c>
      <c r="P3">
        <v>0.89962686567164196</v>
      </c>
      <c r="Q3" t="s">
        <v>1568</v>
      </c>
      <c r="R3">
        <v>0.109773228978527</v>
      </c>
      <c r="S3">
        <v>0.87477423239012597</v>
      </c>
    </row>
    <row r="4" spans="1:19" x14ac:dyDescent="0.25">
      <c r="A4" t="s">
        <v>11</v>
      </c>
      <c r="B4" t="s">
        <v>12</v>
      </c>
      <c r="C4" t="s">
        <v>9</v>
      </c>
      <c r="D4" t="s">
        <v>10</v>
      </c>
      <c r="E4" t="s">
        <v>70</v>
      </c>
      <c r="F4" t="s">
        <v>92</v>
      </c>
      <c r="G4" t="s">
        <v>92</v>
      </c>
      <c r="H4">
        <v>77</v>
      </c>
      <c r="I4">
        <v>47</v>
      </c>
      <c r="J4">
        <v>4359</v>
      </c>
      <c r="K4">
        <v>2411</v>
      </c>
      <c r="L4" t="s">
        <v>58</v>
      </c>
      <c r="M4">
        <v>624</v>
      </c>
      <c r="N4" t="s">
        <v>1567</v>
      </c>
      <c r="O4">
        <v>1.7537313432835801E-2</v>
      </c>
      <c r="P4">
        <v>0.89962686567164196</v>
      </c>
      <c r="Q4" t="s">
        <v>1568</v>
      </c>
      <c r="R4">
        <v>1.54525386313466E-2</v>
      </c>
      <c r="S4">
        <v>0.87477423239012597</v>
      </c>
    </row>
    <row r="5" spans="1:19" x14ac:dyDescent="0.25">
      <c r="A5" t="s">
        <v>15</v>
      </c>
      <c r="B5" t="s">
        <v>16</v>
      </c>
      <c r="C5" t="s">
        <v>17</v>
      </c>
      <c r="D5" t="s">
        <v>18</v>
      </c>
      <c r="E5" t="s">
        <v>72</v>
      </c>
      <c r="F5" t="s">
        <v>92</v>
      </c>
      <c r="G5" t="s">
        <v>92</v>
      </c>
      <c r="H5">
        <v>333</v>
      </c>
      <c r="I5">
        <v>207</v>
      </c>
      <c r="J5">
        <v>17477</v>
      </c>
      <c r="K5">
        <v>10742</v>
      </c>
      <c r="L5" t="s">
        <v>60</v>
      </c>
      <c r="M5">
        <v>585</v>
      </c>
      <c r="N5" t="s">
        <v>1569</v>
      </c>
      <c r="O5">
        <v>1.8625157459060598E-2</v>
      </c>
      <c r="P5">
        <v>0.96652870253734002</v>
      </c>
      <c r="Q5" t="s">
        <v>1570</v>
      </c>
      <c r="R5">
        <v>1.8436496512014199E-2</v>
      </c>
      <c r="S5">
        <v>0.967611560181597</v>
      </c>
    </row>
    <row r="6" spans="1:19" x14ac:dyDescent="0.25">
      <c r="A6" t="s">
        <v>19</v>
      </c>
      <c r="B6" t="s">
        <v>1404</v>
      </c>
      <c r="C6" t="s">
        <v>17</v>
      </c>
      <c r="D6" t="s">
        <v>18</v>
      </c>
      <c r="E6" t="s">
        <v>73</v>
      </c>
      <c r="F6" t="s">
        <v>92</v>
      </c>
      <c r="G6" t="s">
        <v>657</v>
      </c>
      <c r="H6">
        <v>252</v>
      </c>
      <c r="I6">
        <v>165</v>
      </c>
      <c r="J6">
        <v>17477</v>
      </c>
      <c r="K6">
        <v>10742</v>
      </c>
      <c r="L6" t="s">
        <v>60</v>
      </c>
      <c r="M6">
        <v>585</v>
      </c>
      <c r="N6" t="s">
        <v>1569</v>
      </c>
      <c r="O6">
        <v>1.4846140003599099E-2</v>
      </c>
      <c r="P6">
        <v>0.96652870253734002</v>
      </c>
      <c r="Q6" t="s">
        <v>1570</v>
      </c>
      <c r="R6">
        <v>1.3951943306389099E-2</v>
      </c>
      <c r="S6">
        <v>0.967611560181597</v>
      </c>
    </row>
    <row r="7" spans="1:19" x14ac:dyDescent="0.25">
      <c r="A7" t="s">
        <v>20</v>
      </c>
      <c r="B7" t="s">
        <v>1391</v>
      </c>
      <c r="C7" t="s">
        <v>1402</v>
      </c>
      <c r="D7" t="s">
        <v>21</v>
      </c>
      <c r="E7" t="s">
        <v>74</v>
      </c>
      <c r="F7" t="s">
        <v>92</v>
      </c>
      <c r="G7" t="s">
        <v>657</v>
      </c>
      <c r="H7">
        <v>140</v>
      </c>
      <c r="I7">
        <v>56</v>
      </c>
      <c r="J7">
        <v>2687</v>
      </c>
      <c r="K7">
        <v>954</v>
      </c>
      <c r="L7" t="s">
        <v>61</v>
      </c>
      <c r="M7">
        <v>140</v>
      </c>
      <c r="N7" t="s">
        <v>1571</v>
      </c>
      <c r="O7">
        <v>5.5445544554455398E-2</v>
      </c>
      <c r="P7">
        <v>0.94455445544554395</v>
      </c>
      <c r="Q7" t="s">
        <v>1572</v>
      </c>
      <c r="R7">
        <v>4.9522461973823803E-2</v>
      </c>
      <c r="S7">
        <v>0.95047753802617596</v>
      </c>
    </row>
    <row r="8" spans="1:19" x14ac:dyDescent="0.25">
      <c r="A8" t="s">
        <v>1413</v>
      </c>
      <c r="B8" t="s">
        <v>1410</v>
      </c>
      <c r="C8" t="s">
        <v>1408</v>
      </c>
      <c r="D8" t="s">
        <v>1083</v>
      </c>
      <c r="E8" t="s">
        <v>1409</v>
      </c>
      <c r="F8" t="s">
        <v>92</v>
      </c>
      <c r="G8" t="s">
        <v>657</v>
      </c>
      <c r="H8">
        <v>255</v>
      </c>
      <c r="I8">
        <v>134</v>
      </c>
      <c r="J8">
        <v>14680</v>
      </c>
      <c r="K8">
        <v>6560</v>
      </c>
      <c r="L8" t="s">
        <v>567</v>
      </c>
      <c r="M8">
        <v>255</v>
      </c>
      <c r="N8" t="s">
        <v>1573</v>
      </c>
      <c r="O8">
        <v>2.0017926501344499E-2</v>
      </c>
      <c r="P8">
        <v>0.97998207349865596</v>
      </c>
      <c r="Q8" t="s">
        <v>1574</v>
      </c>
      <c r="R8">
        <v>1.70739872782056E-2</v>
      </c>
      <c r="S8">
        <v>0.98292601272179403</v>
      </c>
    </row>
    <row r="9" spans="1:19" x14ac:dyDescent="0.25">
      <c r="A9" t="s">
        <v>28</v>
      </c>
      <c r="B9" t="s">
        <v>29</v>
      </c>
      <c r="C9" t="s">
        <v>24</v>
      </c>
      <c r="D9" t="s">
        <v>25</v>
      </c>
      <c r="E9" t="s">
        <v>77</v>
      </c>
      <c r="F9" t="s">
        <v>92</v>
      </c>
      <c r="G9" t="s">
        <v>92</v>
      </c>
      <c r="H9">
        <v>222</v>
      </c>
      <c r="I9">
        <v>85</v>
      </c>
      <c r="J9">
        <v>50322</v>
      </c>
      <c r="K9">
        <v>11262</v>
      </c>
      <c r="L9" t="s">
        <v>62</v>
      </c>
      <c r="M9">
        <v>999</v>
      </c>
      <c r="N9" t="s">
        <v>1575</v>
      </c>
      <c r="O9">
        <v>7.2531785988565597E-3</v>
      </c>
      <c r="P9">
        <v>0.96100349859203005</v>
      </c>
      <c r="Q9" t="s">
        <v>1576</v>
      </c>
      <c r="R9">
        <v>4.3257146197462999E-3</v>
      </c>
      <c r="S9">
        <v>0.98053428421114197</v>
      </c>
    </row>
    <row r="10" spans="1:19" x14ac:dyDescent="0.25">
      <c r="A10" t="s">
        <v>26</v>
      </c>
      <c r="B10" t="s">
        <v>27</v>
      </c>
      <c r="C10" t="s">
        <v>24</v>
      </c>
      <c r="D10" t="s">
        <v>25</v>
      </c>
      <c r="E10" t="s">
        <v>76</v>
      </c>
      <c r="F10" t="s">
        <v>92</v>
      </c>
      <c r="G10" t="s">
        <v>92</v>
      </c>
      <c r="H10">
        <v>549</v>
      </c>
      <c r="I10">
        <v>221</v>
      </c>
      <c r="J10">
        <v>50322</v>
      </c>
      <c r="K10">
        <v>11262</v>
      </c>
      <c r="L10" t="s">
        <v>62</v>
      </c>
      <c r="M10">
        <v>999</v>
      </c>
      <c r="N10" t="s">
        <v>1575</v>
      </c>
      <c r="O10">
        <v>1.8858264357027001E-2</v>
      </c>
      <c r="P10">
        <v>0.96100349859203005</v>
      </c>
      <c r="Q10" t="s">
        <v>1576</v>
      </c>
      <c r="R10">
        <v>1.0697375343426701E-2</v>
      </c>
      <c r="S10">
        <v>0.98053428421114197</v>
      </c>
    </row>
    <row r="11" spans="1:19" x14ac:dyDescent="0.25">
      <c r="A11" t="s">
        <v>22</v>
      </c>
      <c r="B11" t="s">
        <v>23</v>
      </c>
      <c r="C11" t="s">
        <v>24</v>
      </c>
      <c r="D11" t="s">
        <v>25</v>
      </c>
      <c r="E11" t="s">
        <v>75</v>
      </c>
      <c r="F11" t="s">
        <v>92</v>
      </c>
      <c r="G11" t="s">
        <v>657</v>
      </c>
      <c r="H11">
        <v>228</v>
      </c>
      <c r="I11">
        <v>151</v>
      </c>
      <c r="J11">
        <v>50322</v>
      </c>
      <c r="K11">
        <v>11262</v>
      </c>
      <c r="L11" t="s">
        <v>62</v>
      </c>
      <c r="M11">
        <v>999</v>
      </c>
      <c r="N11" t="s">
        <v>1575</v>
      </c>
      <c r="O11">
        <v>1.2885058452086399E-2</v>
      </c>
      <c r="P11">
        <v>0.96100349859203005</v>
      </c>
      <c r="Q11" t="s">
        <v>1576</v>
      </c>
      <c r="R11">
        <v>4.4426258256853902E-3</v>
      </c>
      <c r="S11">
        <v>0.98053428421114197</v>
      </c>
    </row>
    <row r="12" spans="1:19" x14ac:dyDescent="0.25">
      <c r="A12" t="s">
        <v>43</v>
      </c>
      <c r="B12" t="s">
        <v>44</v>
      </c>
      <c r="C12" t="s">
        <v>45</v>
      </c>
      <c r="D12" t="s">
        <v>46</v>
      </c>
      <c r="E12" t="s">
        <v>78</v>
      </c>
      <c r="F12" t="s">
        <v>92</v>
      </c>
      <c r="G12" t="s">
        <v>92</v>
      </c>
      <c r="H12">
        <v>485</v>
      </c>
      <c r="I12">
        <v>328</v>
      </c>
      <c r="J12">
        <v>2712</v>
      </c>
      <c r="K12">
        <v>2001</v>
      </c>
      <c r="L12" t="s">
        <v>63</v>
      </c>
      <c r="M12">
        <v>902</v>
      </c>
      <c r="N12" t="s">
        <v>1577</v>
      </c>
      <c r="O12">
        <v>0.12792511700468001</v>
      </c>
      <c r="P12">
        <v>0.78042121684867405</v>
      </c>
      <c r="Q12" t="s">
        <v>1578</v>
      </c>
      <c r="R12">
        <v>0.134200332042059</v>
      </c>
      <c r="S12">
        <v>0.75041505257332597</v>
      </c>
    </row>
    <row r="13" spans="1:19" x14ac:dyDescent="0.25">
      <c r="A13" t="s">
        <v>47</v>
      </c>
      <c r="B13" t="s">
        <v>48</v>
      </c>
      <c r="C13" t="s">
        <v>45</v>
      </c>
      <c r="D13" t="s">
        <v>46</v>
      </c>
      <c r="E13" t="s">
        <v>79</v>
      </c>
      <c r="F13" t="s">
        <v>92</v>
      </c>
      <c r="G13" t="s">
        <v>657</v>
      </c>
      <c r="H13">
        <v>417</v>
      </c>
      <c r="I13">
        <v>235</v>
      </c>
      <c r="J13">
        <v>2712</v>
      </c>
      <c r="K13">
        <v>2001</v>
      </c>
      <c r="L13" t="s">
        <v>63</v>
      </c>
      <c r="M13">
        <v>902</v>
      </c>
      <c r="N13" t="s">
        <v>1577</v>
      </c>
      <c r="O13">
        <v>9.1653666146645899E-2</v>
      </c>
      <c r="P13">
        <v>0.78042121684867405</v>
      </c>
      <c r="Q13" t="s">
        <v>1578</v>
      </c>
      <c r="R13">
        <v>0.115384615384615</v>
      </c>
      <c r="S13">
        <v>0.75041505257332597</v>
      </c>
    </row>
    <row r="14" spans="1:19" x14ac:dyDescent="0.25">
      <c r="A14" t="s">
        <v>36</v>
      </c>
      <c r="B14" t="s">
        <v>37</v>
      </c>
      <c r="C14" t="s">
        <v>32</v>
      </c>
      <c r="D14" t="s">
        <v>33</v>
      </c>
      <c r="E14" t="s">
        <v>82</v>
      </c>
      <c r="F14" t="s">
        <v>92</v>
      </c>
      <c r="G14" t="s">
        <v>657</v>
      </c>
      <c r="H14">
        <v>842</v>
      </c>
      <c r="I14">
        <v>393</v>
      </c>
      <c r="J14">
        <v>29080</v>
      </c>
      <c r="K14">
        <v>17420</v>
      </c>
      <c r="L14" t="s">
        <v>64</v>
      </c>
      <c r="M14">
        <v>1321</v>
      </c>
      <c r="N14" t="s">
        <v>1579</v>
      </c>
      <c r="O14">
        <v>2.1798213988574001E-2</v>
      </c>
      <c r="P14">
        <v>0.96622108824671404</v>
      </c>
      <c r="Q14" t="s">
        <v>1580</v>
      </c>
      <c r="R14">
        <v>2.7696457353376499E-2</v>
      </c>
      <c r="S14">
        <v>0.95654748199072404</v>
      </c>
    </row>
    <row r="15" spans="1:19" x14ac:dyDescent="0.25">
      <c r="A15" t="s">
        <v>30</v>
      </c>
      <c r="B15" t="s">
        <v>31</v>
      </c>
      <c r="C15" t="s">
        <v>32</v>
      </c>
      <c r="D15" t="s">
        <v>33</v>
      </c>
      <c r="E15" t="s">
        <v>80</v>
      </c>
      <c r="F15" t="s">
        <v>92</v>
      </c>
      <c r="G15" t="s">
        <v>92</v>
      </c>
      <c r="H15">
        <v>31</v>
      </c>
      <c r="I15">
        <v>26</v>
      </c>
      <c r="J15">
        <v>29080</v>
      </c>
      <c r="K15">
        <v>17420</v>
      </c>
      <c r="L15" t="s">
        <v>64</v>
      </c>
      <c r="M15">
        <v>1321</v>
      </c>
      <c r="N15" t="s">
        <v>1579</v>
      </c>
      <c r="O15">
        <v>1.4421210272339E-3</v>
      </c>
      <c r="P15">
        <v>0.96622108824671404</v>
      </c>
      <c r="Q15" t="s">
        <v>1580</v>
      </c>
      <c r="R15">
        <v>1.01970329923358E-3</v>
      </c>
      <c r="S15">
        <v>0.95654748199072404</v>
      </c>
    </row>
    <row r="16" spans="1:19" x14ac:dyDescent="0.25">
      <c r="A16" t="s">
        <v>34</v>
      </c>
      <c r="B16" t="s">
        <v>35</v>
      </c>
      <c r="C16" t="s">
        <v>32</v>
      </c>
      <c r="D16" t="s">
        <v>33</v>
      </c>
      <c r="E16" t="s">
        <v>81</v>
      </c>
      <c r="F16" t="s">
        <v>92</v>
      </c>
      <c r="G16" t="s">
        <v>92</v>
      </c>
      <c r="H16">
        <v>448</v>
      </c>
      <c r="I16">
        <v>190</v>
      </c>
      <c r="J16">
        <v>29080</v>
      </c>
      <c r="K16">
        <v>17420</v>
      </c>
      <c r="L16" t="s">
        <v>64</v>
      </c>
      <c r="M16">
        <v>1321</v>
      </c>
      <c r="N16" t="s">
        <v>1579</v>
      </c>
      <c r="O16">
        <v>1.0538576737478499E-2</v>
      </c>
      <c r="P16">
        <v>0.96622108824671404</v>
      </c>
      <c r="Q16" t="s">
        <v>1580</v>
      </c>
      <c r="R16">
        <v>1.47363573566659E-2</v>
      </c>
      <c r="S16">
        <v>0.95654748199072404</v>
      </c>
    </row>
    <row r="17" spans="1:19" x14ac:dyDescent="0.25">
      <c r="A17" t="s">
        <v>38</v>
      </c>
      <c r="B17" t="s">
        <v>1405</v>
      </c>
      <c r="C17" t="s">
        <v>39</v>
      </c>
      <c r="D17" t="s">
        <v>40</v>
      </c>
      <c r="E17" t="s">
        <v>83</v>
      </c>
      <c r="F17" t="s">
        <v>92</v>
      </c>
      <c r="G17" t="s">
        <v>657</v>
      </c>
      <c r="H17">
        <v>311</v>
      </c>
      <c r="I17">
        <v>203</v>
      </c>
      <c r="J17">
        <v>27650</v>
      </c>
      <c r="K17">
        <v>15550</v>
      </c>
      <c r="L17" t="s">
        <v>65</v>
      </c>
      <c r="M17">
        <v>460</v>
      </c>
      <c r="N17" t="s">
        <v>1581</v>
      </c>
      <c r="O17">
        <v>1.2817274908447999E-2</v>
      </c>
      <c r="P17">
        <v>0.98181588584417201</v>
      </c>
      <c r="Q17" t="s">
        <v>1582</v>
      </c>
      <c r="R17">
        <v>1.10636784062611E-2</v>
      </c>
      <c r="S17">
        <v>0.98363571682675199</v>
      </c>
    </row>
    <row r="18" spans="1:19" x14ac:dyDescent="0.25">
      <c r="A18" t="s">
        <v>41</v>
      </c>
      <c r="B18" t="s">
        <v>42</v>
      </c>
      <c r="C18" t="s">
        <v>39</v>
      </c>
      <c r="D18" t="s">
        <v>40</v>
      </c>
      <c r="E18" t="s">
        <v>84</v>
      </c>
      <c r="F18" t="s">
        <v>92</v>
      </c>
      <c r="G18" t="s">
        <v>92</v>
      </c>
      <c r="H18">
        <v>149</v>
      </c>
      <c r="I18">
        <v>85</v>
      </c>
      <c r="J18">
        <v>27650</v>
      </c>
      <c r="K18">
        <v>15550</v>
      </c>
      <c r="L18" t="s">
        <v>65</v>
      </c>
      <c r="M18">
        <v>460</v>
      </c>
      <c r="N18" t="s">
        <v>1581</v>
      </c>
      <c r="O18">
        <v>5.36683924737972E-3</v>
      </c>
      <c r="P18">
        <v>0.98181588584417201</v>
      </c>
      <c r="Q18" t="s">
        <v>1582</v>
      </c>
      <c r="R18">
        <v>5.3006047669868399E-3</v>
      </c>
      <c r="S18">
        <v>0.98363571682675199</v>
      </c>
    </row>
    <row r="19" spans="1:19" x14ac:dyDescent="0.25">
      <c r="A19" t="s">
        <v>1414</v>
      </c>
      <c r="B19" t="s">
        <v>1412</v>
      </c>
      <c r="C19" t="s">
        <v>51</v>
      </c>
      <c r="D19" t="s">
        <v>52</v>
      </c>
      <c r="E19" t="s">
        <v>1411</v>
      </c>
      <c r="F19" t="s">
        <v>92</v>
      </c>
      <c r="G19" t="s">
        <v>657</v>
      </c>
      <c r="H19">
        <v>64</v>
      </c>
      <c r="I19">
        <v>32</v>
      </c>
      <c r="J19">
        <v>21927</v>
      </c>
      <c r="K19">
        <v>9265</v>
      </c>
      <c r="L19" t="s">
        <v>66</v>
      </c>
      <c r="M19">
        <v>239</v>
      </c>
      <c r="N19" t="s">
        <v>1583</v>
      </c>
      <c r="O19">
        <v>3.4096963239211501E-3</v>
      </c>
      <c r="P19">
        <v>0.987213638785296</v>
      </c>
      <c r="Q19" t="s">
        <v>1584</v>
      </c>
      <c r="R19">
        <v>2.8873048813498202E-3</v>
      </c>
      <c r="S19">
        <v>0.98921772083370896</v>
      </c>
    </row>
    <row r="20" spans="1:19" x14ac:dyDescent="0.25">
      <c r="A20" t="s">
        <v>49</v>
      </c>
      <c r="B20" t="s">
        <v>50</v>
      </c>
      <c r="C20" t="s">
        <v>51</v>
      </c>
      <c r="D20" t="s">
        <v>52</v>
      </c>
      <c r="E20" t="s">
        <v>85</v>
      </c>
      <c r="F20" t="s">
        <v>92</v>
      </c>
      <c r="G20" t="s">
        <v>92</v>
      </c>
      <c r="H20">
        <v>54</v>
      </c>
      <c r="I20">
        <v>13</v>
      </c>
      <c r="J20">
        <v>21927</v>
      </c>
      <c r="K20">
        <v>9265</v>
      </c>
      <c r="L20" t="s">
        <v>66</v>
      </c>
      <c r="M20">
        <v>239</v>
      </c>
      <c r="N20" t="s">
        <v>1583</v>
      </c>
      <c r="O20">
        <v>1.38518913159297E-3</v>
      </c>
      <c r="P20">
        <v>0.987213638785296</v>
      </c>
      <c r="Q20" t="s">
        <v>1584</v>
      </c>
      <c r="R20">
        <v>2.43616349363891E-3</v>
      </c>
      <c r="S20">
        <v>0.98921772083370896</v>
      </c>
    </row>
    <row r="21" spans="1:19" x14ac:dyDescent="0.25">
      <c r="A21" t="s">
        <v>53</v>
      </c>
      <c r="B21" t="s">
        <v>54</v>
      </c>
      <c r="C21" t="s">
        <v>51</v>
      </c>
      <c r="D21" t="s">
        <v>52</v>
      </c>
      <c r="E21" t="s">
        <v>86</v>
      </c>
      <c r="F21" t="s">
        <v>92</v>
      </c>
      <c r="G21" t="s">
        <v>92</v>
      </c>
      <c r="H21">
        <v>121</v>
      </c>
      <c r="I21">
        <v>75</v>
      </c>
      <c r="J21">
        <v>21927</v>
      </c>
      <c r="K21">
        <v>9265</v>
      </c>
      <c r="L21" t="s">
        <v>66</v>
      </c>
      <c r="M21">
        <v>239</v>
      </c>
      <c r="N21" t="s">
        <v>1583</v>
      </c>
      <c r="O21">
        <v>7.9914757591901999E-3</v>
      </c>
      <c r="P21">
        <v>0.987213638785296</v>
      </c>
      <c r="Q21" t="s">
        <v>1584</v>
      </c>
      <c r="R21">
        <v>5.4588107913019898E-3</v>
      </c>
      <c r="S21">
        <v>0.98921772083370896</v>
      </c>
    </row>
    <row r="22" spans="1:19" x14ac:dyDescent="0.25">
      <c r="A22" t="s">
        <v>55</v>
      </c>
      <c r="B22" t="s">
        <v>1406</v>
      </c>
      <c r="C22" t="s">
        <v>1397</v>
      </c>
      <c r="D22" t="s">
        <v>56</v>
      </c>
      <c r="E22" t="s">
        <v>87</v>
      </c>
      <c r="F22" t="s">
        <v>92</v>
      </c>
      <c r="G22" t="s">
        <v>657</v>
      </c>
      <c r="H22">
        <v>253</v>
      </c>
      <c r="I22">
        <v>138</v>
      </c>
      <c r="J22">
        <v>7106</v>
      </c>
      <c r="K22">
        <v>4224</v>
      </c>
      <c r="L22" t="s">
        <v>67</v>
      </c>
      <c r="M22">
        <v>253</v>
      </c>
      <c r="N22" t="s">
        <v>1585</v>
      </c>
      <c r="O22">
        <v>3.1636863823933999E-2</v>
      </c>
      <c r="P22">
        <v>0.96836313617606595</v>
      </c>
      <c r="Q22" t="s">
        <v>1586</v>
      </c>
      <c r="R22">
        <v>3.4379671150971597E-2</v>
      </c>
      <c r="S22">
        <v>0.96562032884902804</v>
      </c>
    </row>
  </sheetData>
  <sheetProtection algorithmName="SHA-512" hashValue="aX+/vjF/FQ5HZ+TMFsBM27QXUJy241GUo9sorZQRPQg7hL2JAgIKyAb0nHNWpk8bwsUNi+eyzP3Gz9/JEGFdYA==" saltValue="9mZRaY1SoXZFRO6BOnIYIg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8FDE4-178F-42AC-8FDA-222B0F56AF46}">
  <dimension ref="A1:Z320"/>
  <sheetViews>
    <sheetView workbookViewId="0">
      <selection activeCell="H2" sqref="H2"/>
    </sheetView>
  </sheetViews>
  <sheetFormatPr defaultRowHeight="15" x14ac:dyDescent="0.25"/>
  <cols>
    <col min="1" max="1" width="8.28515625" bestFit="1" customWidth="1"/>
    <col min="2" max="2" width="43" bestFit="1" customWidth="1"/>
    <col min="3" max="3" width="31.5703125" bestFit="1" customWidth="1"/>
    <col min="4" max="4" width="40" bestFit="1" customWidth="1"/>
    <col min="5" max="5" width="35.140625" bestFit="1" customWidth="1"/>
    <col min="6" max="6" width="31.140625" bestFit="1" customWidth="1"/>
    <col min="7" max="7" width="31.5703125" bestFit="1" customWidth="1"/>
    <col min="8" max="8" width="38.5703125" bestFit="1" customWidth="1"/>
    <col min="9" max="9" width="35" bestFit="1" customWidth="1"/>
    <col min="10" max="10" width="14.140625" bestFit="1" customWidth="1"/>
    <col min="11" max="11" width="17.140625" bestFit="1" customWidth="1"/>
    <col min="12" max="12" width="17.85546875" bestFit="1" customWidth="1"/>
    <col min="13" max="13" width="15.5703125" bestFit="1" customWidth="1"/>
    <col min="14" max="15" width="24.42578125" customWidth="1"/>
    <col min="16" max="16" width="24.42578125" bestFit="1" customWidth="1"/>
    <col min="17" max="17" width="14.140625" bestFit="1" customWidth="1"/>
    <col min="18" max="18" width="17.140625" bestFit="1" customWidth="1"/>
    <col min="19" max="19" width="17.85546875" bestFit="1" customWidth="1"/>
    <col min="20" max="20" width="15.5703125" bestFit="1" customWidth="1"/>
    <col min="21" max="22" width="24.42578125" bestFit="1" customWidth="1"/>
    <col min="23" max="23" width="48.28515625" bestFit="1" customWidth="1"/>
    <col min="24" max="25" width="57.28515625" bestFit="1" customWidth="1"/>
    <col min="26" max="26" width="17.85546875" customWidth="1"/>
    <col min="27" max="27" width="17.85546875" bestFit="1" customWidth="1"/>
    <col min="28" max="28" width="9.42578125" bestFit="1" customWidth="1"/>
    <col min="29" max="29" width="17.28515625" bestFit="1" customWidth="1"/>
    <col min="30" max="30" width="43" bestFit="1" customWidth="1"/>
    <col min="31" max="31" width="17.85546875" bestFit="1" customWidth="1"/>
    <col min="32" max="32" width="43" bestFit="1" customWidth="1"/>
    <col min="33" max="33" width="15.7109375" bestFit="1" customWidth="1"/>
  </cols>
  <sheetData>
    <row r="1" spans="1:15" x14ac:dyDescent="0.25">
      <c r="A1" t="s">
        <v>4</v>
      </c>
      <c r="B1" t="s">
        <v>1284</v>
      </c>
      <c r="C1" t="s">
        <v>1598</v>
      </c>
      <c r="D1" t="s">
        <v>1599</v>
      </c>
      <c r="E1" t="s">
        <v>1425</v>
      </c>
      <c r="F1" t="s">
        <v>1426</v>
      </c>
      <c r="G1" t="s">
        <v>1600</v>
      </c>
      <c r="H1" t="s">
        <v>1601</v>
      </c>
      <c r="I1" t="s">
        <v>1387</v>
      </c>
      <c r="J1" t="s">
        <v>1292</v>
      </c>
      <c r="K1" t="s">
        <v>1296</v>
      </c>
      <c r="L1" t="s">
        <v>1297</v>
      </c>
      <c r="M1" t="s">
        <v>1305</v>
      </c>
      <c r="N1" t="s">
        <v>1307</v>
      </c>
      <c r="O1" t="s">
        <v>1308</v>
      </c>
    </row>
    <row r="2" spans="1:15" x14ac:dyDescent="0.25">
      <c r="A2" t="s">
        <v>313</v>
      </c>
      <c r="B2" t="s">
        <v>666</v>
      </c>
      <c r="C2">
        <v>608099.02162910427</v>
      </c>
      <c r="D2">
        <v>159077.55906511011</v>
      </c>
      <c r="E2">
        <v>354894.19893907284</v>
      </c>
      <c r="F2">
        <v>489383.50087358837</v>
      </c>
      <c r="G2">
        <v>1611454.2805068758</v>
      </c>
      <c r="H2">
        <v>1500274.5001465308</v>
      </c>
      <c r="I2">
        <v>111179.78036034503</v>
      </c>
      <c r="J2">
        <v>11510.88346591194</v>
      </c>
      <c r="K2">
        <v>0</v>
      </c>
      <c r="L2">
        <v>1488763.6166806188</v>
      </c>
      <c r="M2">
        <v>3541</v>
      </c>
      <c r="N2">
        <v>753</v>
      </c>
      <c r="O2">
        <v>0.21265179327873501</v>
      </c>
    </row>
    <row r="3" spans="1:15" x14ac:dyDescent="0.25">
      <c r="A3" t="s">
        <v>264</v>
      </c>
      <c r="B3" t="s">
        <v>668</v>
      </c>
      <c r="C3">
        <v>37494.159715491551</v>
      </c>
      <c r="D3">
        <v>0</v>
      </c>
      <c r="E3">
        <v>17273.914319536685</v>
      </c>
      <c r="F3">
        <v>23819.968567411153</v>
      </c>
      <c r="G3">
        <v>78588.042602439382</v>
      </c>
      <c r="H3">
        <v>78588.042602439382</v>
      </c>
      <c r="I3">
        <v>0</v>
      </c>
      <c r="J3">
        <v>602.96819023615296</v>
      </c>
      <c r="K3">
        <v>0</v>
      </c>
      <c r="L3">
        <v>77985.074412203234</v>
      </c>
      <c r="M3">
        <v>736</v>
      </c>
      <c r="N3">
        <v>44</v>
      </c>
      <c r="O3">
        <v>5.9782608695652197E-2</v>
      </c>
    </row>
    <row r="4" spans="1:15" x14ac:dyDescent="0.25">
      <c r="A4" t="s">
        <v>266</v>
      </c>
      <c r="B4" t="s">
        <v>670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95</v>
      </c>
      <c r="N4">
        <v>8</v>
      </c>
      <c r="O4">
        <v>8.42105263157895E-2</v>
      </c>
    </row>
    <row r="5" spans="1:15" x14ac:dyDescent="0.25">
      <c r="A5" t="s">
        <v>93</v>
      </c>
      <c r="B5" t="s">
        <v>672</v>
      </c>
      <c r="C5">
        <v>232579.70548364142</v>
      </c>
      <c r="D5">
        <v>0</v>
      </c>
      <c r="E5">
        <v>113065.62100060374</v>
      </c>
      <c r="F5">
        <v>155912.52153214574</v>
      </c>
      <c r="G5">
        <v>501557.84801639087</v>
      </c>
      <c r="H5">
        <v>446695.75196745404</v>
      </c>
      <c r="I5">
        <v>54862.09604893683</v>
      </c>
      <c r="J5">
        <v>3427.2813042633634</v>
      </c>
      <c r="K5">
        <v>0</v>
      </c>
      <c r="L5">
        <v>443268.4706631907</v>
      </c>
      <c r="M5">
        <v>2866</v>
      </c>
      <c r="N5">
        <v>288</v>
      </c>
      <c r="O5">
        <v>0.100488485694348</v>
      </c>
    </row>
    <row r="6" spans="1:15" x14ac:dyDescent="0.25">
      <c r="A6" t="s">
        <v>95</v>
      </c>
      <c r="B6" t="s">
        <v>674</v>
      </c>
      <c r="C6">
        <v>392478.25300364505</v>
      </c>
      <c r="D6">
        <v>0</v>
      </c>
      <c r="E6">
        <v>190798.23543851878</v>
      </c>
      <c r="F6">
        <v>263102.38008549588</v>
      </c>
      <c r="G6">
        <v>846378.86852765968</v>
      </c>
      <c r="H6">
        <v>753799.08144507883</v>
      </c>
      <c r="I6">
        <v>92579.78708258085</v>
      </c>
      <c r="J6">
        <v>5783.5372009444263</v>
      </c>
      <c r="K6">
        <v>0</v>
      </c>
      <c r="L6">
        <v>748015.54424413445</v>
      </c>
      <c r="M6">
        <v>5998</v>
      </c>
      <c r="N6">
        <v>486</v>
      </c>
      <c r="O6">
        <v>8.1027009003000999E-2</v>
      </c>
    </row>
    <row r="7" spans="1:15" x14ac:dyDescent="0.25">
      <c r="A7" t="s">
        <v>314</v>
      </c>
      <c r="B7" t="s">
        <v>676</v>
      </c>
      <c r="C7">
        <v>51684.378996364794</v>
      </c>
      <c r="D7">
        <v>0</v>
      </c>
      <c r="E7">
        <v>25125.693555689726</v>
      </c>
      <c r="F7">
        <v>34647.227007143505</v>
      </c>
      <c r="G7">
        <v>111457.29955919803</v>
      </c>
      <c r="H7">
        <v>99265.722659434279</v>
      </c>
      <c r="I7">
        <v>12191.57689976375</v>
      </c>
      <c r="J7">
        <v>761.61806761408116</v>
      </c>
      <c r="K7">
        <v>0</v>
      </c>
      <c r="L7">
        <v>98504.1045918202</v>
      </c>
      <c r="M7">
        <v>508</v>
      </c>
      <c r="N7">
        <v>64</v>
      </c>
      <c r="O7">
        <v>0.12598425196850399</v>
      </c>
    </row>
    <row r="8" spans="1:15" x14ac:dyDescent="0.25">
      <c r="A8" t="s">
        <v>316</v>
      </c>
      <c r="B8" t="s">
        <v>678</v>
      </c>
      <c r="C8">
        <v>2291071.6126982328</v>
      </c>
      <c r="D8">
        <v>599340.02001024887</v>
      </c>
      <c r="E8">
        <v>1647892.1671876183</v>
      </c>
      <c r="F8">
        <v>2272370.8650388252</v>
      </c>
      <c r="G8">
        <v>6810674.6649349248</v>
      </c>
      <c r="H8">
        <v>6065700.0042782156</v>
      </c>
      <c r="I8">
        <v>744974.66065670922</v>
      </c>
      <c r="J8">
        <v>46539.193915252625</v>
      </c>
      <c r="K8">
        <v>0</v>
      </c>
      <c r="L8">
        <v>6019160.810362963</v>
      </c>
      <c r="M8">
        <v>18711</v>
      </c>
      <c r="N8">
        <v>2837</v>
      </c>
      <c r="O8">
        <v>0.15162204051092901</v>
      </c>
    </row>
    <row r="9" spans="1:15" x14ac:dyDescent="0.25">
      <c r="A9" t="s">
        <v>97</v>
      </c>
      <c r="B9" t="s">
        <v>680</v>
      </c>
      <c r="C9">
        <v>129210.94749091196</v>
      </c>
      <c r="D9">
        <v>0</v>
      </c>
      <c r="E9">
        <v>0</v>
      </c>
      <c r="F9">
        <v>0</v>
      </c>
      <c r="G9">
        <v>129210.94749091196</v>
      </c>
      <c r="H9">
        <v>115077.41645385223</v>
      </c>
      <c r="I9">
        <v>14133.531037059729</v>
      </c>
      <c r="J9">
        <v>882.93357664156349</v>
      </c>
      <c r="K9">
        <v>0</v>
      </c>
      <c r="L9">
        <v>114194.48287721067</v>
      </c>
      <c r="M9">
        <v>4038</v>
      </c>
      <c r="N9">
        <v>160</v>
      </c>
      <c r="O9">
        <v>3.9623576027736501E-2</v>
      </c>
    </row>
    <row r="10" spans="1:15" x14ac:dyDescent="0.25">
      <c r="A10" t="s">
        <v>99</v>
      </c>
      <c r="B10" t="s">
        <v>682</v>
      </c>
      <c r="C10">
        <v>910937.17981092923</v>
      </c>
      <c r="D10">
        <v>0</v>
      </c>
      <c r="E10">
        <v>528621.03707400325</v>
      </c>
      <c r="F10">
        <v>728945.17445498006</v>
      </c>
      <c r="G10">
        <v>2168503.3913399125</v>
      </c>
      <c r="H10">
        <v>1931305.1462947116</v>
      </c>
      <c r="I10">
        <v>237198.24504520092</v>
      </c>
      <c r="J10">
        <v>14817.973960060739</v>
      </c>
      <c r="K10">
        <v>0</v>
      </c>
      <c r="L10">
        <v>1916487.172334651</v>
      </c>
      <c r="M10">
        <v>16174</v>
      </c>
      <c r="N10">
        <v>1128</v>
      </c>
      <c r="O10">
        <v>6.9741560529244503E-2</v>
      </c>
    </row>
    <row r="11" spans="1:15" x14ac:dyDescent="0.25">
      <c r="A11" t="s">
        <v>101</v>
      </c>
      <c r="B11" t="s">
        <v>684</v>
      </c>
      <c r="C11">
        <v>1299377.5907054828</v>
      </c>
      <c r="D11">
        <v>0</v>
      </c>
      <c r="E11">
        <v>811873.973018224</v>
      </c>
      <c r="F11">
        <v>1119538.5226683239</v>
      </c>
      <c r="G11">
        <v>3230790.0863920306</v>
      </c>
      <c r="H11">
        <v>2877395.3249809803</v>
      </c>
      <c r="I11">
        <v>353394.76141105033</v>
      </c>
      <c r="J11">
        <v>22076.868111789503</v>
      </c>
      <c r="K11">
        <v>0</v>
      </c>
      <c r="L11">
        <v>2855318.4568691906</v>
      </c>
      <c r="M11">
        <v>22916</v>
      </c>
      <c r="N11">
        <v>1609</v>
      </c>
      <c r="O11">
        <v>7.0212951649502503E-2</v>
      </c>
    </row>
    <row r="12" spans="1:15" x14ac:dyDescent="0.25">
      <c r="A12" t="s">
        <v>59</v>
      </c>
      <c r="B12" t="s">
        <v>685</v>
      </c>
      <c r="C12">
        <v>1452088.4044329454</v>
      </c>
      <c r="D12">
        <v>0</v>
      </c>
      <c r="E12">
        <v>924123.36690238479</v>
      </c>
      <c r="F12">
        <v>1274325.5028843624</v>
      </c>
      <c r="G12">
        <v>3650537.2742196927</v>
      </c>
      <c r="H12">
        <v>3251229.1438404433</v>
      </c>
      <c r="I12">
        <v>399308.13037924934</v>
      </c>
      <c r="J12">
        <v>24945.1149053515</v>
      </c>
      <c r="K12">
        <v>0</v>
      </c>
      <c r="L12">
        <v>3226284.028935092</v>
      </c>
      <c r="M12">
        <v>12702</v>
      </c>
      <c r="N12">
        <v>1798</v>
      </c>
      <c r="O12">
        <v>0.14155592315257601</v>
      </c>
    </row>
    <row r="13" spans="1:15" x14ac:dyDescent="0.25">
      <c r="A13" t="s">
        <v>103</v>
      </c>
      <c r="B13" t="s">
        <v>687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16</v>
      </c>
      <c r="N13">
        <v>1</v>
      </c>
      <c r="O13">
        <v>6.25E-2</v>
      </c>
    </row>
    <row r="14" spans="1:15" x14ac:dyDescent="0.25">
      <c r="A14" t="s">
        <v>268</v>
      </c>
      <c r="B14" t="s">
        <v>689</v>
      </c>
      <c r="C14">
        <v>1891325.2438982234</v>
      </c>
      <c r="D14">
        <v>0</v>
      </c>
      <c r="E14">
        <v>1259229.0949980433</v>
      </c>
      <c r="F14">
        <v>1736421.5722720737</v>
      </c>
      <c r="G14">
        <v>4886975.9111683406</v>
      </c>
      <c r="H14">
        <v>4352421.9352158075</v>
      </c>
      <c r="I14">
        <v>534553.97595253307</v>
      </c>
      <c r="J14">
        <v>33394.036681857106</v>
      </c>
      <c r="K14">
        <v>0</v>
      </c>
      <c r="L14">
        <v>4319027.8985339506</v>
      </c>
      <c r="M14">
        <v>24535</v>
      </c>
      <c r="N14">
        <v>2342</v>
      </c>
      <c r="O14">
        <v>9.5455471775015302E-2</v>
      </c>
    </row>
    <row r="15" spans="1:15" x14ac:dyDescent="0.25">
      <c r="A15" t="s">
        <v>318</v>
      </c>
      <c r="B15" t="s">
        <v>691</v>
      </c>
      <c r="C15">
        <v>12113.526327272994</v>
      </c>
      <c r="D15">
        <v>3168.8756785878513</v>
      </c>
      <c r="E15">
        <v>6681.4126526601531</v>
      </c>
      <c r="F15">
        <v>9213.3743648519376</v>
      </c>
      <c r="G15">
        <v>31177.189023372935</v>
      </c>
      <c r="H15">
        <v>27766.922499778935</v>
      </c>
      <c r="I15">
        <v>3410.2665235940003</v>
      </c>
      <c r="J15">
        <v>213.04221932102848</v>
      </c>
      <c r="K15">
        <v>0</v>
      </c>
      <c r="L15">
        <v>27553.880280457906</v>
      </c>
      <c r="M15">
        <v>79</v>
      </c>
      <c r="N15">
        <v>15</v>
      </c>
      <c r="O15">
        <v>0.189873417721519</v>
      </c>
    </row>
    <row r="16" spans="1:15" x14ac:dyDescent="0.25">
      <c r="A16" t="s">
        <v>320</v>
      </c>
      <c r="B16" t="s">
        <v>693</v>
      </c>
      <c r="C16">
        <v>314144.11608727975</v>
      </c>
      <c r="D16">
        <v>82179.509264711596</v>
      </c>
      <c r="E16">
        <v>152717.10614317658</v>
      </c>
      <c r="F16">
        <v>210590.17665279409</v>
      </c>
      <c r="G16">
        <v>759630.90814796207</v>
      </c>
      <c r="H16">
        <v>676539.90676223033</v>
      </c>
      <c r="I16">
        <v>83091.001385731739</v>
      </c>
      <c r="J16">
        <v>5190.7647740585844</v>
      </c>
      <c r="K16">
        <v>0</v>
      </c>
      <c r="L16">
        <v>671349.14198817173</v>
      </c>
      <c r="M16">
        <v>2520</v>
      </c>
      <c r="N16">
        <v>389</v>
      </c>
      <c r="O16">
        <v>0.15436507936507901</v>
      </c>
    </row>
    <row r="17" spans="1:15" x14ac:dyDescent="0.25">
      <c r="A17" t="s">
        <v>322</v>
      </c>
      <c r="B17" t="s">
        <v>695</v>
      </c>
      <c r="C17">
        <v>23419.484232727784</v>
      </c>
      <c r="D17">
        <v>4507.2007555676237</v>
      </c>
      <c r="E17">
        <v>11385.079892421911</v>
      </c>
      <c r="F17">
        <v>15699.524737611899</v>
      </c>
      <c r="G17">
        <v>55011.289618329218</v>
      </c>
      <c r="H17">
        <v>48993.968452380621</v>
      </c>
      <c r="I17">
        <v>6017.3211659485969</v>
      </c>
      <c r="J17">
        <v>375.90711655289573</v>
      </c>
      <c r="K17">
        <v>0</v>
      </c>
      <c r="L17">
        <v>48618.061335827726</v>
      </c>
      <c r="M17">
        <v>215</v>
      </c>
      <c r="N17">
        <v>29</v>
      </c>
      <c r="O17">
        <v>0.13488372093023299</v>
      </c>
    </row>
    <row r="18" spans="1:15" x14ac:dyDescent="0.25">
      <c r="A18" t="s">
        <v>58</v>
      </c>
      <c r="B18" t="s">
        <v>696</v>
      </c>
      <c r="C18">
        <v>673629.18352606171</v>
      </c>
      <c r="D18">
        <v>176220.12603024431</v>
      </c>
      <c r="E18">
        <v>367830.33184711437</v>
      </c>
      <c r="F18">
        <v>507221.85954281624</v>
      </c>
      <c r="G18">
        <v>1724901.5009462365</v>
      </c>
      <c r="H18">
        <v>1606913.5830570182</v>
      </c>
      <c r="I18">
        <v>117987.91788921831</v>
      </c>
      <c r="J18">
        <v>12329.073774535098</v>
      </c>
      <c r="K18">
        <v>0</v>
      </c>
      <c r="L18">
        <v>1594584.509282483</v>
      </c>
      <c r="M18">
        <v>5045</v>
      </c>
      <c r="N18">
        <v>834</v>
      </c>
      <c r="O18">
        <v>0.165347216785312</v>
      </c>
    </row>
    <row r="19" spans="1:15" x14ac:dyDescent="0.25">
      <c r="A19" t="s">
        <v>324</v>
      </c>
      <c r="B19" t="s">
        <v>698</v>
      </c>
      <c r="C19">
        <v>231741.39018647218</v>
      </c>
      <c r="D19">
        <v>60254.61938351611</v>
      </c>
      <c r="E19">
        <v>151751.60030420637</v>
      </c>
      <c r="F19">
        <v>205524.30237483457</v>
      </c>
      <c r="G19">
        <v>649271.91224902926</v>
      </c>
      <c r="H19">
        <v>641254.54040808335</v>
      </c>
      <c r="I19">
        <v>8017.3718409459107</v>
      </c>
      <c r="J19">
        <v>4920.0371571358637</v>
      </c>
      <c r="K19">
        <v>0</v>
      </c>
      <c r="L19">
        <v>636334.50325094745</v>
      </c>
      <c r="M19">
        <v>975</v>
      </c>
      <c r="N19">
        <v>197</v>
      </c>
      <c r="O19">
        <v>0.20205128205128201</v>
      </c>
    </row>
    <row r="20" spans="1:15" x14ac:dyDescent="0.25">
      <c r="A20" t="s">
        <v>326</v>
      </c>
      <c r="B20" t="s">
        <v>700</v>
      </c>
      <c r="C20">
        <v>169130.55845188143</v>
      </c>
      <c r="D20">
        <v>43975.30116410998</v>
      </c>
      <c r="E20">
        <v>122537.81117661785</v>
      </c>
      <c r="F20">
        <v>168974.2554323778</v>
      </c>
      <c r="G20">
        <v>504617.92622498708</v>
      </c>
      <c r="H20">
        <v>449421.10845798481</v>
      </c>
      <c r="I20">
        <v>55196.817767002271</v>
      </c>
      <c r="J20">
        <v>3448.1916516447945</v>
      </c>
      <c r="K20">
        <v>0</v>
      </c>
      <c r="L20">
        <v>445972.91680634004</v>
      </c>
      <c r="M20">
        <v>700</v>
      </c>
      <c r="N20">
        <v>204</v>
      </c>
      <c r="O20">
        <v>0.29142857142857098</v>
      </c>
    </row>
    <row r="21" spans="1:15" x14ac:dyDescent="0.25">
      <c r="A21" t="s">
        <v>328</v>
      </c>
      <c r="B21" t="s">
        <v>702</v>
      </c>
      <c r="C21">
        <v>25842.189498182397</v>
      </c>
      <c r="D21">
        <v>6760.2681143207483</v>
      </c>
      <c r="E21">
        <v>18312.056940692743</v>
      </c>
      <c r="F21">
        <v>25251.521610166474</v>
      </c>
      <c r="G21">
        <v>76166.036163362354</v>
      </c>
      <c r="H21">
        <v>67834.737175245187</v>
      </c>
      <c r="I21">
        <v>8331.298988117167</v>
      </c>
      <c r="J21">
        <v>520.46325821624509</v>
      </c>
      <c r="K21">
        <v>0</v>
      </c>
      <c r="L21">
        <v>67314.273917028942</v>
      </c>
      <c r="M21">
        <v>118</v>
      </c>
      <c r="N21">
        <v>32</v>
      </c>
      <c r="O21">
        <v>0.27118644067796599</v>
      </c>
    </row>
    <row r="22" spans="1:15" x14ac:dyDescent="0.25">
      <c r="A22" t="s">
        <v>330</v>
      </c>
      <c r="B22" t="s">
        <v>704</v>
      </c>
      <c r="C22">
        <v>451612.10172066692</v>
      </c>
      <c r="D22">
        <v>114700.48819341061</v>
      </c>
      <c r="E22">
        <v>203403.42161655519</v>
      </c>
      <c r="F22">
        <v>273929.63852522825</v>
      </c>
      <c r="G22">
        <v>1043645.650055861</v>
      </c>
      <c r="H22">
        <v>1043645.650055861</v>
      </c>
      <c r="I22">
        <v>0</v>
      </c>
      <c r="J22">
        <v>8007.3902851282219</v>
      </c>
      <c r="K22">
        <v>0</v>
      </c>
      <c r="L22">
        <v>1035638.2597707327</v>
      </c>
      <c r="M22">
        <v>3771</v>
      </c>
      <c r="N22">
        <v>506</v>
      </c>
      <c r="O22">
        <v>0.134181914611509</v>
      </c>
    </row>
    <row r="23" spans="1:15" x14ac:dyDescent="0.25">
      <c r="A23" t="s">
        <v>105</v>
      </c>
      <c r="B23" t="s">
        <v>706</v>
      </c>
      <c r="C23">
        <v>266497.57920000586</v>
      </c>
      <c r="D23">
        <v>0</v>
      </c>
      <c r="E23">
        <v>0</v>
      </c>
      <c r="F23">
        <v>0</v>
      </c>
      <c r="G23">
        <v>266497.57920000586</v>
      </c>
      <c r="H23">
        <v>237347.17143607017</v>
      </c>
      <c r="I23">
        <v>29150.407763935684</v>
      </c>
      <c r="J23">
        <v>1821.0505018232245</v>
      </c>
      <c r="K23">
        <v>0</v>
      </c>
      <c r="L23">
        <v>235526.12093424695</v>
      </c>
      <c r="M23">
        <v>7573</v>
      </c>
      <c r="N23">
        <v>330</v>
      </c>
      <c r="O23">
        <v>4.3575861613627399E-2</v>
      </c>
    </row>
    <row r="24" spans="1:15" x14ac:dyDescent="0.25">
      <c r="A24" t="s">
        <v>332</v>
      </c>
      <c r="B24" t="s">
        <v>708</v>
      </c>
      <c r="C24">
        <v>106599.03168000236</v>
      </c>
      <c r="D24">
        <v>27886.105971573088</v>
      </c>
      <c r="E24">
        <v>66409.534157286616</v>
      </c>
      <c r="F24">
        <v>91575.828555193002</v>
      </c>
      <c r="G24">
        <v>292470.50036405504</v>
      </c>
      <c r="H24">
        <v>260479.08652034416</v>
      </c>
      <c r="I24">
        <v>31991.413843710878</v>
      </c>
      <c r="J24">
        <v>1998.5305422107949</v>
      </c>
      <c r="K24">
        <v>0</v>
      </c>
      <c r="L24">
        <v>258480.55597813337</v>
      </c>
      <c r="M24">
        <v>569</v>
      </c>
      <c r="N24">
        <v>132</v>
      </c>
      <c r="O24">
        <v>0.23198594024604599</v>
      </c>
    </row>
    <row r="25" spans="1:15" x14ac:dyDescent="0.25">
      <c r="A25" t="s">
        <v>107</v>
      </c>
      <c r="B25" t="s">
        <v>710</v>
      </c>
      <c r="C25">
        <v>15343.800014545788</v>
      </c>
      <c r="D25">
        <v>0</v>
      </c>
      <c r="E25">
        <v>7459.1902743453838</v>
      </c>
      <c r="F25">
        <v>10285.895517745726</v>
      </c>
      <c r="G25">
        <v>33088.885806636899</v>
      </c>
      <c r="H25">
        <v>29469.51141451954</v>
      </c>
      <c r="I25">
        <v>3619.3743921173591</v>
      </c>
      <c r="J25">
        <v>226.10536382293026</v>
      </c>
      <c r="K25">
        <v>0</v>
      </c>
      <c r="L25">
        <v>29243.406050696609</v>
      </c>
      <c r="M25">
        <v>212</v>
      </c>
      <c r="N25">
        <v>19</v>
      </c>
      <c r="O25">
        <v>8.9622641509433998E-2</v>
      </c>
    </row>
    <row r="26" spans="1:15" x14ac:dyDescent="0.25">
      <c r="A26" t="s">
        <v>334</v>
      </c>
      <c r="B26" t="s">
        <v>712</v>
      </c>
      <c r="C26">
        <v>142132.04224000318</v>
      </c>
      <c r="D26">
        <v>33145.154089018615</v>
      </c>
      <c r="E26">
        <v>69095.65727814674</v>
      </c>
      <c r="F26">
        <v>95279.874269644642</v>
      </c>
      <c r="G26">
        <v>339652.72787681315</v>
      </c>
      <c r="H26">
        <v>339652.72787681315</v>
      </c>
      <c r="I26">
        <v>0</v>
      </c>
      <c r="J26">
        <v>2605.9917495679879</v>
      </c>
      <c r="K26">
        <v>0</v>
      </c>
      <c r="L26">
        <v>337046.73612724518</v>
      </c>
      <c r="M26">
        <v>1590</v>
      </c>
      <c r="N26">
        <v>176</v>
      </c>
      <c r="O26">
        <v>0.110691823899371</v>
      </c>
    </row>
    <row r="27" spans="1:15" x14ac:dyDescent="0.25">
      <c r="A27" t="s">
        <v>336</v>
      </c>
      <c r="B27" t="s">
        <v>714</v>
      </c>
      <c r="C27">
        <v>162321.25278545811</v>
      </c>
      <c r="D27">
        <v>36679.288907377901</v>
      </c>
      <c r="E27">
        <v>78910.381323338021</v>
      </c>
      <c r="F27">
        <v>108813.94731931006</v>
      </c>
      <c r="G27">
        <v>386724.87033548404</v>
      </c>
      <c r="H27">
        <v>376076.02642783086</v>
      </c>
      <c r="I27">
        <v>10648.843907653179</v>
      </c>
      <c r="J27">
        <v>2885.4501720259677</v>
      </c>
      <c r="K27">
        <v>0</v>
      </c>
      <c r="L27">
        <v>373190.57625580492</v>
      </c>
      <c r="M27">
        <v>1530</v>
      </c>
      <c r="N27">
        <v>201</v>
      </c>
      <c r="O27">
        <v>0.13137254901960799</v>
      </c>
    </row>
    <row r="28" spans="1:15" x14ac:dyDescent="0.25">
      <c r="A28" t="s">
        <v>109</v>
      </c>
      <c r="B28" t="s">
        <v>716</v>
      </c>
      <c r="C28">
        <v>161270.32416485486</v>
      </c>
      <c r="D28">
        <v>0</v>
      </c>
      <c r="E28">
        <v>77340.025476107447</v>
      </c>
      <c r="F28">
        <v>106648.49563136358</v>
      </c>
      <c r="G28">
        <v>345258.84527232591</v>
      </c>
      <c r="H28">
        <v>345258.84527232591</v>
      </c>
      <c r="I28">
        <v>0</v>
      </c>
      <c r="J28">
        <v>2649.0047875351506</v>
      </c>
      <c r="K28">
        <v>0</v>
      </c>
      <c r="L28">
        <v>342609.84048479074</v>
      </c>
      <c r="M28">
        <v>1643</v>
      </c>
      <c r="N28">
        <v>197</v>
      </c>
      <c r="O28">
        <v>0.11990261716372499</v>
      </c>
    </row>
    <row r="29" spans="1:15" x14ac:dyDescent="0.25">
      <c r="A29" t="s">
        <v>69</v>
      </c>
      <c r="B29" t="s">
        <v>717</v>
      </c>
      <c r="C29">
        <v>52732.879433532071</v>
      </c>
      <c r="D29">
        <v>0</v>
      </c>
      <c r="E29">
        <v>28794.406500857229</v>
      </c>
      <c r="F29">
        <v>39706.220899333195</v>
      </c>
      <c r="G29">
        <v>121233.50683372249</v>
      </c>
      <c r="H29">
        <v>107972.57527305481</v>
      </c>
      <c r="I29">
        <v>13260.931560667683</v>
      </c>
      <c r="J29">
        <v>828.42155309654993</v>
      </c>
      <c r="K29">
        <v>0</v>
      </c>
      <c r="L29">
        <v>107144.15371995827</v>
      </c>
      <c r="M29">
        <v>511</v>
      </c>
      <c r="N29">
        <v>65</v>
      </c>
      <c r="O29">
        <v>0.12787403914869599</v>
      </c>
    </row>
    <row r="30" spans="1:15" x14ac:dyDescent="0.25">
      <c r="A30" t="s">
        <v>338</v>
      </c>
      <c r="B30" t="s">
        <v>719</v>
      </c>
      <c r="C30">
        <v>10498.389483636589</v>
      </c>
      <c r="D30">
        <v>1906.344959922915</v>
      </c>
      <c r="E30">
        <v>5103.6565034994774</v>
      </c>
      <c r="F30">
        <v>7037.7179858260224</v>
      </c>
      <c r="G30">
        <v>24546.108932885007</v>
      </c>
      <c r="H30">
        <v>21861.172407159273</v>
      </c>
      <c r="I30">
        <v>2684.9365257257341</v>
      </c>
      <c r="J30">
        <v>167.73024402030586</v>
      </c>
      <c r="K30">
        <v>0</v>
      </c>
      <c r="L30">
        <v>21693.442163138967</v>
      </c>
      <c r="M30">
        <v>95</v>
      </c>
      <c r="N30">
        <v>13</v>
      </c>
      <c r="O30">
        <v>0.13684210526315799</v>
      </c>
    </row>
    <row r="31" spans="1:15" x14ac:dyDescent="0.25">
      <c r="A31" t="s">
        <v>111</v>
      </c>
      <c r="B31" t="s">
        <v>721</v>
      </c>
      <c r="C31">
        <v>763959.72704001656</v>
      </c>
      <c r="D31">
        <v>0</v>
      </c>
      <c r="E31">
        <v>421444.25050051423</v>
      </c>
      <c r="F31">
        <v>581153.09675263346</v>
      </c>
      <c r="G31">
        <v>1766557.0742931641</v>
      </c>
      <c r="H31">
        <v>1573325.0786836904</v>
      </c>
      <c r="I31">
        <v>193231.99560947367</v>
      </c>
      <c r="J31">
        <v>12071.365362109313</v>
      </c>
      <c r="K31">
        <v>0</v>
      </c>
      <c r="L31">
        <v>1561253.713321581</v>
      </c>
      <c r="M31">
        <v>11324</v>
      </c>
      <c r="N31">
        <v>946</v>
      </c>
      <c r="O31">
        <v>8.3539385376192196E-2</v>
      </c>
    </row>
    <row r="32" spans="1:15" x14ac:dyDescent="0.25">
      <c r="A32" t="s">
        <v>270</v>
      </c>
      <c r="B32" t="s">
        <v>723</v>
      </c>
      <c r="C32">
        <v>1331680.3275782112</v>
      </c>
      <c r="D32">
        <v>0</v>
      </c>
      <c r="E32">
        <v>835429.31072668312</v>
      </c>
      <c r="F32">
        <v>1152020.2979875209</v>
      </c>
      <c r="G32">
        <v>3319129.9362924155</v>
      </c>
      <c r="H32">
        <v>2956072.2629174688</v>
      </c>
      <c r="I32">
        <v>363057.67337494669</v>
      </c>
      <c r="J32">
        <v>22680.518353097512</v>
      </c>
      <c r="K32">
        <v>0</v>
      </c>
      <c r="L32">
        <v>2933391.7445643712</v>
      </c>
      <c r="M32">
        <v>17283</v>
      </c>
      <c r="N32">
        <v>1649</v>
      </c>
      <c r="O32">
        <v>9.5411676213620303E-2</v>
      </c>
    </row>
    <row r="33" spans="1:15" x14ac:dyDescent="0.25">
      <c r="A33" t="s">
        <v>340</v>
      </c>
      <c r="B33" t="s">
        <v>725</v>
      </c>
      <c r="C33">
        <v>671089.35853092361</v>
      </c>
      <c r="D33">
        <v>175555.71259376698</v>
      </c>
      <c r="E33">
        <v>374948.68346895638</v>
      </c>
      <c r="F33">
        <v>517037.75354040804</v>
      </c>
      <c r="G33">
        <v>1738631.5081340552</v>
      </c>
      <c r="H33">
        <v>1548454.105526966</v>
      </c>
      <c r="I33">
        <v>190177.40260708914</v>
      </c>
      <c r="J33">
        <v>11880.542366942151</v>
      </c>
      <c r="K33">
        <v>0</v>
      </c>
      <c r="L33">
        <v>1536573.5631600239</v>
      </c>
      <c r="M33">
        <v>4272</v>
      </c>
      <c r="N33">
        <v>831</v>
      </c>
      <c r="O33">
        <v>0.19452247191011199</v>
      </c>
    </row>
    <row r="34" spans="1:15" x14ac:dyDescent="0.25">
      <c r="A34" t="s">
        <v>342</v>
      </c>
      <c r="B34" t="s">
        <v>727</v>
      </c>
      <c r="C34">
        <v>290724.6318545519</v>
      </c>
      <c r="D34">
        <v>38210.439182473332</v>
      </c>
      <c r="E34">
        <v>141332.02625075463</v>
      </c>
      <c r="F34">
        <v>194890.65191518218</v>
      </c>
      <c r="G34">
        <v>665157.74920296203</v>
      </c>
      <c r="H34">
        <v>592400.54189618898</v>
      </c>
      <c r="I34">
        <v>72757.207306773053</v>
      </c>
      <c r="J34">
        <v>4545.2039625042635</v>
      </c>
      <c r="K34">
        <v>0</v>
      </c>
      <c r="L34">
        <v>587855.3379336847</v>
      </c>
      <c r="M34">
        <v>2861</v>
      </c>
      <c r="N34">
        <v>360</v>
      </c>
      <c r="O34">
        <v>0.12583012932541099</v>
      </c>
    </row>
    <row r="35" spans="1:15" x14ac:dyDescent="0.25">
      <c r="A35" t="s">
        <v>272</v>
      </c>
      <c r="B35" t="s">
        <v>729</v>
      </c>
      <c r="C35">
        <v>651707.71640728717</v>
      </c>
      <c r="D35">
        <v>0</v>
      </c>
      <c r="E35">
        <v>339589.4519636191</v>
      </c>
      <c r="F35">
        <v>468278.92751842388</v>
      </c>
      <c r="G35">
        <v>1459576.0958893301</v>
      </c>
      <c r="H35">
        <v>1299922.7193543951</v>
      </c>
      <c r="I35">
        <v>159653.37653493509</v>
      </c>
      <c r="J35">
        <v>9973.6807735639995</v>
      </c>
      <c r="K35">
        <v>0</v>
      </c>
      <c r="L35">
        <v>1289949.0385808311</v>
      </c>
      <c r="M35">
        <v>6337</v>
      </c>
      <c r="N35">
        <v>807</v>
      </c>
      <c r="O35">
        <v>0.12734732523275999</v>
      </c>
    </row>
    <row r="36" spans="1:15" x14ac:dyDescent="0.25">
      <c r="A36" t="s">
        <v>344</v>
      </c>
      <c r="B36" t="s">
        <v>731</v>
      </c>
      <c r="C36">
        <v>172884.84204615967</v>
      </c>
      <c r="D36">
        <v>43909.310021547004</v>
      </c>
      <c r="E36">
        <v>97161.381858918481</v>
      </c>
      <c r="F36">
        <v>128028.79300516511</v>
      </c>
      <c r="G36">
        <v>441984.32693179027</v>
      </c>
      <c r="H36">
        <v>441984.32693179027</v>
      </c>
      <c r="I36">
        <v>0</v>
      </c>
      <c r="J36">
        <v>3391.1328097454548</v>
      </c>
      <c r="K36">
        <v>0</v>
      </c>
      <c r="L36">
        <v>438593.19412204484</v>
      </c>
      <c r="M36">
        <v>947</v>
      </c>
      <c r="N36">
        <v>191</v>
      </c>
      <c r="O36">
        <v>0.20168954593453001</v>
      </c>
    </row>
    <row r="37" spans="1:15" x14ac:dyDescent="0.25">
      <c r="A37" t="s">
        <v>113</v>
      </c>
      <c r="B37" t="s">
        <v>733</v>
      </c>
      <c r="C37">
        <v>168781.80016000371</v>
      </c>
      <c r="D37">
        <v>44153.001121657391</v>
      </c>
      <c r="E37">
        <v>89458.068960224235</v>
      </c>
      <c r="F37">
        <v>123358.7449443245</v>
      </c>
      <c r="G37">
        <v>425751.61518620979</v>
      </c>
      <c r="H37">
        <v>379181.46161825582</v>
      </c>
      <c r="I37">
        <v>46570.153567953967</v>
      </c>
      <c r="J37">
        <v>2909.2766801646003</v>
      </c>
      <c r="K37">
        <v>0</v>
      </c>
      <c r="L37">
        <v>376272.1849380912</v>
      </c>
      <c r="M37">
        <v>1180</v>
      </c>
      <c r="N37">
        <v>209</v>
      </c>
      <c r="O37">
        <v>0.17711864406779701</v>
      </c>
    </row>
    <row r="38" spans="1:15" x14ac:dyDescent="0.25">
      <c r="A38" t="s">
        <v>346</v>
      </c>
      <c r="B38" t="s">
        <v>735</v>
      </c>
      <c r="C38">
        <v>476465.36887273763</v>
      </c>
      <c r="D38">
        <v>124642.44335778883</v>
      </c>
      <c r="E38">
        <v>273322.67296756955</v>
      </c>
      <c r="F38">
        <v>376899.95205573831</v>
      </c>
      <c r="G38">
        <v>1251330.4372538342</v>
      </c>
      <c r="H38">
        <v>1114455.6761289032</v>
      </c>
      <c r="I38">
        <v>136874.76112493104</v>
      </c>
      <c r="J38">
        <v>8550.6815016791697</v>
      </c>
      <c r="K38">
        <v>0</v>
      </c>
      <c r="L38">
        <v>1105904.994627224</v>
      </c>
      <c r="M38">
        <v>2878</v>
      </c>
      <c r="N38">
        <v>590</v>
      </c>
      <c r="O38">
        <v>0.205003474635163</v>
      </c>
    </row>
    <row r="39" spans="1:15" x14ac:dyDescent="0.25">
      <c r="A39" t="s">
        <v>348</v>
      </c>
      <c r="B39" t="s">
        <v>737</v>
      </c>
      <c r="C39">
        <v>128248.30540728933</v>
      </c>
      <c r="D39">
        <v>27198.625249114968</v>
      </c>
      <c r="E39">
        <v>58291.327137466542</v>
      </c>
      <c r="F39">
        <v>78946.675490834969</v>
      </c>
      <c r="G39">
        <v>292684.9332847058</v>
      </c>
      <c r="H39">
        <v>292684.9332847058</v>
      </c>
      <c r="I39">
        <v>0</v>
      </c>
      <c r="J39">
        <v>2245.6304889134658</v>
      </c>
      <c r="K39">
        <v>0</v>
      </c>
      <c r="L39">
        <v>290439.30279579235</v>
      </c>
      <c r="M39">
        <v>1041</v>
      </c>
      <c r="N39">
        <v>135</v>
      </c>
      <c r="O39">
        <v>0.12968299711815601</v>
      </c>
    </row>
    <row r="40" spans="1:15" x14ac:dyDescent="0.25">
      <c r="A40" t="s">
        <v>350</v>
      </c>
      <c r="B40" t="s">
        <v>739</v>
      </c>
      <c r="C40">
        <v>1553761.6435782162</v>
      </c>
      <c r="D40">
        <v>376428.97344775125</v>
      </c>
      <c r="E40">
        <v>997372.2574723399</v>
      </c>
      <c r="F40">
        <v>1375332.503307001</v>
      </c>
      <c r="G40">
        <v>4302895.3778053084</v>
      </c>
      <c r="H40">
        <v>4302895.3778053084</v>
      </c>
      <c r="I40">
        <v>0</v>
      </c>
      <c r="J40">
        <v>33014.043266809145</v>
      </c>
      <c r="K40">
        <v>0</v>
      </c>
      <c r="L40">
        <v>4269881.3345384989</v>
      </c>
      <c r="M40">
        <v>13910</v>
      </c>
      <c r="N40">
        <v>1924</v>
      </c>
      <c r="O40">
        <v>0.13831775700934601</v>
      </c>
    </row>
    <row r="41" spans="1:15" x14ac:dyDescent="0.25">
      <c r="A41" t="s">
        <v>274</v>
      </c>
      <c r="B41" t="s">
        <v>741</v>
      </c>
      <c r="C41">
        <v>44671.657758277353</v>
      </c>
      <c r="D41">
        <v>0</v>
      </c>
      <c r="E41">
        <v>20022.037052190248</v>
      </c>
      <c r="F41">
        <v>27609.509021317477</v>
      </c>
      <c r="G41">
        <v>92303.203831785067</v>
      </c>
      <c r="H41">
        <v>92303.203831785067</v>
      </c>
      <c r="I41">
        <v>0</v>
      </c>
      <c r="J41">
        <v>708.19801491941746</v>
      </c>
      <c r="K41">
        <v>0</v>
      </c>
      <c r="L41">
        <v>91595.005816865654</v>
      </c>
      <c r="M41">
        <v>604</v>
      </c>
      <c r="N41">
        <v>51</v>
      </c>
      <c r="O41">
        <v>8.4437086092715205E-2</v>
      </c>
    </row>
    <row r="42" spans="1:15" x14ac:dyDescent="0.25">
      <c r="A42" t="s">
        <v>352</v>
      </c>
      <c r="B42" t="s">
        <v>743</v>
      </c>
      <c r="C42">
        <v>201892.10545454992</v>
      </c>
      <c r="D42">
        <v>27356.20357174765</v>
      </c>
      <c r="E42">
        <v>98147.240451912963</v>
      </c>
      <c r="F42">
        <v>135340.73049665423</v>
      </c>
      <c r="G42">
        <v>462736.27997486474</v>
      </c>
      <c r="H42">
        <v>412120.61851585167</v>
      </c>
      <c r="I42">
        <v>50615.661459013063</v>
      </c>
      <c r="J42">
        <v>3162.0029622393695</v>
      </c>
      <c r="K42">
        <v>0</v>
      </c>
      <c r="L42">
        <v>408958.6155536123</v>
      </c>
      <c r="M42">
        <v>2104</v>
      </c>
      <c r="N42">
        <v>250</v>
      </c>
      <c r="O42">
        <v>0.118821292775665</v>
      </c>
    </row>
    <row r="43" spans="1:15" x14ac:dyDescent="0.25">
      <c r="A43" t="s">
        <v>354</v>
      </c>
      <c r="B43" t="s">
        <v>745</v>
      </c>
      <c r="C43">
        <v>16151.368436363995</v>
      </c>
      <c r="D43">
        <v>0</v>
      </c>
      <c r="E43">
        <v>7851.7792361530355</v>
      </c>
      <c r="F43">
        <v>10827.258439732346</v>
      </c>
      <c r="G43">
        <v>34830.406112249373</v>
      </c>
      <c r="H43">
        <v>31020.538331073203</v>
      </c>
      <c r="I43">
        <v>3809.86778117617</v>
      </c>
      <c r="J43">
        <v>238.0056461294003</v>
      </c>
      <c r="K43">
        <v>0</v>
      </c>
      <c r="L43">
        <v>30782.532684943802</v>
      </c>
      <c r="M43">
        <v>243</v>
      </c>
      <c r="N43">
        <v>20</v>
      </c>
      <c r="O43">
        <v>8.2304526748971193E-2</v>
      </c>
    </row>
    <row r="44" spans="1:15" x14ac:dyDescent="0.25">
      <c r="A44" t="s">
        <v>356</v>
      </c>
      <c r="B44" t="s">
        <v>747</v>
      </c>
      <c r="C44">
        <v>34725.442138182574</v>
      </c>
      <c r="D44">
        <v>9084.110278618502</v>
      </c>
      <c r="E44">
        <v>20046.397197270409</v>
      </c>
      <c r="F44">
        <v>27643.100590626756</v>
      </c>
      <c r="G44">
        <v>91499.050204698244</v>
      </c>
      <c r="H44">
        <v>81490.574212208929</v>
      </c>
      <c r="I44">
        <v>10008.475992489315</v>
      </c>
      <c r="J44">
        <v>625.23791695144394</v>
      </c>
      <c r="K44">
        <v>0</v>
      </c>
      <c r="L44">
        <v>80865.336295257483</v>
      </c>
      <c r="M44">
        <v>207</v>
      </c>
      <c r="N44">
        <v>43</v>
      </c>
      <c r="O44">
        <v>0.20772946859903399</v>
      </c>
    </row>
    <row r="45" spans="1:15" x14ac:dyDescent="0.25">
      <c r="A45" t="s">
        <v>357</v>
      </c>
      <c r="B45" t="s">
        <v>749</v>
      </c>
      <c r="C45">
        <v>103669.92292009569</v>
      </c>
      <c r="D45">
        <v>26556.665580142275</v>
      </c>
      <c r="E45">
        <v>49468.690440306797</v>
      </c>
      <c r="F45">
        <v>66997.765241088491</v>
      </c>
      <c r="G45">
        <v>246693.04418163325</v>
      </c>
      <c r="H45">
        <v>246693.04418163325</v>
      </c>
      <c r="I45">
        <v>0</v>
      </c>
      <c r="J45">
        <v>1892.7568809231236</v>
      </c>
      <c r="K45">
        <v>0</v>
      </c>
      <c r="L45">
        <v>244800.28730071013</v>
      </c>
      <c r="M45">
        <v>781</v>
      </c>
      <c r="N45">
        <v>94</v>
      </c>
      <c r="O45">
        <v>0.120358514724712</v>
      </c>
    </row>
    <row r="46" spans="1:15" x14ac:dyDescent="0.25">
      <c r="A46" t="s">
        <v>358</v>
      </c>
      <c r="B46" t="s">
        <v>751</v>
      </c>
      <c r="C46">
        <v>290724.6318545519</v>
      </c>
      <c r="D46">
        <v>76053.016286108381</v>
      </c>
      <c r="E46">
        <v>154849.02124137679</v>
      </c>
      <c r="F46">
        <v>213529.99386435028</v>
      </c>
      <c r="G46">
        <v>735156.66324638727</v>
      </c>
      <c r="H46">
        <v>686961.31356714503</v>
      </c>
      <c r="I46">
        <v>48195.349679242237</v>
      </c>
      <c r="J46">
        <v>5270.7232078455472</v>
      </c>
      <c r="K46">
        <v>0</v>
      </c>
      <c r="L46">
        <v>681690.59035929944</v>
      </c>
      <c r="M46">
        <v>2016</v>
      </c>
      <c r="N46">
        <v>360</v>
      </c>
      <c r="O46">
        <v>0.17857142857142899</v>
      </c>
    </row>
    <row r="47" spans="1:15" x14ac:dyDescent="0.25">
      <c r="A47" t="s">
        <v>360</v>
      </c>
      <c r="B47" t="s">
        <v>753</v>
      </c>
      <c r="C47">
        <v>118712.55800727535</v>
      </c>
      <c r="D47">
        <v>31054.981650160946</v>
      </c>
      <c r="E47">
        <v>67688.97176909374</v>
      </c>
      <c r="F47">
        <v>93340.116783874357</v>
      </c>
      <c r="G47">
        <v>310796.62821040442</v>
      </c>
      <c r="H47">
        <v>276800.64043750911</v>
      </c>
      <c r="I47">
        <v>33995.987772895314</v>
      </c>
      <c r="J47">
        <v>2123.7579623294027</v>
      </c>
      <c r="K47">
        <v>0</v>
      </c>
      <c r="L47">
        <v>274676.88247517968</v>
      </c>
      <c r="M47">
        <v>726</v>
      </c>
      <c r="N47">
        <v>147</v>
      </c>
      <c r="O47">
        <v>0.202479338842975</v>
      </c>
    </row>
    <row r="48" spans="1:15" x14ac:dyDescent="0.25">
      <c r="A48" t="s">
        <v>115</v>
      </c>
      <c r="B48" t="s">
        <v>755</v>
      </c>
      <c r="C48">
        <v>38763.284247273594</v>
      </c>
      <c r="D48">
        <v>0</v>
      </c>
      <c r="E48">
        <v>18844.270166767299</v>
      </c>
      <c r="F48">
        <v>25985.420255357618</v>
      </c>
      <c r="G48">
        <v>83592.974669398507</v>
      </c>
      <c r="H48">
        <v>74449.291994575702</v>
      </c>
      <c r="I48">
        <v>9143.682674822805</v>
      </c>
      <c r="J48">
        <v>571.21355071056075</v>
      </c>
      <c r="K48">
        <v>0</v>
      </c>
      <c r="L48">
        <v>73878.078443865146</v>
      </c>
      <c r="M48">
        <v>550</v>
      </c>
      <c r="N48">
        <v>48</v>
      </c>
      <c r="O48">
        <v>8.7272727272727293E-2</v>
      </c>
    </row>
    <row r="49" spans="1:15" x14ac:dyDescent="0.25">
      <c r="A49" t="s">
        <v>117</v>
      </c>
      <c r="B49" t="s">
        <v>757</v>
      </c>
      <c r="C49">
        <v>23419.484232727784</v>
      </c>
      <c r="D49">
        <v>0</v>
      </c>
      <c r="E49">
        <v>11385.079892421905</v>
      </c>
      <c r="F49">
        <v>15699.524737611895</v>
      </c>
      <c r="G49">
        <v>50504.088862761579</v>
      </c>
      <c r="H49">
        <v>44979.780580056133</v>
      </c>
      <c r="I49">
        <v>5524.3082827054459</v>
      </c>
      <c r="J49">
        <v>345.10818688763032</v>
      </c>
      <c r="K49">
        <v>0</v>
      </c>
      <c r="L49">
        <v>44634.672393168505</v>
      </c>
      <c r="M49">
        <v>320</v>
      </c>
      <c r="N49">
        <v>29</v>
      </c>
      <c r="O49">
        <v>9.0624999999999997E-2</v>
      </c>
    </row>
    <row r="50" spans="1:15" x14ac:dyDescent="0.25">
      <c r="A50" t="s">
        <v>362</v>
      </c>
      <c r="B50" t="s">
        <v>759</v>
      </c>
      <c r="C50">
        <v>30718.156983781875</v>
      </c>
      <c r="D50">
        <v>7986.9670917721114</v>
      </c>
      <c r="E50">
        <v>15786.757398250948</v>
      </c>
      <c r="F50">
        <v>21380.745208169981</v>
      </c>
      <c r="G50">
        <v>75872.626681974914</v>
      </c>
      <c r="H50">
        <v>75872.626681974914</v>
      </c>
      <c r="I50">
        <v>0</v>
      </c>
      <c r="J50">
        <v>582.1341120598621</v>
      </c>
      <c r="K50">
        <v>0</v>
      </c>
      <c r="L50">
        <v>75290.492569915048</v>
      </c>
      <c r="M50">
        <v>253</v>
      </c>
      <c r="N50">
        <v>32</v>
      </c>
      <c r="O50">
        <v>0.126482213438735</v>
      </c>
    </row>
    <row r="51" spans="1:15" x14ac:dyDescent="0.25">
      <c r="A51" t="s">
        <v>364</v>
      </c>
      <c r="B51" t="s">
        <v>761</v>
      </c>
      <c r="C51">
        <v>99330.915883638561</v>
      </c>
      <c r="D51">
        <v>16167.460626925367</v>
      </c>
      <c r="E51">
        <v>48288.442302341173</v>
      </c>
      <c r="F51">
        <v>66587.639404353919</v>
      </c>
      <c r="G51">
        <v>230374.45821725903</v>
      </c>
      <c r="H51">
        <v>221598.6636466393</v>
      </c>
      <c r="I51">
        <v>8775.7945706197352</v>
      </c>
      <c r="J51">
        <v>1700.2197885714561</v>
      </c>
      <c r="K51">
        <v>0</v>
      </c>
      <c r="L51">
        <v>219898.44385806783</v>
      </c>
      <c r="M51">
        <v>1115</v>
      </c>
      <c r="N51">
        <v>123</v>
      </c>
      <c r="O51">
        <v>0.110313901345291</v>
      </c>
    </row>
    <row r="52" spans="1:15" x14ac:dyDescent="0.25">
      <c r="A52" t="s">
        <v>366</v>
      </c>
      <c r="B52" t="s">
        <v>763</v>
      </c>
      <c r="C52">
        <v>48787.661091888862</v>
      </c>
      <c r="D52">
        <v>12685.183028108648</v>
      </c>
      <c r="E52">
        <v>23043.358272422163</v>
      </c>
      <c r="F52">
        <v>31208.699768694743</v>
      </c>
      <c r="G52">
        <v>115724.90216111441</v>
      </c>
      <c r="H52">
        <v>114298.96418507161</v>
      </c>
      <c r="I52">
        <v>1425.9379760427983</v>
      </c>
      <c r="J52">
        <v>876.96088741113715</v>
      </c>
      <c r="K52">
        <v>0</v>
      </c>
      <c r="L52">
        <v>113422.00329766047</v>
      </c>
      <c r="M52">
        <v>357</v>
      </c>
      <c r="N52">
        <v>54</v>
      </c>
      <c r="O52">
        <v>0.151260504201681</v>
      </c>
    </row>
    <row r="53" spans="1:15" x14ac:dyDescent="0.25">
      <c r="A53" t="s">
        <v>368</v>
      </c>
      <c r="B53" t="s">
        <v>765</v>
      </c>
      <c r="C53">
        <v>15343.800014545788</v>
      </c>
      <c r="D53">
        <v>4013.9091928779435</v>
      </c>
      <c r="E53">
        <v>8007.4407595097719</v>
      </c>
      <c r="F53">
        <v>11041.908838300036</v>
      </c>
      <c r="G53">
        <v>38407.058805233537</v>
      </c>
      <c r="H53">
        <v>34205.964639399594</v>
      </c>
      <c r="I53">
        <v>4201.0941658339434</v>
      </c>
      <c r="J53">
        <v>262.44588757909094</v>
      </c>
      <c r="K53">
        <v>0</v>
      </c>
      <c r="L53">
        <v>33943.518751820506</v>
      </c>
      <c r="M53">
        <v>110</v>
      </c>
      <c r="N53">
        <v>19</v>
      </c>
      <c r="O53">
        <v>0.17272727272727301</v>
      </c>
    </row>
    <row r="54" spans="1:15" x14ac:dyDescent="0.25">
      <c r="A54" t="s">
        <v>370</v>
      </c>
      <c r="B54" t="s">
        <v>767</v>
      </c>
      <c r="C54">
        <v>46651.465314043082</v>
      </c>
      <c r="D54">
        <v>11848.543974068243</v>
      </c>
      <c r="E54">
        <v>35223.643058884409</v>
      </c>
      <c r="F54">
        <v>46413.91898503332</v>
      </c>
      <c r="G54">
        <v>140137.57133202907</v>
      </c>
      <c r="H54">
        <v>140137.57133202907</v>
      </c>
      <c r="I54">
        <v>0</v>
      </c>
      <c r="J54">
        <v>1075.2080720170591</v>
      </c>
      <c r="K54">
        <v>0</v>
      </c>
      <c r="L54">
        <v>139062.363260012</v>
      </c>
      <c r="M54">
        <v>152</v>
      </c>
      <c r="N54">
        <v>45</v>
      </c>
      <c r="O54">
        <v>0.29605263157894701</v>
      </c>
    </row>
    <row r="55" spans="1:15" x14ac:dyDescent="0.25">
      <c r="A55" t="s">
        <v>372</v>
      </c>
      <c r="B55" t="s">
        <v>769</v>
      </c>
      <c r="C55">
        <v>81640.064299575373</v>
      </c>
      <c r="D55">
        <v>20734.951954619424</v>
      </c>
      <c r="E55">
        <v>62829.728600974879</v>
      </c>
      <c r="F55">
        <v>82790.242004843909</v>
      </c>
      <c r="G55">
        <v>247994.98686001357</v>
      </c>
      <c r="H55">
        <v>247994.98686001357</v>
      </c>
      <c r="I55">
        <v>0</v>
      </c>
      <c r="J55">
        <v>1902.7460598691559</v>
      </c>
      <c r="K55">
        <v>0</v>
      </c>
      <c r="L55">
        <v>246092.24080014441</v>
      </c>
      <c r="M55">
        <v>303</v>
      </c>
      <c r="N55">
        <v>68</v>
      </c>
      <c r="O55">
        <v>0.224422442244224</v>
      </c>
    </row>
    <row r="56" spans="1:15" x14ac:dyDescent="0.25">
      <c r="A56" t="s">
        <v>119</v>
      </c>
      <c r="B56" t="s">
        <v>771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109</v>
      </c>
      <c r="N56">
        <v>2</v>
      </c>
      <c r="O56">
        <v>1.8348623853211E-2</v>
      </c>
    </row>
    <row r="57" spans="1:15" x14ac:dyDescent="0.25">
      <c r="A57" t="s">
        <v>276</v>
      </c>
      <c r="B57" t="s">
        <v>773</v>
      </c>
      <c r="C57">
        <v>67028.179010910579</v>
      </c>
      <c r="D57">
        <v>17534.445421519446</v>
      </c>
      <c r="E57">
        <v>33627.796407077127</v>
      </c>
      <c r="F57">
        <v>46371.253127146658</v>
      </c>
      <c r="G57">
        <v>164561.67396665382</v>
      </c>
      <c r="H57">
        <v>146561.36074488296</v>
      </c>
      <c r="I57">
        <v>18000.313221770863</v>
      </c>
      <c r="J57">
        <v>1124.4947134508088</v>
      </c>
      <c r="K57">
        <v>0</v>
      </c>
      <c r="L57">
        <v>145436.86603143215</v>
      </c>
      <c r="M57">
        <v>510</v>
      </c>
      <c r="N57">
        <v>83</v>
      </c>
      <c r="O57">
        <v>0.162745098039216</v>
      </c>
    </row>
    <row r="58" spans="1:15" x14ac:dyDescent="0.25">
      <c r="A58" t="s">
        <v>374</v>
      </c>
      <c r="B58" t="s">
        <v>775</v>
      </c>
      <c r="C58">
        <v>72955.622836481969</v>
      </c>
      <c r="D58">
        <v>18969.046842958767</v>
      </c>
      <c r="E58">
        <v>33476.080885293435</v>
      </c>
      <c r="F58">
        <v>45338.224812135733</v>
      </c>
      <c r="G58">
        <v>170738.9753768699</v>
      </c>
      <c r="H58">
        <v>170738.9753768699</v>
      </c>
      <c r="I58">
        <v>0</v>
      </c>
      <c r="J58">
        <v>1309.9979026907426</v>
      </c>
      <c r="K58">
        <v>0</v>
      </c>
      <c r="L58">
        <v>169428.97747417915</v>
      </c>
      <c r="M58">
        <v>570</v>
      </c>
      <c r="N58">
        <v>68</v>
      </c>
      <c r="O58">
        <v>0.119298245614035</v>
      </c>
    </row>
    <row r="59" spans="1:15" x14ac:dyDescent="0.25">
      <c r="A59" t="s">
        <v>376</v>
      </c>
      <c r="B59" t="s">
        <v>777</v>
      </c>
      <c r="C59">
        <v>81564.410603638171</v>
      </c>
      <c r="D59">
        <v>21337.096235824858</v>
      </c>
      <c r="E59">
        <v>45306.238401209797</v>
      </c>
      <c r="F59">
        <v>62475.311308213066</v>
      </c>
      <c r="G59">
        <v>210683.05654888588</v>
      </c>
      <c r="H59">
        <v>187637.83030034587</v>
      </c>
      <c r="I59">
        <v>23045.226248540013</v>
      </c>
      <c r="J59">
        <v>1439.654675309677</v>
      </c>
      <c r="K59">
        <v>0</v>
      </c>
      <c r="L59">
        <v>186198.17562503621</v>
      </c>
      <c r="M59">
        <v>525</v>
      </c>
      <c r="N59">
        <v>101</v>
      </c>
      <c r="O59">
        <v>0.19238095238095199</v>
      </c>
    </row>
    <row r="60" spans="1:15" x14ac:dyDescent="0.25">
      <c r="A60" t="s">
        <v>378</v>
      </c>
      <c r="B60" t="s">
        <v>779</v>
      </c>
      <c r="C60">
        <v>289109.4950109155</v>
      </c>
      <c r="D60">
        <v>32903.657105178252</v>
      </c>
      <c r="E60">
        <v>140546.84832713939</v>
      </c>
      <c r="F60">
        <v>193807.92607120893</v>
      </c>
      <c r="G60">
        <v>656367.92651444208</v>
      </c>
      <c r="H60">
        <v>584572.17978195345</v>
      </c>
      <c r="I60">
        <v>71795.746732488624</v>
      </c>
      <c r="J60">
        <v>4485.1407114011326</v>
      </c>
      <c r="K60">
        <v>0</v>
      </c>
      <c r="L60">
        <v>580087.03907055233</v>
      </c>
      <c r="M60">
        <v>2401</v>
      </c>
      <c r="N60">
        <v>358</v>
      </c>
      <c r="O60">
        <v>0.149104539775094</v>
      </c>
    </row>
    <row r="61" spans="1:15" x14ac:dyDescent="0.25">
      <c r="A61" t="s">
        <v>278</v>
      </c>
      <c r="B61" t="s">
        <v>781</v>
      </c>
      <c r="C61">
        <v>83987.115869092711</v>
      </c>
      <c r="D61">
        <v>0</v>
      </c>
      <c r="E61">
        <v>0</v>
      </c>
      <c r="F61">
        <v>0</v>
      </c>
      <c r="G61">
        <v>83987.115869092711</v>
      </c>
      <c r="H61">
        <v>74800.320695003888</v>
      </c>
      <c r="I61">
        <v>9186.7951740888238</v>
      </c>
      <c r="J61">
        <v>573.90682481701583</v>
      </c>
      <c r="K61">
        <v>0</v>
      </c>
      <c r="L61">
        <v>74226.413870186865</v>
      </c>
      <c r="M61">
        <v>2313</v>
      </c>
      <c r="N61">
        <v>104</v>
      </c>
      <c r="O61">
        <v>4.4963251188932102E-2</v>
      </c>
    </row>
    <row r="62" spans="1:15" x14ac:dyDescent="0.25">
      <c r="A62" t="s">
        <v>380</v>
      </c>
      <c r="B62" t="s">
        <v>783</v>
      </c>
      <c r="C62">
        <v>8075.6842181819975</v>
      </c>
      <c r="D62">
        <v>1709.6278728015129</v>
      </c>
      <c r="E62">
        <v>3925.8896180765178</v>
      </c>
      <c r="F62">
        <v>5413.6292198661731</v>
      </c>
      <c r="G62">
        <v>19124.8309289262</v>
      </c>
      <c r="H62">
        <v>17032.892151590713</v>
      </c>
      <c r="I62">
        <v>2091.9387773354865</v>
      </c>
      <c r="J62">
        <v>130.6851756963525</v>
      </c>
      <c r="K62">
        <v>0</v>
      </c>
      <c r="L62">
        <v>16902.206975894362</v>
      </c>
      <c r="M62">
        <v>77</v>
      </c>
      <c r="N62">
        <v>10</v>
      </c>
      <c r="O62">
        <v>0.12987012987013</v>
      </c>
    </row>
    <row r="63" spans="1:15" x14ac:dyDescent="0.25">
      <c r="A63" t="s">
        <v>382</v>
      </c>
      <c r="B63" t="s">
        <v>785</v>
      </c>
      <c r="C63">
        <v>604966.99753942213</v>
      </c>
      <c r="D63">
        <v>157387.4920365299</v>
      </c>
      <c r="E63">
        <v>303078.67851550732</v>
      </c>
      <c r="F63">
        <v>417932.17577366851</v>
      </c>
      <c r="G63">
        <v>1483365.343865128</v>
      </c>
      <c r="H63">
        <v>1321109.8188192248</v>
      </c>
      <c r="I63">
        <v>162255.52504590317</v>
      </c>
      <c r="J63">
        <v>10136.239180639852</v>
      </c>
      <c r="K63">
        <v>0</v>
      </c>
      <c r="L63">
        <v>1310973.579638585</v>
      </c>
      <c r="M63">
        <v>4751</v>
      </c>
      <c r="N63">
        <v>745</v>
      </c>
      <c r="O63">
        <v>0.156809092822564</v>
      </c>
    </row>
    <row r="64" spans="1:15" x14ac:dyDescent="0.25">
      <c r="A64" t="s">
        <v>384</v>
      </c>
      <c r="B64" t="s">
        <v>787</v>
      </c>
      <c r="C64">
        <v>369058.7687709172</v>
      </c>
      <c r="D64">
        <v>42093.255173302015</v>
      </c>
      <c r="E64">
        <v>179413.15554609694</v>
      </c>
      <c r="F64">
        <v>247402.85534788409</v>
      </c>
      <c r="G64">
        <v>837968.03483820031</v>
      </c>
      <c r="H64">
        <v>746308.2532296594</v>
      </c>
      <c r="I64">
        <v>91659.781608540914</v>
      </c>
      <c r="J64">
        <v>5726.063684836251</v>
      </c>
      <c r="K64">
        <v>0</v>
      </c>
      <c r="L64">
        <v>740582.18954482314</v>
      </c>
      <c r="M64">
        <v>3617</v>
      </c>
      <c r="N64">
        <v>457</v>
      </c>
      <c r="O64">
        <v>0.12634780204589399</v>
      </c>
    </row>
    <row r="65" spans="1:15" x14ac:dyDescent="0.25">
      <c r="A65" t="s">
        <v>386</v>
      </c>
      <c r="B65" t="s">
        <v>789</v>
      </c>
      <c r="C65">
        <v>549954.09525819391</v>
      </c>
      <c r="D65">
        <v>96597.04173543342</v>
      </c>
      <c r="E65">
        <v>267353.08299101098</v>
      </c>
      <c r="F65">
        <v>368668.14987288637</v>
      </c>
      <c r="G65">
        <v>1282572.3698575245</v>
      </c>
      <c r="H65">
        <v>1282572.3698575245</v>
      </c>
      <c r="I65">
        <v>0</v>
      </c>
      <c r="J65">
        <v>9840.5599005958775</v>
      </c>
      <c r="K65">
        <v>0</v>
      </c>
      <c r="L65">
        <v>1272731.8099569287</v>
      </c>
      <c r="M65">
        <v>6551</v>
      </c>
      <c r="N65">
        <v>681</v>
      </c>
      <c r="O65">
        <v>0.103953594871012</v>
      </c>
    </row>
    <row r="66" spans="1:15" x14ac:dyDescent="0.25">
      <c r="A66" t="s">
        <v>121</v>
      </c>
      <c r="B66" t="s">
        <v>791</v>
      </c>
      <c r="C66">
        <v>9690.8210618183984</v>
      </c>
      <c r="D66">
        <v>0</v>
      </c>
      <c r="E66">
        <v>4711.0675416918239</v>
      </c>
      <c r="F66">
        <v>6496.3550638394045</v>
      </c>
      <c r="G66">
        <v>20898.243667349627</v>
      </c>
      <c r="H66">
        <v>18612.322998643926</v>
      </c>
      <c r="I66">
        <v>2285.9206687057012</v>
      </c>
      <c r="J66">
        <v>142.80338767764019</v>
      </c>
      <c r="K66">
        <v>0</v>
      </c>
      <c r="L66">
        <v>18469.519610966287</v>
      </c>
      <c r="M66">
        <v>146</v>
      </c>
      <c r="N66">
        <v>12</v>
      </c>
      <c r="O66">
        <v>8.2191780821917804E-2</v>
      </c>
    </row>
    <row r="67" spans="1:15" x14ac:dyDescent="0.25">
      <c r="A67" t="s">
        <v>123</v>
      </c>
      <c r="B67" t="s">
        <v>793</v>
      </c>
      <c r="C67">
        <v>175242.34753454931</v>
      </c>
      <c r="D67">
        <v>0</v>
      </c>
      <c r="E67">
        <v>85191.804712260477</v>
      </c>
      <c r="F67">
        <v>117475.75407109593</v>
      </c>
      <c r="G67">
        <v>377909.90631790576</v>
      </c>
      <c r="H67">
        <v>336572.8408921443</v>
      </c>
      <c r="I67">
        <v>41337.065425761451</v>
      </c>
      <c r="J67">
        <v>2582.3612605039934</v>
      </c>
      <c r="K67">
        <v>0</v>
      </c>
      <c r="L67">
        <v>333990.47963164031</v>
      </c>
      <c r="M67">
        <v>2240</v>
      </c>
      <c r="N67">
        <v>217</v>
      </c>
      <c r="O67">
        <v>9.6875000000000003E-2</v>
      </c>
    </row>
    <row r="68" spans="1:15" x14ac:dyDescent="0.25">
      <c r="A68" t="s">
        <v>125</v>
      </c>
      <c r="B68" t="s">
        <v>795</v>
      </c>
      <c r="C68">
        <v>1561837.3277963977</v>
      </c>
      <c r="D68">
        <v>0</v>
      </c>
      <c r="E68">
        <v>1003261.0918994546</v>
      </c>
      <c r="F68">
        <v>1383452.9471368003</v>
      </c>
      <c r="G68">
        <v>3948551.3668326526</v>
      </c>
      <c r="H68">
        <v>3516645.4457149464</v>
      </c>
      <c r="I68">
        <v>431905.92111770622</v>
      </c>
      <c r="J68">
        <v>26981.526322417049</v>
      </c>
      <c r="K68">
        <v>0</v>
      </c>
      <c r="L68">
        <v>3489663.9193925294</v>
      </c>
      <c r="M68">
        <v>24590</v>
      </c>
      <c r="N68">
        <v>1934</v>
      </c>
      <c r="O68">
        <v>7.8649857665717804E-2</v>
      </c>
    </row>
    <row r="69" spans="1:15" x14ac:dyDescent="0.25">
      <c r="A69" t="s">
        <v>388</v>
      </c>
      <c r="B69" t="s">
        <v>797</v>
      </c>
      <c r="C69">
        <v>366636.0635054626</v>
      </c>
      <c r="D69">
        <v>49594.149701039263</v>
      </c>
      <c r="E69">
        <v>178235.38866067395</v>
      </c>
      <c r="F69">
        <v>245778.7665819242</v>
      </c>
      <c r="G69">
        <v>840244.36844909994</v>
      </c>
      <c r="H69">
        <v>748335.59376090823</v>
      </c>
      <c r="I69">
        <v>91908.774688191712</v>
      </c>
      <c r="J69">
        <v>5741.6184920389633</v>
      </c>
      <c r="K69">
        <v>0</v>
      </c>
      <c r="L69">
        <v>742593.97526886931</v>
      </c>
      <c r="M69">
        <v>3474</v>
      </c>
      <c r="N69">
        <v>454</v>
      </c>
      <c r="O69">
        <v>0.13068508923431199</v>
      </c>
    </row>
    <row r="70" spans="1:15" x14ac:dyDescent="0.25">
      <c r="A70" t="s">
        <v>390</v>
      </c>
      <c r="B70" t="s">
        <v>799</v>
      </c>
      <c r="C70">
        <v>235809.97917091433</v>
      </c>
      <c r="D70">
        <v>61687.446543176848</v>
      </c>
      <c r="E70">
        <v>126801.66100246653</v>
      </c>
      <c r="F70">
        <v>174853.91692363628</v>
      </c>
      <c r="G70">
        <v>599153.00364019396</v>
      </c>
      <c r="H70">
        <v>533615.61894226156</v>
      </c>
      <c r="I70">
        <v>65537.384697932401</v>
      </c>
      <c r="J70">
        <v>4094.1755689608285</v>
      </c>
      <c r="K70">
        <v>0</v>
      </c>
      <c r="L70">
        <v>529521.44337330072</v>
      </c>
      <c r="M70">
        <v>1609</v>
      </c>
      <c r="N70">
        <v>292</v>
      </c>
      <c r="O70">
        <v>0.181479179614668</v>
      </c>
    </row>
    <row r="71" spans="1:15" x14ac:dyDescent="0.25">
      <c r="A71" t="s">
        <v>392</v>
      </c>
      <c r="B71" t="s">
        <v>801</v>
      </c>
      <c r="C71">
        <v>17888.809067025919</v>
      </c>
      <c r="D71">
        <v>4651.2337769731721</v>
      </c>
      <c r="E71">
        <v>12073.761038501698</v>
      </c>
      <c r="F71">
        <v>16352.060271549828</v>
      </c>
      <c r="G71">
        <v>50965.864154050621</v>
      </c>
      <c r="H71">
        <v>50336.401265355256</v>
      </c>
      <c r="I71">
        <v>629.46288869536511</v>
      </c>
      <c r="J71">
        <v>386.20695679510351</v>
      </c>
      <c r="K71">
        <v>0</v>
      </c>
      <c r="L71">
        <v>49950.194308560152</v>
      </c>
      <c r="M71">
        <v>87</v>
      </c>
      <c r="N71">
        <v>18</v>
      </c>
      <c r="O71">
        <v>0.20689655172413801</v>
      </c>
    </row>
    <row r="72" spans="1:15" x14ac:dyDescent="0.25">
      <c r="A72" t="s">
        <v>394</v>
      </c>
      <c r="B72" t="s">
        <v>803</v>
      </c>
      <c r="C72">
        <v>54107.084261819371</v>
      </c>
      <c r="D72">
        <v>14154.311364359071</v>
      </c>
      <c r="E72">
        <v>26947.463374061961</v>
      </c>
      <c r="F72">
        <v>37159.367510330208</v>
      </c>
      <c r="G72">
        <v>132368.22651057062</v>
      </c>
      <c r="H72">
        <v>132368.22651057062</v>
      </c>
      <c r="I72">
        <v>0</v>
      </c>
      <c r="J72">
        <v>1015.5976321691782</v>
      </c>
      <c r="K72">
        <v>0</v>
      </c>
      <c r="L72">
        <v>131352.62887840145</v>
      </c>
      <c r="M72">
        <v>416</v>
      </c>
      <c r="N72">
        <v>67</v>
      </c>
      <c r="O72">
        <v>0.16105769230769201</v>
      </c>
    </row>
    <row r="73" spans="1:15" x14ac:dyDescent="0.25">
      <c r="A73" t="s">
        <v>127</v>
      </c>
      <c r="B73" t="s">
        <v>805</v>
      </c>
      <c r="C73">
        <v>285879.22132364271</v>
      </c>
      <c r="D73">
        <v>0</v>
      </c>
      <c r="E73">
        <v>138976.4924799088</v>
      </c>
      <c r="F73">
        <v>191642.47438326245</v>
      </c>
      <c r="G73">
        <v>616498.18818681396</v>
      </c>
      <c r="H73">
        <v>549063.52845999575</v>
      </c>
      <c r="I73">
        <v>67434.659726818209</v>
      </c>
      <c r="J73">
        <v>4212.6999364903859</v>
      </c>
      <c r="K73">
        <v>0</v>
      </c>
      <c r="L73">
        <v>544850.82852350536</v>
      </c>
      <c r="M73">
        <v>4771</v>
      </c>
      <c r="N73">
        <v>354</v>
      </c>
      <c r="O73">
        <v>7.4198281282749995E-2</v>
      </c>
    </row>
    <row r="74" spans="1:15" x14ac:dyDescent="0.25">
      <c r="A74" t="s">
        <v>396</v>
      </c>
      <c r="B74" t="s">
        <v>807</v>
      </c>
      <c r="C74">
        <v>283456.51605818816</v>
      </c>
      <c r="D74">
        <v>37945.701728553177</v>
      </c>
      <c r="E74">
        <v>137798.72559448582</v>
      </c>
      <c r="F74">
        <v>190018.38561730261</v>
      </c>
      <c r="G74">
        <v>649219.32899852982</v>
      </c>
      <c r="H74">
        <v>649219.32899852982</v>
      </c>
      <c r="I74">
        <v>0</v>
      </c>
      <c r="J74">
        <v>4981.1471428660088</v>
      </c>
      <c r="K74">
        <v>0</v>
      </c>
      <c r="L74">
        <v>644238.18185566377</v>
      </c>
      <c r="M74">
        <v>2954</v>
      </c>
      <c r="N74">
        <v>351</v>
      </c>
      <c r="O74">
        <v>0.11882193635748101</v>
      </c>
    </row>
    <row r="75" spans="1:15" x14ac:dyDescent="0.25">
      <c r="A75" t="s">
        <v>398</v>
      </c>
      <c r="B75" t="s">
        <v>809</v>
      </c>
      <c r="C75">
        <v>30453.039857778123</v>
      </c>
      <c r="D75">
        <v>7734.4662052945459</v>
      </c>
      <c r="E75">
        <v>20480.929348579735</v>
      </c>
      <c r="F75">
        <v>26987.560427353434</v>
      </c>
      <c r="G75">
        <v>85655.995839005831</v>
      </c>
      <c r="H75">
        <v>85655.995839005831</v>
      </c>
      <c r="I75">
        <v>0</v>
      </c>
      <c r="J75">
        <v>657.19719035625451</v>
      </c>
      <c r="K75">
        <v>0</v>
      </c>
      <c r="L75">
        <v>84998.798648649579</v>
      </c>
      <c r="M75">
        <v>128</v>
      </c>
      <c r="N75">
        <v>18</v>
      </c>
      <c r="O75">
        <v>0.140625</v>
      </c>
    </row>
    <row r="76" spans="1:15" x14ac:dyDescent="0.25">
      <c r="A76" t="s">
        <v>129</v>
      </c>
      <c r="B76" t="s">
        <v>811</v>
      </c>
      <c r="C76">
        <v>1559414.6225309439</v>
      </c>
      <c r="D76">
        <v>0</v>
      </c>
      <c r="E76">
        <v>1001494.4415713198</v>
      </c>
      <c r="F76">
        <v>1381016.81398786</v>
      </c>
      <c r="G76">
        <v>3941925.8780901236</v>
      </c>
      <c r="H76">
        <v>3510744.6753697097</v>
      </c>
      <c r="I76">
        <v>431181.20272041392</v>
      </c>
      <c r="J76">
        <v>26936.252554318948</v>
      </c>
      <c r="K76">
        <v>0</v>
      </c>
      <c r="L76">
        <v>3483808.4228153909</v>
      </c>
      <c r="M76">
        <v>23124</v>
      </c>
      <c r="N76">
        <v>1931</v>
      </c>
      <c r="O76">
        <v>8.3506313786542094E-2</v>
      </c>
    </row>
    <row r="77" spans="1:15" x14ac:dyDescent="0.25">
      <c r="A77" t="s">
        <v>280</v>
      </c>
      <c r="B77" t="s">
        <v>813</v>
      </c>
      <c r="C77">
        <v>2444509.6128436904</v>
      </c>
      <c r="D77">
        <v>0</v>
      </c>
      <c r="E77">
        <v>1797075.9726745263</v>
      </c>
      <c r="F77">
        <v>2478088.7753937398</v>
      </c>
      <c r="G77">
        <v>6719674.3609119561</v>
      </c>
      <c r="H77">
        <v>6719674.3609119561</v>
      </c>
      <c r="I77">
        <v>0</v>
      </c>
      <c r="J77">
        <v>51556.824094376832</v>
      </c>
      <c r="K77">
        <v>0</v>
      </c>
      <c r="L77">
        <v>6668117.5368175795</v>
      </c>
      <c r="M77">
        <v>27238</v>
      </c>
      <c r="N77">
        <v>3027</v>
      </c>
      <c r="O77">
        <v>0.11113150745282301</v>
      </c>
    </row>
    <row r="78" spans="1:15" x14ac:dyDescent="0.25">
      <c r="A78" t="s">
        <v>400</v>
      </c>
      <c r="B78" t="s">
        <v>815</v>
      </c>
      <c r="C78">
        <v>15449.426012431477</v>
      </c>
      <c r="D78">
        <v>4016.9746255677373</v>
      </c>
      <c r="E78">
        <v>11579.067913175111</v>
      </c>
      <c r="F78">
        <v>15967.025691438535</v>
      </c>
      <c r="G78">
        <v>47012.494242612855</v>
      </c>
      <c r="H78">
        <v>41870.108404491089</v>
      </c>
      <c r="I78">
        <v>5142.3858381217651</v>
      </c>
      <c r="J78">
        <v>321.24917040323231</v>
      </c>
      <c r="K78">
        <v>0</v>
      </c>
      <c r="L78">
        <v>41548.85923408786</v>
      </c>
      <c r="M78">
        <v>57</v>
      </c>
      <c r="N78">
        <v>18</v>
      </c>
      <c r="O78">
        <v>0.31578947368421001</v>
      </c>
    </row>
    <row r="79" spans="1:15" x14ac:dyDescent="0.25">
      <c r="A79" t="s">
        <v>402</v>
      </c>
      <c r="B79" t="s">
        <v>817</v>
      </c>
      <c r="C79">
        <v>3298917.0031273458</v>
      </c>
      <c r="D79">
        <v>862990.47646875819</v>
      </c>
      <c r="E79">
        <v>2627794.2158595184</v>
      </c>
      <c r="F79">
        <v>3623612.7183174221</v>
      </c>
      <c r="G79">
        <v>10413314.413773045</v>
      </c>
      <c r="H79">
        <v>9274270.816278534</v>
      </c>
      <c r="I79">
        <v>1139043.5974945109</v>
      </c>
      <c r="J79">
        <v>71157.011991514562</v>
      </c>
      <c r="K79">
        <v>0</v>
      </c>
      <c r="L79">
        <v>9203113.8042870201</v>
      </c>
      <c r="M79">
        <v>24624</v>
      </c>
      <c r="N79">
        <v>4085</v>
      </c>
      <c r="O79">
        <v>0.16589506172839499</v>
      </c>
    </row>
    <row r="80" spans="1:15" x14ac:dyDescent="0.25">
      <c r="A80" t="s">
        <v>131</v>
      </c>
      <c r="B80" t="s">
        <v>819</v>
      </c>
      <c r="C80">
        <v>832603.04289456375</v>
      </c>
      <c r="D80">
        <v>217807.38830827159</v>
      </c>
      <c r="E80">
        <v>471499.34313098987</v>
      </c>
      <c r="F80">
        <v>650176.86930592731</v>
      </c>
      <c r="G80">
        <v>2172086.6436397526</v>
      </c>
      <c r="H80">
        <v>1934496.4503225449</v>
      </c>
      <c r="I80">
        <v>237590.19331720774</v>
      </c>
      <c r="J80">
        <v>14842.459298420552</v>
      </c>
      <c r="K80">
        <v>0</v>
      </c>
      <c r="L80">
        <v>1919653.9910241244</v>
      </c>
      <c r="M80">
        <v>6288</v>
      </c>
      <c r="N80">
        <v>1031</v>
      </c>
      <c r="O80">
        <v>0.16396310432569999</v>
      </c>
    </row>
    <row r="81" spans="1:15" x14ac:dyDescent="0.25">
      <c r="A81" t="s">
        <v>133</v>
      </c>
      <c r="B81" t="s">
        <v>821</v>
      </c>
      <c r="C81">
        <v>329487.91610182542</v>
      </c>
      <c r="D81">
        <v>0</v>
      </c>
      <c r="E81">
        <v>160176.29641752198</v>
      </c>
      <c r="F81">
        <v>220876.07217053982</v>
      </c>
      <c r="G81">
        <v>710540.28468988719</v>
      </c>
      <c r="H81">
        <v>632818.98195389332</v>
      </c>
      <c r="I81">
        <v>77721.302735993871</v>
      </c>
      <c r="J81">
        <v>4855.3151810397658</v>
      </c>
      <c r="K81">
        <v>0</v>
      </c>
      <c r="L81">
        <v>627963.66677285358</v>
      </c>
      <c r="M81">
        <v>4139</v>
      </c>
      <c r="N81">
        <v>408</v>
      </c>
      <c r="O81">
        <v>9.8574534911814393E-2</v>
      </c>
    </row>
    <row r="82" spans="1:15" x14ac:dyDescent="0.25">
      <c r="A82" t="s">
        <v>404</v>
      </c>
      <c r="B82" t="s">
        <v>823</v>
      </c>
      <c r="C82">
        <v>145137.89208813399</v>
      </c>
      <c r="D82">
        <v>36862.136808212315</v>
      </c>
      <c r="E82">
        <v>65132.304647352226</v>
      </c>
      <c r="F82">
        <v>85824.328453391456</v>
      </c>
      <c r="G82">
        <v>332956.66199708998</v>
      </c>
      <c r="H82">
        <v>332956.66199708998</v>
      </c>
      <c r="I82">
        <v>0</v>
      </c>
      <c r="J82">
        <v>2554.6160619761276</v>
      </c>
      <c r="K82">
        <v>0</v>
      </c>
      <c r="L82">
        <v>330402.04593511386</v>
      </c>
      <c r="M82">
        <v>907</v>
      </c>
      <c r="N82">
        <v>145</v>
      </c>
      <c r="O82">
        <v>0.15986769570011</v>
      </c>
    </row>
    <row r="83" spans="1:15" x14ac:dyDescent="0.25">
      <c r="A83" t="s">
        <v>406</v>
      </c>
      <c r="B83" t="s">
        <v>825</v>
      </c>
      <c r="C83">
        <v>1032880.0115054771</v>
      </c>
      <c r="D83">
        <v>245564.73082058088</v>
      </c>
      <c r="E83">
        <v>617542.43692343647</v>
      </c>
      <c r="F83">
        <v>851563.87628494878</v>
      </c>
      <c r="G83">
        <v>2747551.0555344429</v>
      </c>
      <c r="H83">
        <v>2746441.8410637747</v>
      </c>
      <c r="I83">
        <v>1109.2144706682302</v>
      </c>
      <c r="J83">
        <v>21072.125117971438</v>
      </c>
      <c r="K83">
        <v>0</v>
      </c>
      <c r="L83">
        <v>2725369.7159458031</v>
      </c>
      <c r="M83">
        <v>9422</v>
      </c>
      <c r="N83">
        <v>1279</v>
      </c>
      <c r="O83">
        <v>0.135746126087879</v>
      </c>
    </row>
    <row r="84" spans="1:15" x14ac:dyDescent="0.25">
      <c r="A84" t="s">
        <v>135</v>
      </c>
      <c r="B84" t="s">
        <v>827</v>
      </c>
      <c r="C84">
        <v>46838.968465455568</v>
      </c>
      <c r="D84">
        <v>0</v>
      </c>
      <c r="E84">
        <v>22770.15978484381</v>
      </c>
      <c r="F84">
        <v>31399.04947522379</v>
      </c>
      <c r="G84">
        <v>101008.17772552316</v>
      </c>
      <c r="H84">
        <v>89959.561160112265</v>
      </c>
      <c r="I84">
        <v>11048.616565410892</v>
      </c>
      <c r="J84">
        <v>690.21637377526065</v>
      </c>
      <c r="K84">
        <v>0</v>
      </c>
      <c r="L84">
        <v>89269.344786337009</v>
      </c>
      <c r="M84">
        <v>1009</v>
      </c>
      <c r="N84">
        <v>58</v>
      </c>
      <c r="O84">
        <v>5.7482656095143699E-2</v>
      </c>
    </row>
    <row r="85" spans="1:15" x14ac:dyDescent="0.25">
      <c r="A85" t="s">
        <v>408</v>
      </c>
      <c r="B85" t="s">
        <v>829</v>
      </c>
      <c r="C85">
        <v>22639.6816965209</v>
      </c>
      <c r="D85">
        <v>5750.0286932978206</v>
      </c>
      <c r="E85">
        <v>12251.792705123034</v>
      </c>
      <c r="F85">
        <v>16144.091429905984</v>
      </c>
      <c r="G85">
        <v>56785.594524847736</v>
      </c>
      <c r="H85">
        <v>56785.594524847736</v>
      </c>
      <c r="I85">
        <v>0</v>
      </c>
      <c r="J85">
        <v>435.68850970552899</v>
      </c>
      <c r="K85">
        <v>0</v>
      </c>
      <c r="L85">
        <v>56349.906015142209</v>
      </c>
      <c r="M85">
        <v>128</v>
      </c>
      <c r="N85">
        <v>23</v>
      </c>
      <c r="O85">
        <v>0.1796875</v>
      </c>
    </row>
    <row r="86" spans="1:15" x14ac:dyDescent="0.25">
      <c r="A86" t="s">
        <v>137</v>
      </c>
      <c r="B86" t="s">
        <v>831</v>
      </c>
      <c r="C86">
        <v>12921.094749091199</v>
      </c>
      <c r="D86">
        <v>3380.1340571603741</v>
      </c>
      <c r="E86">
        <v>8823.1032160094419</v>
      </c>
      <c r="F86">
        <v>12166.671513165536</v>
      </c>
      <c r="G86">
        <v>37291.003535426549</v>
      </c>
      <c r="H86">
        <v>37291.003535426549</v>
      </c>
      <c r="I86">
        <v>0</v>
      </c>
      <c r="J86">
        <v>286.11590477694608</v>
      </c>
      <c r="K86">
        <v>0</v>
      </c>
      <c r="L86">
        <v>37004.887630649602</v>
      </c>
      <c r="M86">
        <v>62</v>
      </c>
      <c r="N86">
        <v>16</v>
      </c>
      <c r="O86">
        <v>0.25806451612903197</v>
      </c>
    </row>
    <row r="87" spans="1:15" x14ac:dyDescent="0.25">
      <c r="A87" t="s">
        <v>410</v>
      </c>
      <c r="B87" t="s">
        <v>833</v>
      </c>
      <c r="C87">
        <v>201892.10545454992</v>
      </c>
      <c r="D87">
        <v>52814.59464313084</v>
      </c>
      <c r="E87">
        <v>125847.93482282312</v>
      </c>
      <c r="F87">
        <v>173538.77044318104</v>
      </c>
      <c r="G87">
        <v>554093.40536368499</v>
      </c>
      <c r="H87">
        <v>493484.79212920211</v>
      </c>
      <c r="I87">
        <v>60608.61323448288</v>
      </c>
      <c r="J87">
        <v>3786.2710682906481</v>
      </c>
      <c r="K87">
        <v>0</v>
      </c>
      <c r="L87">
        <v>489698.52106091147</v>
      </c>
      <c r="M87">
        <v>1077</v>
      </c>
      <c r="N87">
        <v>250</v>
      </c>
      <c r="O87">
        <v>0.23212627669452199</v>
      </c>
    </row>
    <row r="88" spans="1:15" x14ac:dyDescent="0.25">
      <c r="A88" t="s">
        <v>412</v>
      </c>
      <c r="B88" t="s">
        <v>835</v>
      </c>
      <c r="C88">
        <v>80635.162082427429</v>
      </c>
      <c r="D88">
        <v>20965.788615901802</v>
      </c>
      <c r="E88">
        <v>37830.634999886905</v>
      </c>
      <c r="F88">
        <v>51235.801475322201</v>
      </c>
      <c r="G88">
        <v>190667.38717353833</v>
      </c>
      <c r="H88">
        <v>190667.38717353833</v>
      </c>
      <c r="I88">
        <v>0</v>
      </c>
      <c r="J88">
        <v>1462.8990056753967</v>
      </c>
      <c r="K88">
        <v>0</v>
      </c>
      <c r="L88">
        <v>189204.48816786293</v>
      </c>
      <c r="M88">
        <v>686</v>
      </c>
      <c r="N88">
        <v>93</v>
      </c>
      <c r="O88">
        <v>0.135568513119534</v>
      </c>
    </row>
    <row r="89" spans="1:15" x14ac:dyDescent="0.25">
      <c r="A89" t="s">
        <v>414</v>
      </c>
      <c r="B89" t="s">
        <v>837</v>
      </c>
      <c r="C89">
        <v>520026.62805948005</v>
      </c>
      <c r="D89">
        <v>133304.03687926219</v>
      </c>
      <c r="E89">
        <v>259516.20250595853</v>
      </c>
      <c r="F89">
        <v>357861.43615604332</v>
      </c>
      <c r="G89">
        <v>1270708.3036007441</v>
      </c>
      <c r="H89">
        <v>1270708.3036007441</v>
      </c>
      <c r="I89">
        <v>0</v>
      </c>
      <c r="J89">
        <v>9749.5326358517777</v>
      </c>
      <c r="K89">
        <v>0</v>
      </c>
      <c r="L89">
        <v>1260958.7709648923</v>
      </c>
      <c r="M89">
        <v>3793</v>
      </c>
      <c r="N89">
        <v>631</v>
      </c>
      <c r="O89">
        <v>0.16635908252043199</v>
      </c>
    </row>
    <row r="90" spans="1:15" x14ac:dyDescent="0.25">
      <c r="A90" t="s">
        <v>416</v>
      </c>
      <c r="B90" t="s">
        <v>839</v>
      </c>
      <c r="C90">
        <v>327932.35911930294</v>
      </c>
      <c r="D90">
        <v>83288.294405950277</v>
      </c>
      <c r="E90">
        <v>199462.00315525001</v>
      </c>
      <c r="F90">
        <v>262829.52162454283</v>
      </c>
      <c r="G90">
        <v>873512.17830504617</v>
      </c>
      <c r="H90">
        <v>873512.17830504617</v>
      </c>
      <c r="I90">
        <v>0</v>
      </c>
      <c r="J90">
        <v>6702.0381200521797</v>
      </c>
      <c r="K90">
        <v>0</v>
      </c>
      <c r="L90">
        <v>866810.14018499397</v>
      </c>
      <c r="M90">
        <v>1614</v>
      </c>
      <c r="N90">
        <v>357</v>
      </c>
      <c r="O90">
        <v>0.22118959107806699</v>
      </c>
    </row>
    <row r="91" spans="1:15" x14ac:dyDescent="0.25">
      <c r="A91" t="s">
        <v>139</v>
      </c>
      <c r="B91" t="s">
        <v>841</v>
      </c>
      <c r="C91">
        <v>173627.21069091294</v>
      </c>
      <c r="D91">
        <v>0</v>
      </c>
      <c r="E91">
        <v>84406.626788645153</v>
      </c>
      <c r="F91">
        <v>116393.0282271227</v>
      </c>
      <c r="G91">
        <v>374426.86570668081</v>
      </c>
      <c r="H91">
        <v>333470.78705903701</v>
      </c>
      <c r="I91">
        <v>40956.078647643793</v>
      </c>
      <c r="J91">
        <v>2558.5606958910539</v>
      </c>
      <c r="K91">
        <v>0</v>
      </c>
      <c r="L91">
        <v>330912.22636314598</v>
      </c>
      <c r="M91">
        <v>2837</v>
      </c>
      <c r="N91">
        <v>215</v>
      </c>
      <c r="O91">
        <v>7.5784279168135404E-2</v>
      </c>
    </row>
    <row r="92" spans="1:15" x14ac:dyDescent="0.25">
      <c r="A92" t="s">
        <v>418</v>
      </c>
      <c r="B92" t="s">
        <v>843</v>
      </c>
      <c r="C92">
        <v>38763.284247273594</v>
      </c>
      <c r="D92">
        <v>7926.45650117065</v>
      </c>
      <c r="E92">
        <v>18844.270166767299</v>
      </c>
      <c r="F92">
        <v>25985.420255357618</v>
      </c>
      <c r="G92">
        <v>91519.431170569165</v>
      </c>
      <c r="H92">
        <v>81508.725839008403</v>
      </c>
      <c r="I92">
        <v>10010.705331560763</v>
      </c>
      <c r="J92">
        <v>625.37718563913074</v>
      </c>
      <c r="K92">
        <v>0</v>
      </c>
      <c r="L92">
        <v>80883.348653369278</v>
      </c>
      <c r="M92">
        <v>341</v>
      </c>
      <c r="N92">
        <v>48</v>
      </c>
      <c r="O92">
        <v>0.14076246334310899</v>
      </c>
    </row>
    <row r="93" spans="1:15" x14ac:dyDescent="0.25">
      <c r="A93" t="s">
        <v>420</v>
      </c>
      <c r="B93" t="s">
        <v>845</v>
      </c>
      <c r="C93">
        <v>35533.010560000796</v>
      </c>
      <c r="D93">
        <v>9295.3686571910312</v>
      </c>
      <c r="E93">
        <v>22210.494775614865</v>
      </c>
      <c r="F93">
        <v>30627.296027712724</v>
      </c>
      <c r="G93">
        <v>97666.170020519421</v>
      </c>
      <c r="H93">
        <v>86983.113576305579</v>
      </c>
      <c r="I93">
        <v>10683.056444213842</v>
      </c>
      <c r="J93">
        <v>667.37952540101469</v>
      </c>
      <c r="K93">
        <v>0</v>
      </c>
      <c r="L93">
        <v>86315.734050904561</v>
      </c>
      <c r="M93">
        <v>189</v>
      </c>
      <c r="N93">
        <v>44</v>
      </c>
      <c r="O93">
        <v>0.23280423280423301</v>
      </c>
    </row>
    <row r="94" spans="1:15" x14ac:dyDescent="0.25">
      <c r="A94" t="s">
        <v>141</v>
      </c>
      <c r="B94" t="s">
        <v>847</v>
      </c>
      <c r="C94">
        <v>14536.231592727589</v>
      </c>
      <c r="D94">
        <v>0</v>
      </c>
      <c r="E94">
        <v>7066.601312537734</v>
      </c>
      <c r="F94">
        <v>9744.5325957591085</v>
      </c>
      <c r="G94">
        <v>31347.365501024429</v>
      </c>
      <c r="H94">
        <v>27918.484497965877</v>
      </c>
      <c r="I94">
        <v>3428.8810030585519</v>
      </c>
      <c r="J94">
        <v>214.20508151646021</v>
      </c>
      <c r="K94">
        <v>0</v>
      </c>
      <c r="L94">
        <v>27704.279416449419</v>
      </c>
      <c r="M94">
        <v>209</v>
      </c>
      <c r="N94">
        <v>18</v>
      </c>
      <c r="O94">
        <v>8.6124401913875603E-2</v>
      </c>
    </row>
    <row r="95" spans="1:15" x14ac:dyDescent="0.25">
      <c r="A95" t="s">
        <v>143</v>
      </c>
      <c r="B95" t="s">
        <v>849</v>
      </c>
      <c r="C95">
        <v>57337.357949092162</v>
      </c>
      <c r="D95">
        <v>0</v>
      </c>
      <c r="E95">
        <v>27873.816288343274</v>
      </c>
      <c r="F95">
        <v>38436.767461049822</v>
      </c>
      <c r="G95">
        <v>123647.94169848526</v>
      </c>
      <c r="H95">
        <v>110122.91107530985</v>
      </c>
      <c r="I95">
        <v>13525.030623175408</v>
      </c>
      <c r="J95">
        <v>844.92004375937086</v>
      </c>
      <c r="K95">
        <v>0</v>
      </c>
      <c r="L95">
        <v>109277.99103155048</v>
      </c>
      <c r="M95">
        <v>913</v>
      </c>
      <c r="N95">
        <v>71</v>
      </c>
      <c r="O95">
        <v>7.7765607886089799E-2</v>
      </c>
    </row>
    <row r="96" spans="1:15" x14ac:dyDescent="0.25">
      <c r="A96" t="s">
        <v>422</v>
      </c>
      <c r="B96" t="s">
        <v>851</v>
      </c>
      <c r="C96">
        <v>24574.525587025502</v>
      </c>
      <c r="D96">
        <v>6389.5736734176908</v>
      </c>
      <c r="E96">
        <v>15294.527281309296</v>
      </c>
      <c r="F96">
        <v>20714.094898127012</v>
      </c>
      <c r="G96">
        <v>66972.721439879504</v>
      </c>
      <c r="H96">
        <v>66972.721439879504</v>
      </c>
      <c r="I96">
        <v>0</v>
      </c>
      <c r="J96">
        <v>513.849426764329</v>
      </c>
      <c r="K96">
        <v>0</v>
      </c>
      <c r="L96">
        <v>66458.872013115179</v>
      </c>
      <c r="M96">
        <v>141</v>
      </c>
      <c r="N96">
        <v>18</v>
      </c>
      <c r="O96">
        <v>0.12765957446808501</v>
      </c>
    </row>
    <row r="97" spans="1:15" x14ac:dyDescent="0.25">
      <c r="A97" t="s">
        <v>424</v>
      </c>
      <c r="B97" t="s">
        <v>853</v>
      </c>
      <c r="C97">
        <v>183318.0317527313</v>
      </c>
      <c r="D97">
        <v>47955.651935962793</v>
      </c>
      <c r="E97">
        <v>96640.85697600893</v>
      </c>
      <c r="F97">
        <v>133263.49389684552</v>
      </c>
      <c r="G97">
        <v>461178.0345615485</v>
      </c>
      <c r="H97">
        <v>410732.8192631753</v>
      </c>
      <c r="I97">
        <v>50445.215298373194</v>
      </c>
      <c r="J97">
        <v>3151.3550471611102</v>
      </c>
      <c r="K97">
        <v>0</v>
      </c>
      <c r="L97">
        <v>407581.4642160142</v>
      </c>
      <c r="M97">
        <v>1293</v>
      </c>
      <c r="N97">
        <v>227</v>
      </c>
      <c r="O97">
        <v>0.17556071152358901</v>
      </c>
    </row>
    <row r="98" spans="1:15" x14ac:dyDescent="0.25">
      <c r="A98" t="s">
        <v>60</v>
      </c>
      <c r="B98" t="s">
        <v>854</v>
      </c>
      <c r="C98">
        <v>2753225.293393089</v>
      </c>
      <c r="D98">
        <v>720238.55268826208</v>
      </c>
      <c r="E98">
        <v>2112579.7683695704</v>
      </c>
      <c r="F98">
        <v>2913154.6416088524</v>
      </c>
      <c r="G98">
        <v>8499198.2560597733</v>
      </c>
      <c r="H98">
        <v>7569527.1664596172</v>
      </c>
      <c r="I98">
        <v>929671.08960015606</v>
      </c>
      <c r="J98">
        <v>58077.335245424183</v>
      </c>
      <c r="K98">
        <v>0</v>
      </c>
      <c r="L98">
        <v>7511449.8312141933</v>
      </c>
      <c r="M98">
        <v>19974</v>
      </c>
      <c r="N98">
        <v>3409</v>
      </c>
      <c r="O98">
        <v>0.17068813095017599</v>
      </c>
    </row>
    <row r="99" spans="1:15" x14ac:dyDescent="0.25">
      <c r="A99" t="s">
        <v>145</v>
      </c>
      <c r="B99" t="s">
        <v>856</v>
      </c>
      <c r="C99">
        <v>119520.12642909355</v>
      </c>
      <c r="D99">
        <v>0</v>
      </c>
      <c r="E99">
        <v>58103.166347532468</v>
      </c>
      <c r="F99">
        <v>80121.712454019347</v>
      </c>
      <c r="G99">
        <v>257745.00523064536</v>
      </c>
      <c r="H99">
        <v>229551.98364994171</v>
      </c>
      <c r="I99">
        <v>28193.021580703644</v>
      </c>
      <c r="J99">
        <v>1761.2417813575623</v>
      </c>
      <c r="K99">
        <v>0</v>
      </c>
      <c r="L99">
        <v>227790.74186858415</v>
      </c>
      <c r="M99">
        <v>2219</v>
      </c>
      <c r="N99">
        <v>148</v>
      </c>
      <c r="O99">
        <v>6.6696710229833298E-2</v>
      </c>
    </row>
    <row r="100" spans="1:15" x14ac:dyDescent="0.25">
      <c r="A100" t="s">
        <v>426</v>
      </c>
      <c r="B100" t="s">
        <v>858</v>
      </c>
      <c r="C100">
        <v>113059.57905454795</v>
      </c>
      <c r="D100">
        <v>29576.173000153278</v>
      </c>
      <c r="E100">
        <v>64072.481511817838</v>
      </c>
      <c r="F100">
        <v>88353.135682825872</v>
      </c>
      <c r="G100">
        <v>295061.36924934492</v>
      </c>
      <c r="H100">
        <v>262786.55739242956</v>
      </c>
      <c r="I100">
        <v>32274.811856915359</v>
      </c>
      <c r="J100">
        <v>2016.2346545628791</v>
      </c>
      <c r="K100">
        <v>0</v>
      </c>
      <c r="L100">
        <v>260770.32273786669</v>
      </c>
      <c r="M100">
        <v>700</v>
      </c>
      <c r="N100">
        <v>140</v>
      </c>
      <c r="O100">
        <v>0.2</v>
      </c>
    </row>
    <row r="101" spans="1:15" x14ac:dyDescent="0.25">
      <c r="A101" t="s">
        <v>428</v>
      </c>
      <c r="B101" t="s">
        <v>860</v>
      </c>
      <c r="C101">
        <v>335140.89505455282</v>
      </c>
      <c r="D101">
        <v>87672.227107597195</v>
      </c>
      <c r="E101">
        <v>203116.89188211932</v>
      </c>
      <c r="F101">
        <v>280089.26585159195</v>
      </c>
      <c r="G101">
        <v>906019.27989586128</v>
      </c>
      <c r="H101">
        <v>806915.82263282</v>
      </c>
      <c r="I101">
        <v>99103.457263041288</v>
      </c>
      <c r="J101">
        <v>6191.0763665047143</v>
      </c>
      <c r="K101">
        <v>0</v>
      </c>
      <c r="L101">
        <v>800724.74626631523</v>
      </c>
      <c r="M101">
        <v>1840</v>
      </c>
      <c r="N101">
        <v>415</v>
      </c>
      <c r="O101">
        <v>0.22554347826087001</v>
      </c>
    </row>
    <row r="102" spans="1:15" x14ac:dyDescent="0.25">
      <c r="A102" t="s">
        <v>83</v>
      </c>
      <c r="B102" t="s">
        <v>861</v>
      </c>
      <c r="C102">
        <v>36999.360174125075</v>
      </c>
      <c r="D102">
        <v>0</v>
      </c>
      <c r="E102">
        <v>29761.252799906972</v>
      </c>
      <c r="F102">
        <v>41039.459447751593</v>
      </c>
      <c r="G102">
        <v>107800.07242178364</v>
      </c>
      <c r="H102">
        <v>96008.53541229204</v>
      </c>
      <c r="I102">
        <v>11791.5370094916</v>
      </c>
      <c r="J102">
        <v>736.62723905247663</v>
      </c>
      <c r="K102">
        <v>0</v>
      </c>
      <c r="L102">
        <v>95271.908173239557</v>
      </c>
      <c r="M102">
        <v>313</v>
      </c>
      <c r="N102">
        <v>46</v>
      </c>
      <c r="O102">
        <v>0.14640691879582499</v>
      </c>
    </row>
    <row r="103" spans="1:15" x14ac:dyDescent="0.25">
      <c r="A103" t="s">
        <v>78</v>
      </c>
      <c r="B103" t="s">
        <v>862</v>
      </c>
      <c r="C103">
        <v>84361.41114742207</v>
      </c>
      <c r="D103">
        <v>22068.786311590684</v>
      </c>
      <c r="E103">
        <v>52037.703562634066</v>
      </c>
      <c r="F103">
        <v>71757.705882580151</v>
      </c>
      <c r="G103">
        <v>230225.60690422694</v>
      </c>
      <c r="H103">
        <v>205042.75031279403</v>
      </c>
      <c r="I103">
        <v>25182.856591432908</v>
      </c>
      <c r="J103">
        <v>1573.194241553882</v>
      </c>
      <c r="K103">
        <v>0</v>
      </c>
      <c r="L103">
        <v>203469.55607124013</v>
      </c>
      <c r="M103">
        <v>521</v>
      </c>
      <c r="N103">
        <v>104</v>
      </c>
      <c r="O103">
        <v>0.20056530810911399</v>
      </c>
    </row>
    <row r="104" spans="1:15" x14ac:dyDescent="0.25">
      <c r="A104" t="s">
        <v>1409</v>
      </c>
      <c r="B104" t="s">
        <v>1415</v>
      </c>
      <c r="C104">
        <v>17960.469202318378</v>
      </c>
      <c r="D104">
        <v>0</v>
      </c>
      <c r="E104">
        <v>12200.585761497769</v>
      </c>
      <c r="F104">
        <v>16824.071485302808</v>
      </c>
      <c r="G104">
        <v>46985.12644911895</v>
      </c>
      <c r="H104">
        <v>46985.12644911895</v>
      </c>
      <c r="I104">
        <v>0</v>
      </c>
      <c r="J104">
        <v>360.49423964355964</v>
      </c>
      <c r="K104">
        <v>0</v>
      </c>
      <c r="L104">
        <v>46624.632209475392</v>
      </c>
      <c r="M104">
        <v>162</v>
      </c>
      <c r="N104">
        <v>22</v>
      </c>
      <c r="O104">
        <v>0.13688530683662301</v>
      </c>
    </row>
    <row r="105" spans="1:15" x14ac:dyDescent="0.25">
      <c r="A105" t="s">
        <v>79</v>
      </c>
      <c r="B105" t="s">
        <v>863</v>
      </c>
      <c r="C105">
        <v>40600.818996785652</v>
      </c>
      <c r="D105">
        <v>10616.875576927436</v>
      </c>
      <c r="E105">
        <v>25034.354686888881</v>
      </c>
      <c r="F105">
        <v>34521.274721890004</v>
      </c>
      <c r="G105">
        <v>110773.32398249197</v>
      </c>
      <c r="H105">
        <v>98656.562647737883</v>
      </c>
      <c r="I105">
        <v>12116.76133475409</v>
      </c>
      <c r="J105">
        <v>756.9442763138585</v>
      </c>
      <c r="K105">
        <v>0</v>
      </c>
      <c r="L105">
        <v>97899.618371424018</v>
      </c>
      <c r="M105">
        <v>274</v>
      </c>
      <c r="N105">
        <v>50</v>
      </c>
      <c r="O105">
        <v>0.18320539604903699</v>
      </c>
    </row>
    <row r="106" spans="1:15" x14ac:dyDescent="0.25">
      <c r="A106" t="s">
        <v>430</v>
      </c>
      <c r="B106" t="s">
        <v>865</v>
      </c>
      <c r="C106">
        <v>40477.006669537383</v>
      </c>
      <c r="D106">
        <v>10359.566139622068</v>
      </c>
      <c r="E106">
        <v>26051.148027354822</v>
      </c>
      <c r="F106">
        <v>34433.194556724091</v>
      </c>
      <c r="G106">
        <v>111320.91539323836</v>
      </c>
      <c r="H106">
        <v>111320.91539323836</v>
      </c>
      <c r="I106">
        <v>0</v>
      </c>
      <c r="J106">
        <v>854.11175373910294</v>
      </c>
      <c r="K106">
        <v>0</v>
      </c>
      <c r="L106">
        <v>110466.80363949927</v>
      </c>
      <c r="M106">
        <v>182</v>
      </c>
      <c r="N106">
        <v>45</v>
      </c>
      <c r="O106">
        <v>0.24725274725274701</v>
      </c>
    </row>
    <row r="107" spans="1:15" x14ac:dyDescent="0.25">
      <c r="A107" t="s">
        <v>432</v>
      </c>
      <c r="B107" t="s">
        <v>867</v>
      </c>
      <c r="C107">
        <v>0</v>
      </c>
      <c r="D107">
        <v>2537.0366056217304</v>
      </c>
      <c r="E107">
        <v>0</v>
      </c>
      <c r="F107">
        <v>0</v>
      </c>
      <c r="G107">
        <v>2537.0366056217304</v>
      </c>
      <c r="H107">
        <v>2537.0366056217304</v>
      </c>
      <c r="I107">
        <v>0</v>
      </c>
      <c r="J107">
        <v>19.465459629695925</v>
      </c>
      <c r="K107">
        <v>0</v>
      </c>
      <c r="L107">
        <v>2517.5711459920344</v>
      </c>
      <c r="M107">
        <v>55</v>
      </c>
      <c r="N107">
        <v>9</v>
      </c>
      <c r="O107">
        <v>0.163636363636364</v>
      </c>
    </row>
    <row r="108" spans="1:15" x14ac:dyDescent="0.25">
      <c r="A108" t="s">
        <v>147</v>
      </c>
      <c r="B108" t="s">
        <v>869</v>
      </c>
      <c r="C108">
        <v>763152.15861819859</v>
      </c>
      <c r="D108">
        <v>0</v>
      </c>
      <c r="E108">
        <v>0</v>
      </c>
      <c r="F108">
        <v>0</v>
      </c>
      <c r="G108">
        <v>763152.15861819859</v>
      </c>
      <c r="H108">
        <v>679675.9909305647</v>
      </c>
      <c r="I108">
        <v>83476.16768763389</v>
      </c>
      <c r="J108">
        <v>5214.8264370392335</v>
      </c>
      <c r="K108">
        <v>0</v>
      </c>
      <c r="L108">
        <v>674461.16449352552</v>
      </c>
      <c r="M108">
        <v>23245</v>
      </c>
      <c r="N108">
        <v>945</v>
      </c>
      <c r="O108">
        <v>4.0653904065390399E-2</v>
      </c>
    </row>
    <row r="109" spans="1:15" x14ac:dyDescent="0.25">
      <c r="A109" t="s">
        <v>149</v>
      </c>
      <c r="B109" t="s">
        <v>871</v>
      </c>
      <c r="C109">
        <v>11305.957905454792</v>
      </c>
      <c r="D109">
        <v>2957.6173000153276</v>
      </c>
      <c r="E109">
        <v>6971.1334917501554</v>
      </c>
      <c r="F109">
        <v>9612.8866672050153</v>
      </c>
      <c r="G109">
        <v>30847.595364425288</v>
      </c>
      <c r="H109">
        <v>27473.380911486391</v>
      </c>
      <c r="I109">
        <v>3374.214452938897</v>
      </c>
      <c r="J109">
        <v>210.7900161309428</v>
      </c>
      <c r="K109">
        <v>0</v>
      </c>
      <c r="L109">
        <v>27262.590895355446</v>
      </c>
      <c r="M109">
        <v>61</v>
      </c>
      <c r="N109">
        <v>14</v>
      </c>
      <c r="O109">
        <v>0.22950819672131101</v>
      </c>
    </row>
    <row r="110" spans="1:15" x14ac:dyDescent="0.25">
      <c r="A110" t="s">
        <v>151</v>
      </c>
      <c r="B110" t="s">
        <v>873</v>
      </c>
      <c r="C110">
        <v>101753.62114909316</v>
      </c>
      <c r="D110">
        <v>0</v>
      </c>
      <c r="E110">
        <v>49466.209187764151</v>
      </c>
      <c r="F110">
        <v>68211.728170313756</v>
      </c>
      <c r="G110">
        <v>219431.55850717105</v>
      </c>
      <c r="H110">
        <v>195429.39148576118</v>
      </c>
      <c r="I110">
        <v>24002.16702140987</v>
      </c>
      <c r="J110">
        <v>1499.4355706152219</v>
      </c>
      <c r="K110">
        <v>0</v>
      </c>
      <c r="L110">
        <v>193929.95591514595</v>
      </c>
      <c r="M110">
        <v>1360</v>
      </c>
      <c r="N110">
        <v>126</v>
      </c>
      <c r="O110">
        <v>9.2647058823529402E-2</v>
      </c>
    </row>
    <row r="111" spans="1:15" x14ac:dyDescent="0.25">
      <c r="A111" t="s">
        <v>434</v>
      </c>
      <c r="B111" t="s">
        <v>875</v>
      </c>
      <c r="C111">
        <v>25034.62107636419</v>
      </c>
      <c r="D111">
        <v>6549.0097357482255</v>
      </c>
      <c r="E111">
        <v>19575.467108134042</v>
      </c>
      <c r="F111">
        <v>26993.708697557697</v>
      </c>
      <c r="G111">
        <v>78152.806617804163</v>
      </c>
      <c r="H111">
        <v>69604.187948757157</v>
      </c>
      <c r="I111">
        <v>8548.6186690470058</v>
      </c>
      <c r="J111">
        <v>534.03940154906502</v>
      </c>
      <c r="K111">
        <v>0</v>
      </c>
      <c r="L111">
        <v>69070.148547208097</v>
      </c>
      <c r="M111">
        <v>100</v>
      </c>
      <c r="N111">
        <v>31</v>
      </c>
      <c r="O111">
        <v>0.31</v>
      </c>
    </row>
    <row r="112" spans="1:15" x14ac:dyDescent="0.25">
      <c r="A112" t="s">
        <v>436</v>
      </c>
      <c r="B112" t="s">
        <v>877</v>
      </c>
      <c r="C112">
        <v>720351.03226183413</v>
      </c>
      <c r="D112">
        <v>188442.47368669088</v>
      </c>
      <c r="E112">
        <v>389644.54459409445</v>
      </c>
      <c r="F112">
        <v>537302.70007171738</v>
      </c>
      <c r="G112">
        <v>1835740.7506143369</v>
      </c>
      <c r="H112">
        <v>1634941.2101835394</v>
      </c>
      <c r="I112">
        <v>200799.5404307975</v>
      </c>
      <c r="J112">
        <v>12544.116254859802</v>
      </c>
      <c r="K112">
        <v>0</v>
      </c>
      <c r="L112">
        <v>1622397.0939286796</v>
      </c>
      <c r="M112">
        <v>5497</v>
      </c>
      <c r="N112">
        <v>892</v>
      </c>
      <c r="O112">
        <v>0.16227032927051099</v>
      </c>
    </row>
    <row r="113" spans="1:15" x14ac:dyDescent="0.25">
      <c r="A113" t="s">
        <v>438</v>
      </c>
      <c r="B113" t="s">
        <v>879</v>
      </c>
      <c r="C113">
        <v>2151582.8586041536</v>
      </c>
      <c r="D113">
        <v>546459.23643364746</v>
      </c>
      <c r="E113">
        <v>1483789.9811520197</v>
      </c>
      <c r="F113">
        <v>2046081.1636484198</v>
      </c>
      <c r="G113">
        <v>6227913.2398382407</v>
      </c>
      <c r="H113">
        <v>6227913.2398382407</v>
      </c>
      <c r="I113">
        <v>0</v>
      </c>
      <c r="J113">
        <v>47783.777923697482</v>
      </c>
      <c r="K113">
        <v>0</v>
      </c>
      <c r="L113">
        <v>6180129.4619145431</v>
      </c>
      <c r="M113">
        <v>20458</v>
      </c>
      <c r="N113">
        <v>2628</v>
      </c>
      <c r="O113">
        <v>0.12845830481963</v>
      </c>
    </row>
    <row r="114" spans="1:15" x14ac:dyDescent="0.25">
      <c r="A114" t="s">
        <v>440</v>
      </c>
      <c r="B114" t="s">
        <v>881</v>
      </c>
      <c r="C114">
        <v>3663937.9297891716</v>
      </c>
      <c r="D114">
        <v>471830.15676450706</v>
      </c>
      <c r="E114">
        <v>2982694.6373336343</v>
      </c>
      <c r="F114">
        <v>4113004.7997933235</v>
      </c>
      <c r="G114">
        <v>11231467.523680637</v>
      </c>
      <c r="H114">
        <v>10002931.568173975</v>
      </c>
      <c r="I114">
        <v>1228535.9555066619</v>
      </c>
      <c r="J114">
        <v>76747.674900490892</v>
      </c>
      <c r="K114">
        <v>0</v>
      </c>
      <c r="L114">
        <v>9926183.893273484</v>
      </c>
      <c r="M114">
        <v>30689</v>
      </c>
      <c r="N114">
        <v>4537</v>
      </c>
      <c r="O114">
        <v>0.14783798755254299</v>
      </c>
    </row>
    <row r="115" spans="1:15" x14ac:dyDescent="0.25">
      <c r="A115" t="s">
        <v>442</v>
      </c>
      <c r="B115" t="s">
        <v>883</v>
      </c>
      <c r="C115">
        <v>136479.06328727573</v>
      </c>
      <c r="D115">
        <v>35702.665978756435</v>
      </c>
      <c r="E115">
        <v>72986.606478622387</v>
      </c>
      <c r="F115">
        <v>100645.32218945402</v>
      </c>
      <c r="G115">
        <v>345813.65793410857</v>
      </c>
      <c r="H115">
        <v>325720.35939450131</v>
      </c>
      <c r="I115">
        <v>20093.298539607262</v>
      </c>
      <c r="J115">
        <v>2499.0953982746928</v>
      </c>
      <c r="K115">
        <v>0</v>
      </c>
      <c r="L115">
        <v>323221.2639962266</v>
      </c>
      <c r="M115">
        <v>940</v>
      </c>
      <c r="N115">
        <v>169</v>
      </c>
      <c r="O115">
        <v>0.17978723404255301</v>
      </c>
    </row>
    <row r="116" spans="1:15" x14ac:dyDescent="0.25">
      <c r="A116" t="s">
        <v>444</v>
      </c>
      <c r="B116" t="s">
        <v>885</v>
      </c>
      <c r="C116">
        <v>221273.74757818659</v>
      </c>
      <c r="D116">
        <v>57884.79572887141</v>
      </c>
      <c r="E116">
        <v>108746.73020230971</v>
      </c>
      <c r="F116">
        <v>149956.96095922487</v>
      </c>
      <c r="G116">
        <v>537862.23446859256</v>
      </c>
      <c r="H116">
        <v>479029.04167694598</v>
      </c>
      <c r="I116">
        <v>58833.192791646579</v>
      </c>
      <c r="J116">
        <v>3675.3590592869809</v>
      </c>
      <c r="K116">
        <v>0</v>
      </c>
      <c r="L116">
        <v>475353.68261765898</v>
      </c>
      <c r="M116">
        <v>1733</v>
      </c>
      <c r="N116">
        <v>274</v>
      </c>
      <c r="O116">
        <v>0.15810732833237201</v>
      </c>
    </row>
    <row r="117" spans="1:15" x14ac:dyDescent="0.25">
      <c r="A117" t="s">
        <v>282</v>
      </c>
      <c r="B117" t="s">
        <v>887</v>
      </c>
      <c r="C117">
        <v>46838.968465455568</v>
      </c>
      <c r="D117">
        <v>0</v>
      </c>
      <c r="E117">
        <v>22770.15978484381</v>
      </c>
      <c r="F117">
        <v>31399.04947522379</v>
      </c>
      <c r="G117">
        <v>101008.17772552316</v>
      </c>
      <c r="H117">
        <v>99753.451809572754</v>
      </c>
      <c r="I117">
        <v>1254.7259159504029</v>
      </c>
      <c r="J117">
        <v>765.36017841422063</v>
      </c>
      <c r="K117">
        <v>0</v>
      </c>
      <c r="L117">
        <v>98988.091631158532</v>
      </c>
      <c r="M117">
        <v>722</v>
      </c>
      <c r="N117">
        <v>58</v>
      </c>
      <c r="O117">
        <v>8.0332409972299207E-2</v>
      </c>
    </row>
    <row r="118" spans="1:15" x14ac:dyDescent="0.25">
      <c r="A118" t="s">
        <v>445</v>
      </c>
      <c r="B118" t="s">
        <v>889</v>
      </c>
      <c r="C118">
        <v>12921.094749091199</v>
      </c>
      <c r="D118">
        <v>3380.1340571603741</v>
      </c>
      <c r="E118">
        <v>7230.8212752618747</v>
      </c>
      <c r="F118">
        <v>9970.9847060261145</v>
      </c>
      <c r="G118">
        <v>33503.03478753956</v>
      </c>
      <c r="H118">
        <v>32679.044562658957</v>
      </c>
      <c r="I118">
        <v>823.99022488060291</v>
      </c>
      <c r="J118">
        <v>250.7305654407715</v>
      </c>
      <c r="K118">
        <v>0</v>
      </c>
      <c r="L118">
        <v>32428.313997218185</v>
      </c>
      <c r="M118">
        <v>82</v>
      </c>
      <c r="N118">
        <v>16</v>
      </c>
      <c r="O118">
        <v>0.19512195121951201</v>
      </c>
    </row>
    <row r="119" spans="1:15" x14ac:dyDescent="0.25">
      <c r="A119" t="s">
        <v>153</v>
      </c>
      <c r="B119" t="s">
        <v>891</v>
      </c>
      <c r="C119">
        <v>125980.67380363912</v>
      </c>
      <c r="D119">
        <v>0</v>
      </c>
      <c r="E119">
        <v>61243.878041993703</v>
      </c>
      <c r="F119">
        <v>84452.615829912291</v>
      </c>
      <c r="G119">
        <v>271677.16767554509</v>
      </c>
      <c r="H119">
        <v>241960.19898237096</v>
      </c>
      <c r="I119">
        <v>29716.968693174131</v>
      </c>
      <c r="J119">
        <v>1856.444039809322</v>
      </c>
      <c r="K119">
        <v>0</v>
      </c>
      <c r="L119">
        <v>240103.75494256165</v>
      </c>
      <c r="M119">
        <v>1970</v>
      </c>
      <c r="N119">
        <v>156</v>
      </c>
      <c r="O119">
        <v>7.91878172588832E-2</v>
      </c>
    </row>
    <row r="120" spans="1:15" x14ac:dyDescent="0.25">
      <c r="A120" t="s">
        <v>284</v>
      </c>
      <c r="B120" t="s">
        <v>893</v>
      </c>
      <c r="C120">
        <v>110636.8737890933</v>
      </c>
      <c r="D120">
        <v>28942.397864435705</v>
      </c>
      <c r="E120">
        <v>67654.718382175997</v>
      </c>
      <c r="F120">
        <v>93292.882868931003</v>
      </c>
      <c r="G120">
        <v>300526.87290463597</v>
      </c>
      <c r="H120">
        <v>267654.225747808</v>
      </c>
      <c r="I120">
        <v>32872.647156827967</v>
      </c>
      <c r="J120">
        <v>2053.5819288010239</v>
      </c>
      <c r="K120">
        <v>0</v>
      </c>
      <c r="L120">
        <v>265600.64381900697</v>
      </c>
      <c r="M120">
        <v>602</v>
      </c>
      <c r="N120">
        <v>137</v>
      </c>
      <c r="O120">
        <v>0.227574750830565</v>
      </c>
    </row>
    <row r="121" spans="1:15" x14ac:dyDescent="0.25">
      <c r="A121" t="s">
        <v>447</v>
      </c>
      <c r="B121" t="s">
        <v>895</v>
      </c>
      <c r="C121">
        <v>0</v>
      </c>
      <c r="D121">
        <v>4607.7671010265385</v>
      </c>
      <c r="E121">
        <v>0</v>
      </c>
      <c r="F121">
        <v>0</v>
      </c>
      <c r="G121">
        <v>4607.7671010265385</v>
      </c>
      <c r="H121">
        <v>4607.7671010265385</v>
      </c>
      <c r="I121">
        <v>0</v>
      </c>
      <c r="J121">
        <v>35.353177123785706</v>
      </c>
      <c r="K121">
        <v>0</v>
      </c>
      <c r="L121">
        <v>4572.4139239027527</v>
      </c>
      <c r="M121">
        <v>87</v>
      </c>
      <c r="N121">
        <v>9</v>
      </c>
      <c r="O121">
        <v>0.10344827586206901</v>
      </c>
    </row>
    <row r="122" spans="1:15" x14ac:dyDescent="0.25">
      <c r="A122" t="s">
        <v>286</v>
      </c>
      <c r="B122" t="s">
        <v>897</v>
      </c>
      <c r="C122">
        <v>138094.2001309121</v>
      </c>
      <c r="D122">
        <v>0</v>
      </c>
      <c r="E122">
        <v>67132.712469108461</v>
      </c>
      <c r="F122">
        <v>92573.059659711478</v>
      </c>
      <c r="G122">
        <v>297799.97225973202</v>
      </c>
      <c r="H122">
        <v>265225.60273067583</v>
      </c>
      <c r="I122">
        <v>32574.369529056188</v>
      </c>
      <c r="J122">
        <v>2034.9482744063721</v>
      </c>
      <c r="K122">
        <v>0</v>
      </c>
      <c r="L122">
        <v>263190.65445626946</v>
      </c>
      <c r="M122">
        <v>1264</v>
      </c>
      <c r="N122">
        <v>171</v>
      </c>
      <c r="O122">
        <v>0.135284810126582</v>
      </c>
    </row>
    <row r="123" spans="1:15" x14ac:dyDescent="0.25">
      <c r="A123" t="s">
        <v>155</v>
      </c>
      <c r="B123" t="s">
        <v>899</v>
      </c>
      <c r="C123">
        <v>432856.67409455497</v>
      </c>
      <c r="D123">
        <v>0</v>
      </c>
      <c r="E123">
        <v>210427.68352890143</v>
      </c>
      <c r="F123">
        <v>290170.5261848268</v>
      </c>
      <c r="G123">
        <v>933454.88380828314</v>
      </c>
      <c r="H123">
        <v>831350.42727276182</v>
      </c>
      <c r="I123">
        <v>102104.45653552131</v>
      </c>
      <c r="J123">
        <v>6378.5513162679272</v>
      </c>
      <c r="K123">
        <v>0</v>
      </c>
      <c r="L123">
        <v>824971.8759564939</v>
      </c>
      <c r="M123">
        <v>10404</v>
      </c>
      <c r="N123">
        <v>536</v>
      </c>
      <c r="O123">
        <v>5.1518646674356003E-2</v>
      </c>
    </row>
    <row r="124" spans="1:15" x14ac:dyDescent="0.25">
      <c r="A124" t="s">
        <v>157</v>
      </c>
      <c r="B124" t="s">
        <v>901</v>
      </c>
      <c r="C124">
        <v>1252538.6222400276</v>
      </c>
      <c r="D124">
        <v>0</v>
      </c>
      <c r="E124">
        <v>0</v>
      </c>
      <c r="F124">
        <v>0</v>
      </c>
      <c r="G124">
        <v>1252538.6222400276</v>
      </c>
      <c r="H124">
        <v>1115531.7057495301</v>
      </c>
      <c r="I124">
        <v>137006.91649049753</v>
      </c>
      <c r="J124">
        <v>8558.9373585691574</v>
      </c>
      <c r="K124">
        <v>0</v>
      </c>
      <c r="L124">
        <v>1106972.768390961</v>
      </c>
      <c r="M124">
        <v>36438</v>
      </c>
      <c r="N124">
        <v>1551</v>
      </c>
      <c r="O124">
        <v>4.25654536472913E-2</v>
      </c>
    </row>
    <row r="125" spans="1:15" x14ac:dyDescent="0.25">
      <c r="A125" t="s">
        <v>159</v>
      </c>
      <c r="B125" t="s">
        <v>903</v>
      </c>
      <c r="C125">
        <v>249538.64234182361</v>
      </c>
      <c r="D125">
        <v>0</v>
      </c>
      <c r="E125">
        <v>121309.98919856445</v>
      </c>
      <c r="F125">
        <v>167281.14289386474</v>
      </c>
      <c r="G125">
        <v>538129.77443425276</v>
      </c>
      <c r="H125">
        <v>479267.31721508096</v>
      </c>
      <c r="I125">
        <v>58862.457219171803</v>
      </c>
      <c r="J125">
        <v>3677.1872326992343</v>
      </c>
      <c r="K125">
        <v>0</v>
      </c>
      <c r="L125">
        <v>475590.12998238171</v>
      </c>
      <c r="M125">
        <v>2680</v>
      </c>
      <c r="N125">
        <v>309</v>
      </c>
      <c r="O125">
        <v>0.11529850746268699</v>
      </c>
    </row>
    <row r="126" spans="1:15" x14ac:dyDescent="0.25">
      <c r="A126" t="s">
        <v>161</v>
      </c>
      <c r="B126" t="s">
        <v>905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28</v>
      </c>
      <c r="N126">
        <v>9</v>
      </c>
      <c r="O126">
        <v>0.32142857142857101</v>
      </c>
    </row>
    <row r="127" spans="1:15" x14ac:dyDescent="0.25">
      <c r="A127" t="s">
        <v>163</v>
      </c>
      <c r="B127" t="s">
        <v>907</v>
      </c>
      <c r="C127">
        <v>54914.652683637578</v>
      </c>
      <c r="D127">
        <v>0</v>
      </c>
      <c r="E127">
        <v>26696.049402920326</v>
      </c>
      <c r="F127">
        <v>36812.678695089948</v>
      </c>
      <c r="G127">
        <v>118423.38078164784</v>
      </c>
      <c r="H127">
        <v>105469.83032564887</v>
      </c>
      <c r="I127">
        <v>12953.550455998964</v>
      </c>
      <c r="J127">
        <v>809.21919683996077</v>
      </c>
      <c r="K127">
        <v>0</v>
      </c>
      <c r="L127">
        <v>104660.61112880892</v>
      </c>
      <c r="M127">
        <v>839</v>
      </c>
      <c r="N127">
        <v>68</v>
      </c>
      <c r="O127">
        <v>8.1048867699642396E-2</v>
      </c>
    </row>
    <row r="128" spans="1:15" x14ac:dyDescent="0.25">
      <c r="A128" t="s">
        <v>451</v>
      </c>
      <c r="B128" t="s">
        <v>909</v>
      </c>
      <c r="C128">
        <v>54107.084261819371</v>
      </c>
      <c r="D128">
        <v>14154.311364359071</v>
      </c>
      <c r="E128">
        <v>31810.109513907715</v>
      </c>
      <c r="F128">
        <v>43864.742798348627</v>
      </c>
      <c r="G128">
        <v>143936.2479384348</v>
      </c>
      <c r="H128">
        <v>128192.01366804623</v>
      </c>
      <c r="I128">
        <v>15744.234270388566</v>
      </c>
      <c r="J128">
        <v>983.55556296487714</v>
      </c>
      <c r="K128">
        <v>0</v>
      </c>
      <c r="L128">
        <v>127208.45810508136</v>
      </c>
      <c r="M128">
        <v>310</v>
      </c>
      <c r="N128">
        <v>67</v>
      </c>
      <c r="O128">
        <v>0.21612903225806401</v>
      </c>
    </row>
    <row r="129" spans="1:15" x14ac:dyDescent="0.25">
      <c r="A129" t="s">
        <v>453</v>
      </c>
      <c r="B129" t="s">
        <v>911</v>
      </c>
      <c r="C129">
        <v>1011530.8399718293</v>
      </c>
      <c r="D129">
        <v>263006.1281161193</v>
      </c>
      <c r="E129">
        <v>579265.01314719033</v>
      </c>
      <c r="F129">
        <v>798780.99139125366</v>
      </c>
      <c r="G129">
        <v>2652582.9726263927</v>
      </c>
      <c r="H129">
        <v>2565520.7845416502</v>
      </c>
      <c r="I129">
        <v>87062.18808474252</v>
      </c>
      <c r="J129">
        <v>19684.005011982539</v>
      </c>
      <c r="K129">
        <v>0</v>
      </c>
      <c r="L129">
        <v>2545836.7795296675</v>
      </c>
      <c r="M129">
        <v>7250</v>
      </c>
      <c r="N129">
        <v>1214</v>
      </c>
      <c r="O129">
        <v>0.16744827586206901</v>
      </c>
    </row>
    <row r="130" spans="1:15" x14ac:dyDescent="0.25">
      <c r="A130" t="s">
        <v>455</v>
      </c>
      <c r="B130" t="s">
        <v>913</v>
      </c>
      <c r="C130">
        <v>48787.661091888862</v>
      </c>
      <c r="D130">
        <v>12685.183028108648</v>
      </c>
      <c r="E130">
        <v>29841.77679056253</v>
      </c>
      <c r="F130">
        <v>40416.116497032373</v>
      </c>
      <c r="G130">
        <v>131730.73740759242</v>
      </c>
      <c r="H130">
        <v>130104.81752883618</v>
      </c>
      <c r="I130">
        <v>1625.9198787562345</v>
      </c>
      <c r="J130">
        <v>998.23158547445735</v>
      </c>
      <c r="K130">
        <v>0</v>
      </c>
      <c r="L130">
        <v>129106.58594336173</v>
      </c>
      <c r="M130">
        <v>257</v>
      </c>
      <c r="N130">
        <v>53</v>
      </c>
      <c r="O130">
        <v>0.20622568093385199</v>
      </c>
    </row>
    <row r="131" spans="1:15" x14ac:dyDescent="0.25">
      <c r="A131" t="s">
        <v>457</v>
      </c>
      <c r="B131" t="s">
        <v>915</v>
      </c>
      <c r="C131">
        <v>46031.400043637375</v>
      </c>
      <c r="D131">
        <v>12041.72757863383</v>
      </c>
      <c r="E131">
        <v>25903.157106205515</v>
      </c>
      <c r="F131">
        <v>35719.315069699696</v>
      </c>
      <c r="G131">
        <v>119695.59979817641</v>
      </c>
      <c r="H131">
        <v>106602.8897175078</v>
      </c>
      <c r="I131">
        <v>13092.710080668607</v>
      </c>
      <c r="J131">
        <v>817.91261568989216</v>
      </c>
      <c r="K131">
        <v>0</v>
      </c>
      <c r="L131">
        <v>105784.97710181792</v>
      </c>
      <c r="M131">
        <v>289</v>
      </c>
      <c r="N131">
        <v>57</v>
      </c>
      <c r="O131">
        <v>0.19723183391003499</v>
      </c>
    </row>
    <row r="132" spans="1:15" x14ac:dyDescent="0.25">
      <c r="A132" t="s">
        <v>80</v>
      </c>
      <c r="B132" t="s">
        <v>916</v>
      </c>
      <c r="C132">
        <v>0</v>
      </c>
      <c r="D132">
        <v>2381.7838916968253</v>
      </c>
      <c r="E132">
        <v>0</v>
      </c>
      <c r="F132">
        <v>0</v>
      </c>
      <c r="G132">
        <v>2381.7838916968253</v>
      </c>
      <c r="H132">
        <v>2381.7838916968253</v>
      </c>
      <c r="I132">
        <v>0</v>
      </c>
      <c r="J132">
        <v>18.274280350449626</v>
      </c>
      <c r="K132">
        <v>0</v>
      </c>
      <c r="L132">
        <v>2363.5096113463756</v>
      </c>
      <c r="M132">
        <v>42</v>
      </c>
      <c r="N132">
        <v>9</v>
      </c>
      <c r="O132">
        <v>0.21743232968971399</v>
      </c>
    </row>
    <row r="133" spans="1:15" x14ac:dyDescent="0.25">
      <c r="A133" t="s">
        <v>459</v>
      </c>
      <c r="B133" t="s">
        <v>918</v>
      </c>
      <c r="C133">
        <v>79581.911418073476</v>
      </c>
      <c r="D133">
        <v>20212.222073410525</v>
      </c>
      <c r="E133">
        <v>48202.012305030454</v>
      </c>
      <c r="F133">
        <v>63515.414640705843</v>
      </c>
      <c r="G133">
        <v>211511.56043722032</v>
      </c>
      <c r="H133">
        <v>211511.56043722032</v>
      </c>
      <c r="I133">
        <v>0</v>
      </c>
      <c r="J133">
        <v>1622.8263052183047</v>
      </c>
      <c r="K133">
        <v>0</v>
      </c>
      <c r="L133">
        <v>209888.73413200202</v>
      </c>
      <c r="M133">
        <v>419</v>
      </c>
      <c r="N133">
        <v>69</v>
      </c>
      <c r="O133">
        <v>0.164677804295943</v>
      </c>
    </row>
    <row r="134" spans="1:15" x14ac:dyDescent="0.25">
      <c r="A134" t="s">
        <v>165</v>
      </c>
      <c r="B134" t="s">
        <v>920</v>
      </c>
      <c r="C134">
        <v>339178.73716364388</v>
      </c>
      <c r="D134">
        <v>0</v>
      </c>
      <c r="E134">
        <v>164887.36395921378</v>
      </c>
      <c r="F134">
        <v>227372.42723437928</v>
      </c>
      <c r="G134">
        <v>731438.52835723688</v>
      </c>
      <c r="H134">
        <v>651431.30495253729</v>
      </c>
      <c r="I134">
        <v>80007.223404699587</v>
      </c>
      <c r="J134">
        <v>4998.1185687174066</v>
      </c>
      <c r="K134">
        <v>0</v>
      </c>
      <c r="L134">
        <v>646433.18638381991</v>
      </c>
      <c r="M134">
        <v>4435</v>
      </c>
      <c r="N134">
        <v>420</v>
      </c>
      <c r="O134">
        <v>9.4701240135287496E-2</v>
      </c>
    </row>
    <row r="135" spans="1:15" x14ac:dyDescent="0.25">
      <c r="A135" t="s">
        <v>461</v>
      </c>
      <c r="B135" t="s">
        <v>922</v>
      </c>
      <c r="C135">
        <v>137210.19210012667</v>
      </c>
      <c r="D135">
        <v>34848.658747259527</v>
      </c>
      <c r="E135">
        <v>76753.674232199613</v>
      </c>
      <c r="F135">
        <v>105839.94303923043</v>
      </c>
      <c r="G135">
        <v>354652.46811881626</v>
      </c>
      <c r="H135">
        <v>353271.20788125548</v>
      </c>
      <c r="I135">
        <v>1381.2602375607821</v>
      </c>
      <c r="J135">
        <v>2710.4797857898106</v>
      </c>
      <c r="K135">
        <v>0</v>
      </c>
      <c r="L135">
        <v>350560.72809546569</v>
      </c>
      <c r="M135">
        <v>783</v>
      </c>
      <c r="N135">
        <v>164</v>
      </c>
      <c r="O135">
        <v>0.20945083014048499</v>
      </c>
    </row>
    <row r="136" spans="1:15" x14ac:dyDescent="0.25">
      <c r="A136" t="s">
        <v>463</v>
      </c>
      <c r="B136" t="s">
        <v>924</v>
      </c>
      <c r="C136">
        <v>21804.347389091385</v>
      </c>
      <c r="D136">
        <v>5703.9762214581324</v>
      </c>
      <c r="E136">
        <v>16869.155099912998</v>
      </c>
      <c r="F136">
        <v>23261.823394842959</v>
      </c>
      <c r="G136">
        <v>67639.302105305469</v>
      </c>
      <c r="H136">
        <v>60240.686166066786</v>
      </c>
      <c r="I136">
        <v>7398.6159392386835</v>
      </c>
      <c r="J136">
        <v>462.19776334027017</v>
      </c>
      <c r="K136">
        <v>0</v>
      </c>
      <c r="L136">
        <v>59778.488402726514</v>
      </c>
      <c r="M136">
        <v>88</v>
      </c>
      <c r="N136">
        <v>27</v>
      </c>
      <c r="O136">
        <v>0.30681818181818199</v>
      </c>
    </row>
    <row r="137" spans="1:15" x14ac:dyDescent="0.25">
      <c r="A137" t="s">
        <v>288</v>
      </c>
      <c r="B137" t="s">
        <v>926</v>
      </c>
      <c r="C137">
        <v>87217.389556365539</v>
      </c>
      <c r="D137">
        <v>22815.90488583253</v>
      </c>
      <c r="E137">
        <v>45619.799205005569</v>
      </c>
      <c r="F137">
        <v>62907.697874003774</v>
      </c>
      <c r="G137">
        <v>218560.79152120743</v>
      </c>
      <c r="H137">
        <v>194653.87194176088</v>
      </c>
      <c r="I137">
        <v>23906.919579446549</v>
      </c>
      <c r="J137">
        <v>1493.4853827691625</v>
      </c>
      <c r="K137">
        <v>0</v>
      </c>
      <c r="L137">
        <v>193160.38655899171</v>
      </c>
      <c r="M137">
        <v>623</v>
      </c>
      <c r="N137">
        <v>108</v>
      </c>
      <c r="O137">
        <v>0.173354735152488</v>
      </c>
    </row>
    <row r="138" spans="1:15" x14ac:dyDescent="0.25">
      <c r="A138" t="s">
        <v>465</v>
      </c>
      <c r="B138" t="s">
        <v>928</v>
      </c>
      <c r="C138">
        <v>45965.41435354243</v>
      </c>
      <c r="D138">
        <v>11674.300680331942</v>
      </c>
      <c r="E138">
        <v>25028.138560760191</v>
      </c>
      <c r="F138">
        <v>32979.382443869901</v>
      </c>
      <c r="G138">
        <v>115647.23603850446</v>
      </c>
      <c r="H138">
        <v>115647.23603850446</v>
      </c>
      <c r="I138">
        <v>0</v>
      </c>
      <c r="J138">
        <v>887.30552779775894</v>
      </c>
      <c r="K138">
        <v>0</v>
      </c>
      <c r="L138">
        <v>114759.9305107067</v>
      </c>
      <c r="M138">
        <v>207</v>
      </c>
      <c r="N138">
        <v>33</v>
      </c>
      <c r="O138">
        <v>0.15942028985507201</v>
      </c>
    </row>
    <row r="139" spans="1:15" x14ac:dyDescent="0.25">
      <c r="A139" t="s">
        <v>467</v>
      </c>
      <c r="B139" t="s">
        <v>930</v>
      </c>
      <c r="C139">
        <v>127595.81064727558</v>
      </c>
      <c r="D139">
        <v>33378.823814458701</v>
      </c>
      <c r="E139">
        <v>83382.735146802705</v>
      </c>
      <c r="F139">
        <v>114981.12665843546</v>
      </c>
      <c r="G139">
        <v>359338.49626697245</v>
      </c>
      <c r="H139">
        <v>320032.83456863347</v>
      </c>
      <c r="I139">
        <v>39305.661698338983</v>
      </c>
      <c r="J139">
        <v>2455.4577603133389</v>
      </c>
      <c r="K139">
        <v>0</v>
      </c>
      <c r="L139">
        <v>317577.37680832011</v>
      </c>
      <c r="M139">
        <v>646</v>
      </c>
      <c r="N139">
        <v>158</v>
      </c>
      <c r="O139">
        <v>0.24458204334365299</v>
      </c>
    </row>
    <row r="140" spans="1:15" x14ac:dyDescent="0.25">
      <c r="A140" t="s">
        <v>167</v>
      </c>
      <c r="B140" t="s">
        <v>932</v>
      </c>
      <c r="C140">
        <v>1011075.6641163856</v>
      </c>
      <c r="D140">
        <v>0</v>
      </c>
      <c r="E140">
        <v>601642.58397022681</v>
      </c>
      <c r="F140">
        <v>829638.67794449104</v>
      </c>
      <c r="G140">
        <v>2442356.9260311034</v>
      </c>
      <c r="H140">
        <v>2175203.6538978247</v>
      </c>
      <c r="I140">
        <v>267153.27213327866</v>
      </c>
      <c r="J140">
        <v>16689.289708115557</v>
      </c>
      <c r="K140">
        <v>0</v>
      </c>
      <c r="L140">
        <v>2158514.3641897091</v>
      </c>
      <c r="M140">
        <v>12720</v>
      </c>
      <c r="N140">
        <v>1252</v>
      </c>
      <c r="O140">
        <v>9.8427672955974793E-2</v>
      </c>
    </row>
    <row r="141" spans="1:15" x14ac:dyDescent="0.25">
      <c r="A141" t="s">
        <v>469</v>
      </c>
      <c r="B141" t="s">
        <v>934</v>
      </c>
      <c r="C141">
        <v>54107.084261819371</v>
      </c>
      <c r="D141">
        <v>9188.1499079743917</v>
      </c>
      <c r="E141">
        <v>26303.460441112678</v>
      </c>
      <c r="F141">
        <v>36271.31577310335</v>
      </c>
      <c r="G141">
        <v>125870.0103840098</v>
      </c>
      <c r="H141">
        <v>112101.92236250096</v>
      </c>
      <c r="I141">
        <v>13768.08802150884</v>
      </c>
      <c r="J141">
        <v>860.10404395557259</v>
      </c>
      <c r="K141">
        <v>0</v>
      </c>
      <c r="L141">
        <v>111241.8183185454</v>
      </c>
      <c r="M141">
        <v>579</v>
      </c>
      <c r="N141">
        <v>67</v>
      </c>
      <c r="O141">
        <v>0.115716753022452</v>
      </c>
    </row>
    <row r="142" spans="1:15" x14ac:dyDescent="0.25">
      <c r="A142" t="s">
        <v>169</v>
      </c>
      <c r="B142" t="s">
        <v>936</v>
      </c>
      <c r="C142">
        <v>820489.51656729076</v>
      </c>
      <c r="D142">
        <v>0</v>
      </c>
      <c r="E142">
        <v>462666.09149031772</v>
      </c>
      <c r="F142">
        <v>637996.20356122812</v>
      </c>
      <c r="G142">
        <v>1921151.8116188366</v>
      </c>
      <c r="H142">
        <v>1789035.5816686316</v>
      </c>
      <c r="I142">
        <v>132116.22995020496</v>
      </c>
      <c r="J142">
        <v>13726.408130609605</v>
      </c>
      <c r="K142">
        <v>0</v>
      </c>
      <c r="L142">
        <v>1775309.173538022</v>
      </c>
      <c r="M142">
        <v>12203</v>
      </c>
      <c r="N142">
        <v>1016</v>
      </c>
      <c r="O142">
        <v>8.3258215192985305E-2</v>
      </c>
    </row>
    <row r="143" spans="1:15" x14ac:dyDescent="0.25">
      <c r="A143" t="s">
        <v>171</v>
      </c>
      <c r="B143" t="s">
        <v>938</v>
      </c>
      <c r="C143">
        <v>158198.50846647663</v>
      </c>
      <c r="D143">
        <v>0</v>
      </c>
      <c r="E143">
        <v>71904.271798312024</v>
      </c>
      <c r="F143">
        <v>97383.324258155742</v>
      </c>
      <c r="G143">
        <v>327486.10452294443</v>
      </c>
      <c r="H143">
        <v>327486.10452294443</v>
      </c>
      <c r="I143">
        <v>0</v>
      </c>
      <c r="J143">
        <v>2512.6431099781348</v>
      </c>
      <c r="K143">
        <v>0</v>
      </c>
      <c r="L143">
        <v>324973.46141296631</v>
      </c>
      <c r="M143">
        <v>1829</v>
      </c>
      <c r="N143">
        <v>176</v>
      </c>
      <c r="O143">
        <v>9.6227446692181501E-2</v>
      </c>
    </row>
    <row r="144" spans="1:15" x14ac:dyDescent="0.25">
      <c r="A144" t="s">
        <v>173</v>
      </c>
      <c r="B144" t="s">
        <v>940</v>
      </c>
      <c r="C144">
        <v>148592.58961454875</v>
      </c>
      <c r="D144">
        <v>0</v>
      </c>
      <c r="E144">
        <v>0</v>
      </c>
      <c r="F144">
        <v>0</v>
      </c>
      <c r="G144">
        <v>148592.58961454875</v>
      </c>
      <c r="H144">
        <v>132339.02892193009</v>
      </c>
      <c r="I144">
        <v>16253.560692618659</v>
      </c>
      <c r="J144">
        <v>1015.3736131377982</v>
      </c>
      <c r="K144">
        <v>0</v>
      </c>
      <c r="L144">
        <v>131323.65530879228</v>
      </c>
      <c r="M144">
        <v>4992</v>
      </c>
      <c r="N144">
        <v>184</v>
      </c>
      <c r="O144">
        <v>3.6858974358974401E-2</v>
      </c>
    </row>
    <row r="145" spans="1:15" x14ac:dyDescent="0.25">
      <c r="A145" t="s">
        <v>175</v>
      </c>
      <c r="B145" t="s">
        <v>942</v>
      </c>
      <c r="C145">
        <v>192201.28439273156</v>
      </c>
      <c r="D145">
        <v>0</v>
      </c>
      <c r="E145">
        <v>93436.17291022111</v>
      </c>
      <c r="F145">
        <v>128844.37543281494</v>
      </c>
      <c r="G145">
        <v>414481.83273576759</v>
      </c>
      <c r="H145">
        <v>369144.40613977116</v>
      </c>
      <c r="I145">
        <v>45337.426595996425</v>
      </c>
      <c r="J145">
        <v>2832.2671889398634</v>
      </c>
      <c r="K145">
        <v>0</v>
      </c>
      <c r="L145">
        <v>366312.13895083132</v>
      </c>
      <c r="M145">
        <v>1737</v>
      </c>
      <c r="N145">
        <v>238</v>
      </c>
      <c r="O145">
        <v>0.13701784686240601</v>
      </c>
    </row>
    <row r="146" spans="1:15" x14ac:dyDescent="0.25">
      <c r="A146" t="s">
        <v>471</v>
      </c>
      <c r="B146" t="s">
        <v>944</v>
      </c>
      <c r="C146">
        <v>83706.977780805624</v>
      </c>
      <c r="D146">
        <v>21764.485325079004</v>
      </c>
      <c r="E146">
        <v>40151.624612067884</v>
      </c>
      <c r="F146">
        <v>54677.655120648342</v>
      </c>
      <c r="G146">
        <v>200300.74283860083</v>
      </c>
      <c r="H146">
        <v>200300.74283860083</v>
      </c>
      <c r="I146">
        <v>0</v>
      </c>
      <c r="J146">
        <v>1536.8111027185623</v>
      </c>
      <c r="K146">
        <v>0</v>
      </c>
      <c r="L146">
        <v>198763.93173588227</v>
      </c>
      <c r="M146">
        <v>860</v>
      </c>
      <c r="N146">
        <v>101</v>
      </c>
      <c r="O146">
        <v>0.117441860465116</v>
      </c>
    </row>
    <row r="147" spans="1:15" x14ac:dyDescent="0.25">
      <c r="A147" t="s">
        <v>473</v>
      </c>
      <c r="B147" t="s">
        <v>946</v>
      </c>
      <c r="C147">
        <v>9690.8210618183984</v>
      </c>
      <c r="D147">
        <v>2535.100542870282</v>
      </c>
      <c r="E147">
        <v>4849.6907041061068</v>
      </c>
      <c r="F147">
        <v>6687.5103115928814</v>
      </c>
      <c r="G147">
        <v>23763.122620387665</v>
      </c>
      <c r="H147">
        <v>21163.83178927347</v>
      </c>
      <c r="I147">
        <v>2599.2908311141946</v>
      </c>
      <c r="J147">
        <v>162.37988541076706</v>
      </c>
      <c r="K147">
        <v>0</v>
      </c>
      <c r="L147">
        <v>21001.451903862704</v>
      </c>
      <c r="M147">
        <v>74</v>
      </c>
      <c r="N147">
        <v>12</v>
      </c>
      <c r="O147">
        <v>0.162162162162162</v>
      </c>
    </row>
    <row r="148" spans="1:15" x14ac:dyDescent="0.25">
      <c r="A148" t="s">
        <v>177</v>
      </c>
      <c r="B148" t="s">
        <v>948</v>
      </c>
      <c r="C148">
        <v>329487.91610182542</v>
      </c>
      <c r="D148">
        <v>0</v>
      </c>
      <c r="E148">
        <v>160176.29641752198</v>
      </c>
      <c r="F148">
        <v>220876.07217053982</v>
      </c>
      <c r="G148">
        <v>710540.28468988719</v>
      </c>
      <c r="H148">
        <v>632818.98195389332</v>
      </c>
      <c r="I148">
        <v>77721.302735993871</v>
      </c>
      <c r="J148">
        <v>4855.3151810397658</v>
      </c>
      <c r="K148">
        <v>0</v>
      </c>
      <c r="L148">
        <v>627963.66677285358</v>
      </c>
      <c r="M148">
        <v>6741</v>
      </c>
      <c r="N148">
        <v>408</v>
      </c>
      <c r="O148">
        <v>6.05251446372942E-2</v>
      </c>
    </row>
    <row r="149" spans="1:15" x14ac:dyDescent="0.25">
      <c r="A149" t="s">
        <v>475</v>
      </c>
      <c r="B149" t="s">
        <v>950</v>
      </c>
      <c r="C149">
        <v>134056.35802182116</v>
      </c>
      <c r="D149">
        <v>30928.722426136457</v>
      </c>
      <c r="E149">
        <v>65169.767660070203</v>
      </c>
      <c r="F149">
        <v>89866.245049778416</v>
      </c>
      <c r="G149">
        <v>320021.09315780626</v>
      </c>
      <c r="H149">
        <v>320021.09315780626</v>
      </c>
      <c r="I149">
        <v>0</v>
      </c>
      <c r="J149">
        <v>2455.367674124615</v>
      </c>
      <c r="K149">
        <v>0</v>
      </c>
      <c r="L149">
        <v>317565.72548368166</v>
      </c>
      <c r="M149">
        <v>1351</v>
      </c>
      <c r="N149">
        <v>166</v>
      </c>
      <c r="O149">
        <v>0.122871946706144</v>
      </c>
    </row>
    <row r="150" spans="1:15" x14ac:dyDescent="0.25">
      <c r="A150" t="s">
        <v>477</v>
      </c>
      <c r="B150" t="s">
        <v>952</v>
      </c>
      <c r="C150">
        <v>53299.515840001179</v>
      </c>
      <c r="D150">
        <v>13943.052985786544</v>
      </c>
      <c r="E150">
        <v>30113.850386625374</v>
      </c>
      <c r="F150">
        <v>41525.676021321044</v>
      </c>
      <c r="G150">
        <v>138882.09523373414</v>
      </c>
      <c r="H150">
        <v>123690.70130315464</v>
      </c>
      <c r="I150">
        <v>15191.393930579507</v>
      </c>
      <c r="J150">
        <v>949.01916174571693</v>
      </c>
      <c r="K150">
        <v>0</v>
      </c>
      <c r="L150">
        <v>122741.68214140892</v>
      </c>
      <c r="M150">
        <v>332</v>
      </c>
      <c r="N150">
        <v>66</v>
      </c>
      <c r="O150">
        <v>0.19879518072289201</v>
      </c>
    </row>
    <row r="151" spans="1:15" x14ac:dyDescent="0.25">
      <c r="A151" t="s">
        <v>479</v>
      </c>
      <c r="B151" t="s">
        <v>954</v>
      </c>
      <c r="C151">
        <v>1181113.1360264132</v>
      </c>
      <c r="D151">
        <v>307098.88467863784</v>
      </c>
      <c r="E151">
        <v>684661.30646790774</v>
      </c>
      <c r="F151">
        <v>927268.88607947784</v>
      </c>
      <c r="G151">
        <v>3100142.2132524364</v>
      </c>
      <c r="H151">
        <v>3100142.2132524364</v>
      </c>
      <c r="I151">
        <v>0</v>
      </c>
      <c r="J151">
        <v>23785.89767473736</v>
      </c>
      <c r="K151">
        <v>0</v>
      </c>
      <c r="L151">
        <v>3076356.3155776989</v>
      </c>
      <c r="M151">
        <v>9920</v>
      </c>
      <c r="N151">
        <v>1279</v>
      </c>
      <c r="O151">
        <v>0.12893145161290301</v>
      </c>
    </row>
    <row r="152" spans="1:15" x14ac:dyDescent="0.25">
      <c r="A152" t="s">
        <v>481</v>
      </c>
      <c r="B152" t="s">
        <v>956</v>
      </c>
      <c r="C152">
        <v>87217.389556365539</v>
      </c>
      <c r="D152">
        <v>22815.90488583253</v>
      </c>
      <c r="E152">
        <v>42399.607875226437</v>
      </c>
      <c r="F152">
        <v>58467.195574554658</v>
      </c>
      <c r="G152">
        <v>210900.09789197915</v>
      </c>
      <c r="H152">
        <v>187831.13092627469</v>
      </c>
      <c r="I152">
        <v>23068.966965704458</v>
      </c>
      <c r="J152">
        <v>1441.13777788773</v>
      </c>
      <c r="K152">
        <v>0</v>
      </c>
      <c r="L152">
        <v>186389.99314838697</v>
      </c>
      <c r="M152">
        <v>698</v>
      </c>
      <c r="N152">
        <v>108</v>
      </c>
      <c r="O152">
        <v>0.15472779369627501</v>
      </c>
    </row>
    <row r="153" spans="1:15" x14ac:dyDescent="0.25">
      <c r="A153" t="s">
        <v>483</v>
      </c>
      <c r="B153" t="s">
        <v>958</v>
      </c>
      <c r="C153">
        <v>210775.35809455012</v>
      </c>
      <c r="D153">
        <v>55138.436807428625</v>
      </c>
      <c r="E153">
        <v>143524.58652883023</v>
      </c>
      <c r="F153">
        <v>197914.09616411221</v>
      </c>
      <c r="G153">
        <v>607352.47759492113</v>
      </c>
      <c r="H153">
        <v>540918.20666654874</v>
      </c>
      <c r="I153">
        <v>66434.270928372396</v>
      </c>
      <c r="J153">
        <v>4150.20480646747</v>
      </c>
      <c r="K153">
        <v>0</v>
      </c>
      <c r="L153">
        <v>536768.00186008122</v>
      </c>
      <c r="M153">
        <v>1015</v>
      </c>
      <c r="N153">
        <v>261</v>
      </c>
      <c r="O153">
        <v>0.25714285714285701</v>
      </c>
    </row>
    <row r="154" spans="1:15" x14ac:dyDescent="0.25">
      <c r="A154" t="s">
        <v>485</v>
      </c>
      <c r="B154" t="s">
        <v>960</v>
      </c>
      <c r="C154">
        <v>342409.01085091667</v>
      </c>
      <c r="D154">
        <v>89573.552514749914</v>
      </c>
      <c r="E154">
        <v>177487.56557677462</v>
      </c>
      <c r="F154">
        <v>244747.55141997797</v>
      </c>
      <c r="G154">
        <v>854217.68036241923</v>
      </c>
      <c r="H154">
        <v>760780.4574935399</v>
      </c>
      <c r="I154">
        <v>93437.222868879326</v>
      </c>
      <c r="J154">
        <v>5837.1019360097071</v>
      </c>
      <c r="K154">
        <v>0</v>
      </c>
      <c r="L154">
        <v>754943.35555753019</v>
      </c>
      <c r="M154">
        <v>2481</v>
      </c>
      <c r="N154">
        <v>424</v>
      </c>
      <c r="O154">
        <v>0.17089883111648499</v>
      </c>
    </row>
    <row r="155" spans="1:15" x14ac:dyDescent="0.25">
      <c r="A155" t="s">
        <v>179</v>
      </c>
      <c r="B155" t="s">
        <v>962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41</v>
      </c>
      <c r="N155">
        <v>6</v>
      </c>
      <c r="O155">
        <v>0.146341463414634</v>
      </c>
    </row>
    <row r="156" spans="1:15" x14ac:dyDescent="0.25">
      <c r="A156" t="s">
        <v>487</v>
      </c>
      <c r="B156" t="s">
        <v>964</v>
      </c>
      <c r="C156">
        <v>771227.84283638059</v>
      </c>
      <c r="D156">
        <v>182966.97737669139</v>
      </c>
      <c r="E156">
        <v>426744.2014849176</v>
      </c>
      <c r="F156">
        <v>588461.49619945278</v>
      </c>
      <c r="G156">
        <v>1969400.5178974424</v>
      </c>
      <c r="H156">
        <v>1969400.5178974424</v>
      </c>
      <c r="I156">
        <v>0</v>
      </c>
      <c r="J156">
        <v>15110.261393504965</v>
      </c>
      <c r="K156">
        <v>0</v>
      </c>
      <c r="L156">
        <v>1954290.2565039375</v>
      </c>
      <c r="M156">
        <v>6931</v>
      </c>
      <c r="N156">
        <v>955</v>
      </c>
      <c r="O156">
        <v>0.137786755157986</v>
      </c>
    </row>
    <row r="157" spans="1:15" x14ac:dyDescent="0.25">
      <c r="A157" t="s">
        <v>290</v>
      </c>
      <c r="B157" t="s">
        <v>966</v>
      </c>
      <c r="C157">
        <v>1534380.0014545796</v>
      </c>
      <c r="D157">
        <v>0</v>
      </c>
      <c r="E157">
        <v>983239.05484726431</v>
      </c>
      <c r="F157">
        <v>1355843.4381154829</v>
      </c>
      <c r="G157">
        <v>3873462.4944173265</v>
      </c>
      <c r="H157">
        <v>3449770.048468932</v>
      </c>
      <c r="I157">
        <v>423692.44594839448</v>
      </c>
      <c r="J157">
        <v>26468.423617305252</v>
      </c>
      <c r="K157">
        <v>0</v>
      </c>
      <c r="L157">
        <v>3423301.6248516268</v>
      </c>
      <c r="M157">
        <v>17175</v>
      </c>
      <c r="N157">
        <v>1900</v>
      </c>
      <c r="O157">
        <v>0.11062590975254701</v>
      </c>
    </row>
    <row r="158" spans="1:15" x14ac:dyDescent="0.25">
      <c r="A158" t="s">
        <v>489</v>
      </c>
      <c r="B158" t="s">
        <v>968</v>
      </c>
      <c r="C158">
        <v>167166.66331636731</v>
      </c>
      <c r="D158">
        <v>0</v>
      </c>
      <c r="E158">
        <v>81265.915094183991</v>
      </c>
      <c r="F158">
        <v>112062.12485122975</v>
      </c>
      <c r="G158">
        <v>360494.70326178102</v>
      </c>
      <c r="H158">
        <v>321062.57172660768</v>
      </c>
      <c r="I158">
        <v>39432.131535173336</v>
      </c>
      <c r="J158">
        <v>2463.3584374392931</v>
      </c>
      <c r="K158">
        <v>0</v>
      </c>
      <c r="L158">
        <v>318599.21328916837</v>
      </c>
      <c r="M158">
        <v>1640</v>
      </c>
      <c r="N158">
        <v>207</v>
      </c>
      <c r="O158">
        <v>0.12621951219512201</v>
      </c>
    </row>
    <row r="159" spans="1:15" x14ac:dyDescent="0.25">
      <c r="A159" t="s">
        <v>491</v>
      </c>
      <c r="B159" t="s">
        <v>970</v>
      </c>
      <c r="C159">
        <v>77104.505171821205</v>
      </c>
      <c r="D159">
        <v>19583.010179362784</v>
      </c>
      <c r="E159">
        <v>34555.936446761589</v>
      </c>
      <c r="F159">
        <v>46800.723793968049</v>
      </c>
      <c r="G159">
        <v>178044.17559191363</v>
      </c>
      <c r="H159">
        <v>178044.17559191363</v>
      </c>
      <c r="I159">
        <v>0</v>
      </c>
      <c r="J159">
        <v>1366.0471845803636</v>
      </c>
      <c r="K159">
        <v>0</v>
      </c>
      <c r="L159">
        <v>176678.12840733328</v>
      </c>
      <c r="M159">
        <v>774</v>
      </c>
      <c r="N159">
        <v>79</v>
      </c>
      <c r="O159">
        <v>0.102067183462532</v>
      </c>
    </row>
    <row r="160" spans="1:15" x14ac:dyDescent="0.25">
      <c r="A160" t="s">
        <v>493</v>
      </c>
      <c r="B160" t="s">
        <v>972</v>
      </c>
      <c r="C160">
        <v>39165.650154321884</v>
      </c>
      <c r="D160">
        <v>6639.1110930648738</v>
      </c>
      <c r="E160">
        <v>18844.270166767295</v>
      </c>
      <c r="F160">
        <v>25985.420255357618</v>
      </c>
      <c r="G160">
        <v>90634.451669511676</v>
      </c>
      <c r="H160">
        <v>90634.451669511676</v>
      </c>
      <c r="I160">
        <v>0</v>
      </c>
      <c r="J160">
        <v>695.39448351796966</v>
      </c>
      <c r="K160">
        <v>0</v>
      </c>
      <c r="L160">
        <v>89939.057185993704</v>
      </c>
      <c r="M160">
        <v>343</v>
      </c>
      <c r="N160">
        <v>48</v>
      </c>
      <c r="O160">
        <v>0.13994169096209899</v>
      </c>
    </row>
    <row r="161" spans="1:15" x14ac:dyDescent="0.25">
      <c r="A161" t="s">
        <v>495</v>
      </c>
      <c r="B161" t="s">
        <v>974</v>
      </c>
      <c r="C161">
        <v>66676.470158914773</v>
      </c>
      <c r="D161">
        <v>17336.416805081826</v>
      </c>
      <c r="E161">
        <v>44631.800745773297</v>
      </c>
      <c r="F161">
        <v>60446.938902913309</v>
      </c>
      <c r="G161">
        <v>189091.62661268321</v>
      </c>
      <c r="H161">
        <v>186756.34240566826</v>
      </c>
      <c r="I161">
        <v>2335.2842070149491</v>
      </c>
      <c r="J161">
        <v>1432.891443360287</v>
      </c>
      <c r="K161">
        <v>0</v>
      </c>
      <c r="L161">
        <v>185323.45096230798</v>
      </c>
      <c r="M161">
        <v>253</v>
      </c>
      <c r="N161">
        <v>59</v>
      </c>
      <c r="O161">
        <v>0.233201581027668</v>
      </c>
    </row>
    <row r="162" spans="1:15" x14ac:dyDescent="0.25">
      <c r="A162" t="s">
        <v>497</v>
      </c>
      <c r="B162" t="s">
        <v>976</v>
      </c>
      <c r="C162">
        <v>253576.48445091466</v>
      </c>
      <c r="D162">
        <v>66335.130871772359</v>
      </c>
      <c r="E162">
        <v>159253.77124561826</v>
      </c>
      <c r="F162">
        <v>219603.95050830956</v>
      </c>
      <c r="G162">
        <v>698769.33707661484</v>
      </c>
      <c r="H162">
        <v>622335.5804553919</v>
      </c>
      <c r="I162">
        <v>76433.756621222943</v>
      </c>
      <c r="J162">
        <v>4774.8810918355366</v>
      </c>
      <c r="K162">
        <v>0</v>
      </c>
      <c r="L162">
        <v>617560.69936355634</v>
      </c>
      <c r="M162">
        <v>1342</v>
      </c>
      <c r="N162">
        <v>314</v>
      </c>
      <c r="O162">
        <v>0.23397913561847999</v>
      </c>
    </row>
    <row r="163" spans="1:15" x14ac:dyDescent="0.25">
      <c r="A163" t="s">
        <v>499</v>
      </c>
      <c r="B163" t="s">
        <v>978</v>
      </c>
      <c r="C163">
        <v>215795.0528110677</v>
      </c>
      <c r="D163">
        <v>56108.443819699081</v>
      </c>
      <c r="E163">
        <v>100472.86868087744</v>
      </c>
      <c r="F163">
        <v>136075.1135529431</v>
      </c>
      <c r="G163">
        <v>508451.47886458732</v>
      </c>
      <c r="H163">
        <v>508451.47886458732</v>
      </c>
      <c r="I163">
        <v>0</v>
      </c>
      <c r="J163">
        <v>3901.1032452456006</v>
      </c>
      <c r="K163">
        <v>0</v>
      </c>
      <c r="L163">
        <v>504550.37561934174</v>
      </c>
      <c r="M163">
        <v>1580</v>
      </c>
      <c r="N163">
        <v>152</v>
      </c>
      <c r="O163">
        <v>9.6202531645569606E-2</v>
      </c>
    </row>
    <row r="164" spans="1:15" x14ac:dyDescent="0.25">
      <c r="A164" t="s">
        <v>181</v>
      </c>
      <c r="B164" t="s">
        <v>980</v>
      </c>
      <c r="C164">
        <v>243885.66338909624</v>
      </c>
      <c r="D164">
        <v>0</v>
      </c>
      <c r="E164">
        <v>118561.86646591085</v>
      </c>
      <c r="F164">
        <v>163491.60243995834</v>
      </c>
      <c r="G164">
        <v>525939.13229496544</v>
      </c>
      <c r="H164">
        <v>468410.1287992053</v>
      </c>
      <c r="I164">
        <v>57529.003495760146</v>
      </c>
      <c r="J164">
        <v>3593.8852565539437</v>
      </c>
      <c r="K164">
        <v>0</v>
      </c>
      <c r="L164">
        <v>464816.24354265135</v>
      </c>
      <c r="M164">
        <v>2252</v>
      </c>
      <c r="N164">
        <v>302</v>
      </c>
      <c r="O164">
        <v>0.13410301953818801</v>
      </c>
    </row>
    <row r="165" spans="1:15" x14ac:dyDescent="0.25">
      <c r="A165" t="s">
        <v>501</v>
      </c>
      <c r="B165" t="s">
        <v>982</v>
      </c>
      <c r="C165">
        <v>137286.6317090939</v>
      </c>
      <c r="D165">
        <v>35913.924357328964</v>
      </c>
      <c r="E165">
        <v>87725.073320840762</v>
      </c>
      <c r="F165">
        <v>120969.02013187201</v>
      </c>
      <c r="G165">
        <v>381894.64951913559</v>
      </c>
      <c r="H165">
        <v>340121.71938683867</v>
      </c>
      <c r="I165">
        <v>41772.930132296926</v>
      </c>
      <c r="J165">
        <v>2609.5900954826043</v>
      </c>
      <c r="K165">
        <v>0</v>
      </c>
      <c r="L165">
        <v>337512.12929135608</v>
      </c>
      <c r="M165">
        <v>713</v>
      </c>
      <c r="N165">
        <v>170</v>
      </c>
      <c r="O165">
        <v>0.23842917251051901</v>
      </c>
    </row>
    <row r="166" spans="1:15" x14ac:dyDescent="0.25">
      <c r="A166" t="s">
        <v>503</v>
      </c>
      <c r="B166" t="s">
        <v>984</v>
      </c>
      <c r="C166">
        <v>299850.85344597133</v>
      </c>
      <c r="D166">
        <v>76156.150697521938</v>
      </c>
      <c r="E166">
        <v>137299.1975059282</v>
      </c>
      <c r="F166">
        <v>180918.07877728579</v>
      </c>
      <c r="G166">
        <v>694224.28042670724</v>
      </c>
      <c r="H166">
        <v>694224.28042670724</v>
      </c>
      <c r="I166">
        <v>0</v>
      </c>
      <c r="J166">
        <v>5326.448453544941</v>
      </c>
      <c r="K166">
        <v>0</v>
      </c>
      <c r="L166">
        <v>688897.83197316225</v>
      </c>
      <c r="M166">
        <v>2246</v>
      </c>
      <c r="N166">
        <v>312</v>
      </c>
      <c r="O166">
        <v>0.138913624220837</v>
      </c>
    </row>
    <row r="167" spans="1:15" x14ac:dyDescent="0.25">
      <c r="A167" t="s">
        <v>183</v>
      </c>
      <c r="B167" t="s">
        <v>986</v>
      </c>
      <c r="C167">
        <v>508768.10574546579</v>
      </c>
      <c r="D167">
        <v>0</v>
      </c>
      <c r="E167">
        <v>247331.04593882078</v>
      </c>
      <c r="F167">
        <v>341058.64085156884</v>
      </c>
      <c r="G167">
        <v>1097157.7925358554</v>
      </c>
      <c r="H167">
        <v>977146.957428806</v>
      </c>
      <c r="I167">
        <v>120010.83510704944</v>
      </c>
      <c r="J167">
        <v>7497.1778530761094</v>
      </c>
      <c r="K167">
        <v>0</v>
      </c>
      <c r="L167">
        <v>969649.77957572986</v>
      </c>
      <c r="M167">
        <v>7279</v>
      </c>
      <c r="N167">
        <v>630</v>
      </c>
      <c r="O167">
        <v>8.6550350322846595E-2</v>
      </c>
    </row>
    <row r="168" spans="1:15" x14ac:dyDescent="0.25">
      <c r="A168" t="s">
        <v>505</v>
      </c>
      <c r="B168" t="s">
        <v>988</v>
      </c>
      <c r="C168">
        <v>324642.50557091623</v>
      </c>
      <c r="D168">
        <v>84925.868186154403</v>
      </c>
      <c r="E168">
        <v>163106.87487017567</v>
      </c>
      <c r="F168">
        <v>224917.21104243939</v>
      </c>
      <c r="G168">
        <v>797592.45966968569</v>
      </c>
      <c r="H168">
        <v>710349.09521359601</v>
      </c>
      <c r="I168">
        <v>87243.364456089679</v>
      </c>
      <c r="J168">
        <v>5450.1663890981763</v>
      </c>
      <c r="K168">
        <v>0</v>
      </c>
      <c r="L168">
        <v>704898.92882449785</v>
      </c>
      <c r="M168">
        <v>2465</v>
      </c>
      <c r="N168">
        <v>402</v>
      </c>
      <c r="O168">
        <v>0.163083164300203</v>
      </c>
    </row>
    <row r="169" spans="1:15" x14ac:dyDescent="0.25">
      <c r="A169" t="s">
        <v>507</v>
      </c>
      <c r="B169" t="s">
        <v>990</v>
      </c>
      <c r="C169">
        <v>0</v>
      </c>
      <c r="D169">
        <v>1387.7069928850631</v>
      </c>
      <c r="E169">
        <v>0</v>
      </c>
      <c r="F169">
        <v>0</v>
      </c>
      <c r="G169">
        <v>1387.7069928850631</v>
      </c>
      <c r="H169">
        <v>1387.7069928850631</v>
      </c>
      <c r="I169">
        <v>0</v>
      </c>
      <c r="J169">
        <v>10.647207213327233</v>
      </c>
      <c r="K169">
        <v>0</v>
      </c>
      <c r="L169">
        <v>1377.0597856717359</v>
      </c>
      <c r="M169">
        <v>54</v>
      </c>
      <c r="N169">
        <v>8</v>
      </c>
      <c r="O169">
        <v>0.148148148148148</v>
      </c>
    </row>
    <row r="170" spans="1:15" x14ac:dyDescent="0.25">
      <c r="A170" t="s">
        <v>185</v>
      </c>
      <c r="B170" t="s">
        <v>992</v>
      </c>
      <c r="C170">
        <v>1474619.9382400324</v>
      </c>
      <c r="D170">
        <v>0</v>
      </c>
      <c r="E170">
        <v>939661.68008661468</v>
      </c>
      <c r="F170">
        <v>1295752.1537749681</v>
      </c>
      <c r="G170">
        <v>3710033.7721016156</v>
      </c>
      <c r="H170">
        <v>3304217.7132864287</v>
      </c>
      <c r="I170">
        <v>405816.05881518684</v>
      </c>
      <c r="J170">
        <v>25351.670670885436</v>
      </c>
      <c r="K170">
        <v>0</v>
      </c>
      <c r="L170">
        <v>3278866.0426155431</v>
      </c>
      <c r="M170">
        <v>17329</v>
      </c>
      <c r="N170">
        <v>1826</v>
      </c>
      <c r="O170">
        <v>0.105372496970396</v>
      </c>
    </row>
    <row r="171" spans="1:15" x14ac:dyDescent="0.25">
      <c r="A171" t="s">
        <v>509</v>
      </c>
      <c r="B171" t="s">
        <v>994</v>
      </c>
      <c r="C171">
        <v>50876.81057454658</v>
      </c>
      <c r="D171">
        <v>13309.277850068975</v>
      </c>
      <c r="E171">
        <v>36641.41723987717</v>
      </c>
      <c r="F171">
        <v>50526.903791119483</v>
      </c>
      <c r="G171">
        <v>151354.40945561221</v>
      </c>
      <c r="H171">
        <v>134798.75155528454</v>
      </c>
      <c r="I171">
        <v>16555.657900327671</v>
      </c>
      <c r="J171">
        <v>1034.2458799051424</v>
      </c>
      <c r="K171">
        <v>0</v>
      </c>
      <c r="L171">
        <v>133764.50567537939</v>
      </c>
      <c r="M171">
        <v>227</v>
      </c>
      <c r="N171">
        <v>63</v>
      </c>
      <c r="O171">
        <v>0.27753303964757697</v>
      </c>
    </row>
    <row r="172" spans="1:15" x14ac:dyDescent="0.25">
      <c r="A172" t="s">
        <v>187</v>
      </c>
      <c r="B172" t="s">
        <v>996</v>
      </c>
      <c r="C172">
        <v>843909.00080001855</v>
      </c>
      <c r="D172">
        <v>0</v>
      </c>
      <c r="E172">
        <v>0</v>
      </c>
      <c r="F172">
        <v>0</v>
      </c>
      <c r="G172">
        <v>843909.00080001855</v>
      </c>
      <c r="H172">
        <v>751599.37621422228</v>
      </c>
      <c r="I172">
        <v>92309.624585796264</v>
      </c>
      <c r="J172">
        <v>5766.6599224402107</v>
      </c>
      <c r="K172">
        <v>0</v>
      </c>
      <c r="L172">
        <v>745832.7162917821</v>
      </c>
      <c r="M172">
        <v>26739</v>
      </c>
      <c r="N172">
        <v>1045</v>
      </c>
      <c r="O172">
        <v>3.9081491454429899E-2</v>
      </c>
    </row>
    <row r="173" spans="1:15" x14ac:dyDescent="0.25">
      <c r="A173" t="s">
        <v>189</v>
      </c>
      <c r="B173" t="s">
        <v>998</v>
      </c>
      <c r="C173">
        <v>452238.31621819182</v>
      </c>
      <c r="D173">
        <v>0</v>
      </c>
      <c r="E173">
        <v>219849.81861228507</v>
      </c>
      <c r="F173">
        <v>303163.2363125055</v>
      </c>
      <c r="G173">
        <v>975251.37114298251</v>
      </c>
      <c r="H173">
        <v>868575.07327004976</v>
      </c>
      <c r="I173">
        <v>106676.29787293274</v>
      </c>
      <c r="J173">
        <v>6664.1580916232087</v>
      </c>
      <c r="K173">
        <v>0</v>
      </c>
      <c r="L173">
        <v>861910.91517842654</v>
      </c>
      <c r="M173">
        <v>6127</v>
      </c>
      <c r="N173">
        <v>560</v>
      </c>
      <c r="O173">
        <v>9.1398726946303202E-2</v>
      </c>
    </row>
    <row r="174" spans="1:15" x14ac:dyDescent="0.25">
      <c r="A174" t="s">
        <v>191</v>
      </c>
      <c r="B174" t="s">
        <v>1000</v>
      </c>
      <c r="C174">
        <v>9690.8210618183984</v>
      </c>
      <c r="D174">
        <v>0</v>
      </c>
      <c r="E174">
        <v>4711.0675416918239</v>
      </c>
      <c r="F174">
        <v>6496.3550638394045</v>
      </c>
      <c r="G174">
        <v>20898.243667349627</v>
      </c>
      <c r="H174">
        <v>20898.243667349627</v>
      </c>
      <c r="I174">
        <v>0</v>
      </c>
      <c r="J174">
        <v>160.34215570123911</v>
      </c>
      <c r="K174">
        <v>0</v>
      </c>
      <c r="L174">
        <v>20737.901511648386</v>
      </c>
      <c r="M174">
        <v>127</v>
      </c>
      <c r="N174">
        <v>12</v>
      </c>
      <c r="O174">
        <v>9.4488188976377993E-2</v>
      </c>
    </row>
    <row r="175" spans="1:15" x14ac:dyDescent="0.25">
      <c r="A175" t="s">
        <v>511</v>
      </c>
      <c r="B175" t="s">
        <v>1002</v>
      </c>
      <c r="C175">
        <v>64488.790287059564</v>
      </c>
      <c r="D175">
        <v>16702.157653676386</v>
      </c>
      <c r="E175">
        <v>34381.881705910215</v>
      </c>
      <c r="F175">
        <v>46564.993303371579</v>
      </c>
      <c r="G175">
        <v>162137.82295001775</v>
      </c>
      <c r="H175">
        <v>162137.82295001775</v>
      </c>
      <c r="I175">
        <v>0</v>
      </c>
      <c r="J175">
        <v>1244.0054038191222</v>
      </c>
      <c r="K175">
        <v>0</v>
      </c>
      <c r="L175">
        <v>160893.81754619864</v>
      </c>
      <c r="M175">
        <v>456</v>
      </c>
      <c r="N175">
        <v>78</v>
      </c>
      <c r="O175">
        <v>0.17105263157894701</v>
      </c>
    </row>
    <row r="176" spans="1:15" x14ac:dyDescent="0.25">
      <c r="A176" t="s">
        <v>513</v>
      </c>
      <c r="B176" t="s">
        <v>1004</v>
      </c>
      <c r="C176">
        <v>171204.50542545834</v>
      </c>
      <c r="D176">
        <v>44786.776257374957</v>
      </c>
      <c r="E176">
        <v>96748.79931105797</v>
      </c>
      <c r="F176">
        <v>133412.34163224578</v>
      </c>
      <c r="G176">
        <v>446152.42262613703</v>
      </c>
      <c r="H176">
        <v>397350.759648707</v>
      </c>
      <c r="I176">
        <v>48801.662977430038</v>
      </c>
      <c r="J176">
        <v>3048.6809506934396</v>
      </c>
      <c r="K176">
        <v>0</v>
      </c>
      <c r="L176">
        <v>394302.07869801356</v>
      </c>
      <c r="M176">
        <v>1066</v>
      </c>
      <c r="N176">
        <v>212</v>
      </c>
      <c r="O176">
        <v>0.19887429643527199</v>
      </c>
    </row>
    <row r="177" spans="1:15" x14ac:dyDescent="0.25">
      <c r="A177" t="s">
        <v>515</v>
      </c>
      <c r="B177" t="s">
        <v>1006</v>
      </c>
      <c r="C177">
        <v>158283.41067636709</v>
      </c>
      <c r="D177">
        <v>41406.642200214577</v>
      </c>
      <c r="E177">
        <v>118126.25956861311</v>
      </c>
      <c r="F177">
        <v>162890.91967579501</v>
      </c>
      <c r="G177">
        <v>480707.23212098982</v>
      </c>
      <c r="H177">
        <v>428125.8470537613</v>
      </c>
      <c r="I177">
        <v>52581.385067228519</v>
      </c>
      <c r="J177">
        <v>3284.8033701161758</v>
      </c>
      <c r="K177">
        <v>0</v>
      </c>
      <c r="L177">
        <v>424841.04368364514</v>
      </c>
      <c r="M177">
        <v>669</v>
      </c>
      <c r="N177">
        <v>196</v>
      </c>
      <c r="O177">
        <v>0.29297458893871398</v>
      </c>
    </row>
    <row r="178" spans="1:15" x14ac:dyDescent="0.25">
      <c r="A178" t="s">
        <v>292</v>
      </c>
      <c r="B178" t="s">
        <v>1008</v>
      </c>
      <c r="C178">
        <v>33110.30529454619</v>
      </c>
      <c r="D178">
        <v>0</v>
      </c>
      <c r="E178">
        <v>16096.147434113727</v>
      </c>
      <c r="F178">
        <v>22195.879801451309</v>
      </c>
      <c r="G178">
        <v>71402.33253011122</v>
      </c>
      <c r="H178">
        <v>66502.301206381861</v>
      </c>
      <c r="I178">
        <v>4900.0313237293594</v>
      </c>
      <c r="J178">
        <v>510.24011894281398</v>
      </c>
      <c r="K178">
        <v>0</v>
      </c>
      <c r="L178">
        <v>65992.06108743904</v>
      </c>
      <c r="M178">
        <v>304</v>
      </c>
      <c r="N178">
        <v>41</v>
      </c>
      <c r="O178">
        <v>0.134868421052632</v>
      </c>
    </row>
    <row r="179" spans="1:15" x14ac:dyDescent="0.25">
      <c r="A179" t="s">
        <v>517</v>
      </c>
      <c r="B179" t="s">
        <v>1010</v>
      </c>
      <c r="C179">
        <v>210600.07037998692</v>
      </c>
      <c r="D179">
        <v>54757.706738002329</v>
      </c>
      <c r="E179">
        <v>132952.33931720001</v>
      </c>
      <c r="F179">
        <v>180063.58241028996</v>
      </c>
      <c r="G179">
        <v>578373.69884547917</v>
      </c>
      <c r="H179">
        <v>571233.49988233333</v>
      </c>
      <c r="I179">
        <v>7140.1989631458418</v>
      </c>
      <c r="J179">
        <v>4382.7994465868387</v>
      </c>
      <c r="K179">
        <v>0</v>
      </c>
      <c r="L179">
        <v>566850.70043574646</v>
      </c>
      <c r="M179">
        <v>982</v>
      </c>
      <c r="N179">
        <v>172</v>
      </c>
      <c r="O179">
        <v>0.17515274949083501</v>
      </c>
    </row>
    <row r="180" spans="1:15" x14ac:dyDescent="0.25">
      <c r="A180" t="s">
        <v>193</v>
      </c>
      <c r="B180" t="s">
        <v>1012</v>
      </c>
      <c r="C180">
        <v>961006.42196365725</v>
      </c>
      <c r="D180">
        <v>0</v>
      </c>
      <c r="E180">
        <v>565131.81052211486</v>
      </c>
      <c r="F180">
        <v>779291.92619973561</v>
      </c>
      <c r="G180">
        <v>2305430.1586855077</v>
      </c>
      <c r="H180">
        <v>2053254.4000962682</v>
      </c>
      <c r="I180">
        <v>252175.75858923956</v>
      </c>
      <c r="J180">
        <v>15753.63183408815</v>
      </c>
      <c r="K180">
        <v>0</v>
      </c>
      <c r="L180">
        <v>2037500.76826218</v>
      </c>
      <c r="M180">
        <v>10589</v>
      </c>
      <c r="N180">
        <v>1190</v>
      </c>
      <c r="O180">
        <v>0.112380772499764</v>
      </c>
    </row>
    <row r="181" spans="1:15" x14ac:dyDescent="0.25">
      <c r="A181" t="s">
        <v>519</v>
      </c>
      <c r="B181" t="s">
        <v>1014</v>
      </c>
      <c r="C181">
        <v>402498.20400808321</v>
      </c>
      <c r="D181">
        <v>104652.75998189636</v>
      </c>
      <c r="E181">
        <v>260951.27917541607</v>
      </c>
      <c r="F181">
        <v>353418.54384952731</v>
      </c>
      <c r="G181">
        <v>1121520.7870149231</v>
      </c>
      <c r="H181">
        <v>1107672.8680790944</v>
      </c>
      <c r="I181">
        <v>13847.918935828609</v>
      </c>
      <c r="J181">
        <v>8498.6402832052354</v>
      </c>
      <c r="K181">
        <v>0</v>
      </c>
      <c r="L181">
        <v>1099174.2277958891</v>
      </c>
      <c r="M181">
        <v>1933</v>
      </c>
      <c r="N181">
        <v>418</v>
      </c>
      <c r="O181">
        <v>0.21624418003104001</v>
      </c>
    </row>
    <row r="182" spans="1:15" x14ac:dyDescent="0.25">
      <c r="A182" t="s">
        <v>521</v>
      </c>
      <c r="B182" t="s">
        <v>1016</v>
      </c>
      <c r="C182">
        <v>117904.98958545717</v>
      </c>
      <c r="D182">
        <v>30843.723271588424</v>
      </c>
      <c r="E182">
        <v>57551.892927362183</v>
      </c>
      <c r="F182">
        <v>79361.530638965764</v>
      </c>
      <c r="G182">
        <v>285662.13642337354</v>
      </c>
      <c r="H182">
        <v>254415.44448547479</v>
      </c>
      <c r="I182">
        <v>31246.691937898751</v>
      </c>
      <c r="J182">
        <v>1952.007138103367</v>
      </c>
      <c r="K182">
        <v>0</v>
      </c>
      <c r="L182">
        <v>252463.43734737142</v>
      </c>
      <c r="M182">
        <v>932</v>
      </c>
      <c r="N182">
        <v>146</v>
      </c>
      <c r="O182">
        <v>0.15665236051502099</v>
      </c>
    </row>
    <row r="183" spans="1:15" x14ac:dyDescent="0.25">
      <c r="A183" t="s">
        <v>523</v>
      </c>
      <c r="B183" t="s">
        <v>1018</v>
      </c>
      <c r="C183">
        <v>14636.298327566663</v>
      </c>
      <c r="D183">
        <v>3805.5549084325935</v>
      </c>
      <c r="E183">
        <v>11652.788424494389</v>
      </c>
      <c r="F183">
        <v>15781.9173363892</v>
      </c>
      <c r="G183">
        <v>45876.558996882843</v>
      </c>
      <c r="H183">
        <v>45309.352470290672</v>
      </c>
      <c r="I183">
        <v>567.20652659217012</v>
      </c>
      <c r="J183">
        <v>347.63683322652338</v>
      </c>
      <c r="K183">
        <v>0</v>
      </c>
      <c r="L183">
        <v>44961.715637064146</v>
      </c>
      <c r="M183">
        <v>63</v>
      </c>
      <c r="N183">
        <v>15</v>
      </c>
      <c r="O183">
        <v>0.238095238095238</v>
      </c>
    </row>
    <row r="184" spans="1:15" x14ac:dyDescent="0.25">
      <c r="A184" t="s">
        <v>525</v>
      </c>
      <c r="B184" t="s">
        <v>1020</v>
      </c>
      <c r="C184">
        <v>68643.315854546949</v>
      </c>
      <c r="D184">
        <v>7942.1236176041548</v>
      </c>
      <c r="E184">
        <v>33370.0617536504</v>
      </c>
      <c r="F184">
        <v>46015.848368862469</v>
      </c>
      <c r="G184">
        <v>155971.34959466397</v>
      </c>
      <c r="H184">
        <v>138910.67514567176</v>
      </c>
      <c r="I184">
        <v>17060.674448992213</v>
      </c>
      <c r="J184">
        <v>1065.7946886498478</v>
      </c>
      <c r="K184">
        <v>0</v>
      </c>
      <c r="L184">
        <v>137844.88045702191</v>
      </c>
      <c r="M184">
        <v>592</v>
      </c>
      <c r="N184">
        <v>85</v>
      </c>
      <c r="O184">
        <v>0.143581081081081</v>
      </c>
    </row>
    <row r="185" spans="1:15" x14ac:dyDescent="0.25">
      <c r="A185" t="s">
        <v>294</v>
      </c>
      <c r="B185" t="s">
        <v>1022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180</v>
      </c>
      <c r="N185">
        <v>9</v>
      </c>
      <c r="O185">
        <v>0.05</v>
      </c>
    </row>
    <row r="186" spans="1:15" x14ac:dyDescent="0.25">
      <c r="A186" t="s">
        <v>527</v>
      </c>
      <c r="B186" t="s">
        <v>1024</v>
      </c>
      <c r="C186">
        <v>25034.62107636419</v>
      </c>
      <c r="D186">
        <v>6549.0097357482255</v>
      </c>
      <c r="E186">
        <v>16331.808773162815</v>
      </c>
      <c r="F186">
        <v>22520.846429446825</v>
      </c>
      <c r="G186">
        <v>70436.286014722064</v>
      </c>
      <c r="H186">
        <v>62731.726502887286</v>
      </c>
      <c r="I186">
        <v>7704.5595118347774</v>
      </c>
      <c r="J186">
        <v>481.31031575866172</v>
      </c>
      <c r="K186">
        <v>0</v>
      </c>
      <c r="L186">
        <v>62250.416187128627</v>
      </c>
      <c r="M186">
        <v>127</v>
      </c>
      <c r="N186">
        <v>31</v>
      </c>
      <c r="O186">
        <v>0.244094488188976</v>
      </c>
    </row>
    <row r="187" spans="1:15" x14ac:dyDescent="0.25">
      <c r="A187" t="s">
        <v>529</v>
      </c>
      <c r="B187" t="s">
        <v>1026</v>
      </c>
      <c r="C187">
        <v>60171.448679996261</v>
      </c>
      <c r="D187">
        <v>15645.059068000668</v>
      </c>
      <c r="E187">
        <v>30284.323765961064</v>
      </c>
      <c r="F187">
        <v>41015.478600657952</v>
      </c>
      <c r="G187">
        <v>147116.31011461595</v>
      </c>
      <c r="H187">
        <v>145302.81660604125</v>
      </c>
      <c r="I187">
        <v>1813.4935085746984</v>
      </c>
      <c r="J187">
        <v>1114.8385105909333</v>
      </c>
      <c r="K187">
        <v>0</v>
      </c>
      <c r="L187">
        <v>144187.97809545032</v>
      </c>
      <c r="M187">
        <v>270</v>
      </c>
      <c r="N187">
        <v>51</v>
      </c>
      <c r="O187">
        <v>0.18888888888888899</v>
      </c>
    </row>
    <row r="188" spans="1:15" x14ac:dyDescent="0.25">
      <c r="A188" t="s">
        <v>531</v>
      </c>
      <c r="B188" t="s">
        <v>1028</v>
      </c>
      <c r="C188">
        <v>246332.51475376848</v>
      </c>
      <c r="D188">
        <v>64048.428752107844</v>
      </c>
      <c r="E188">
        <v>216910.63543749013</v>
      </c>
      <c r="F188">
        <v>293772.23658007465</v>
      </c>
      <c r="G188">
        <v>821063.81552344107</v>
      </c>
      <c r="H188">
        <v>768226.73025465594</v>
      </c>
      <c r="I188">
        <v>52837.085268785129</v>
      </c>
      <c r="J188">
        <v>5894.2335995820931</v>
      </c>
      <c r="K188">
        <v>0</v>
      </c>
      <c r="L188">
        <v>762332.49665507383</v>
      </c>
      <c r="M188">
        <v>712</v>
      </c>
      <c r="N188">
        <v>215</v>
      </c>
      <c r="O188">
        <v>0.301966292134831</v>
      </c>
    </row>
    <row r="189" spans="1:15" x14ac:dyDescent="0.25">
      <c r="A189" t="s">
        <v>296</v>
      </c>
      <c r="B189" t="s">
        <v>1030</v>
      </c>
      <c r="C189">
        <v>167166.66331636731</v>
      </c>
      <c r="D189">
        <v>0</v>
      </c>
      <c r="E189">
        <v>81265.915094183991</v>
      </c>
      <c r="F189">
        <v>112062.12485122975</v>
      </c>
      <c r="G189">
        <v>360494.70326178102</v>
      </c>
      <c r="H189">
        <v>321062.57172660768</v>
      </c>
      <c r="I189">
        <v>39432.131535173336</v>
      </c>
      <c r="J189">
        <v>2463.3584374392931</v>
      </c>
      <c r="K189">
        <v>0</v>
      </c>
      <c r="L189">
        <v>318599.21328916837</v>
      </c>
      <c r="M189">
        <v>3303</v>
      </c>
      <c r="N189">
        <v>207</v>
      </c>
      <c r="O189">
        <v>6.2670299727520404E-2</v>
      </c>
    </row>
    <row r="190" spans="1:15" x14ac:dyDescent="0.25">
      <c r="A190" t="s">
        <v>533</v>
      </c>
      <c r="B190" t="s">
        <v>1032</v>
      </c>
      <c r="C190">
        <v>725196.44279274321</v>
      </c>
      <c r="D190">
        <v>189710.023958126</v>
      </c>
      <c r="E190">
        <v>403134.74538807338</v>
      </c>
      <c r="F190">
        <v>555905.09400146012</v>
      </c>
      <c r="G190">
        <v>1873946.3061404026</v>
      </c>
      <c r="H190">
        <v>1863604.3353228818</v>
      </c>
      <c r="I190">
        <v>10341.970817520749</v>
      </c>
      <c r="J190">
        <v>14298.538253082883</v>
      </c>
      <c r="K190">
        <v>0</v>
      </c>
      <c r="L190">
        <v>1849305.7970697989</v>
      </c>
      <c r="M190">
        <v>4661</v>
      </c>
      <c r="N190">
        <v>898</v>
      </c>
      <c r="O190">
        <v>0.192662518772796</v>
      </c>
    </row>
    <row r="191" spans="1:15" x14ac:dyDescent="0.25">
      <c r="A191" t="s">
        <v>535</v>
      </c>
      <c r="B191" t="s">
        <v>1034</v>
      </c>
      <c r="C191">
        <v>10570.659903242589</v>
      </c>
      <c r="D191">
        <v>2748.4563227568738</v>
      </c>
      <c r="E191">
        <v>5644.1116474905275</v>
      </c>
      <c r="F191">
        <v>7644.0848501814171</v>
      </c>
      <c r="G191">
        <v>26607.31272367141</v>
      </c>
      <c r="H191">
        <v>26279.198419209508</v>
      </c>
      <c r="I191">
        <v>328.11430446190207</v>
      </c>
      <c r="J191">
        <v>201.62762917822923</v>
      </c>
      <c r="K191">
        <v>0</v>
      </c>
      <c r="L191">
        <v>26077.570790031277</v>
      </c>
      <c r="M191">
        <v>48</v>
      </c>
      <c r="N191">
        <v>10</v>
      </c>
      <c r="O191">
        <v>0.20833333333333301</v>
      </c>
    </row>
    <row r="192" spans="1:15" x14ac:dyDescent="0.25">
      <c r="A192" t="s">
        <v>537</v>
      </c>
      <c r="B192" t="s">
        <v>1036</v>
      </c>
      <c r="C192">
        <v>18574.073701818594</v>
      </c>
      <c r="D192">
        <v>0</v>
      </c>
      <c r="E192">
        <v>9029.5461215759969</v>
      </c>
      <c r="F192">
        <v>12451.347205692196</v>
      </c>
      <c r="G192">
        <v>40054.967029086787</v>
      </c>
      <c r="H192">
        <v>40054.967029086787</v>
      </c>
      <c r="I192">
        <v>0</v>
      </c>
      <c r="J192">
        <v>307.32246509404166</v>
      </c>
      <c r="K192">
        <v>0</v>
      </c>
      <c r="L192">
        <v>39747.644563992748</v>
      </c>
      <c r="M192">
        <v>240</v>
      </c>
      <c r="N192">
        <v>23</v>
      </c>
      <c r="O192">
        <v>9.5833333333333395E-2</v>
      </c>
    </row>
    <row r="193" spans="1:15" x14ac:dyDescent="0.25">
      <c r="A193" t="s">
        <v>655</v>
      </c>
      <c r="B193" t="s">
        <v>656</v>
      </c>
      <c r="C193">
        <v>912526.7375883942</v>
      </c>
      <c r="D193">
        <v>225593.40680315011</v>
      </c>
      <c r="E193">
        <v>434478.05281586602</v>
      </c>
      <c r="F193">
        <v>577239.27160993672</v>
      </c>
      <c r="G193">
        <v>2149837.4688173472</v>
      </c>
      <c r="H193">
        <v>2119857.2105800612</v>
      </c>
      <c r="I193">
        <v>29980.258237286005</v>
      </c>
      <c r="J193">
        <v>16264.643112295091</v>
      </c>
      <c r="K193">
        <v>0</v>
      </c>
      <c r="L193">
        <v>2103592.5674677659</v>
      </c>
      <c r="M193">
        <v>720</v>
      </c>
      <c r="N193">
        <v>720</v>
      </c>
      <c r="O193">
        <v>1</v>
      </c>
    </row>
    <row r="194" spans="1:15" x14ac:dyDescent="0.25">
      <c r="A194" t="s">
        <v>539</v>
      </c>
      <c r="B194" t="s">
        <v>1038</v>
      </c>
      <c r="C194">
        <v>2264421.8547782321</v>
      </c>
      <c r="D194">
        <v>507293.2160749216</v>
      </c>
      <c r="E194">
        <v>1621981.2957083136</v>
      </c>
      <c r="F194">
        <v>2236640.9121877085</v>
      </c>
      <c r="G194">
        <v>6630337.2787491754</v>
      </c>
      <c r="H194">
        <v>6439062.4755671769</v>
      </c>
      <c r="I194">
        <v>191274.80318199843</v>
      </c>
      <c r="J194">
        <v>49403.824285983028</v>
      </c>
      <c r="K194">
        <v>0</v>
      </c>
      <c r="L194">
        <v>6389658.6512811938</v>
      </c>
      <c r="M194">
        <v>20732</v>
      </c>
      <c r="N194">
        <v>2804</v>
      </c>
      <c r="O194">
        <v>0.13524985529616099</v>
      </c>
    </row>
    <row r="195" spans="1:15" x14ac:dyDescent="0.25">
      <c r="A195" t="s">
        <v>541</v>
      </c>
      <c r="B195" t="s">
        <v>1040</v>
      </c>
      <c r="C195">
        <v>52220.866872429186</v>
      </c>
      <c r="D195">
        <v>13577.844056012593</v>
      </c>
      <c r="E195">
        <v>32895.541152987847</v>
      </c>
      <c r="F195">
        <v>44551.972652397075</v>
      </c>
      <c r="G195">
        <v>143246.2247338267</v>
      </c>
      <c r="H195">
        <v>143246.2247338267</v>
      </c>
      <c r="I195">
        <v>0</v>
      </c>
      <c r="J195">
        <v>1099.0592719411454</v>
      </c>
      <c r="K195">
        <v>0</v>
      </c>
      <c r="L195">
        <v>142147.16546188557</v>
      </c>
      <c r="M195">
        <v>295</v>
      </c>
      <c r="N195">
        <v>42</v>
      </c>
      <c r="O195">
        <v>0.14237288135593201</v>
      </c>
    </row>
    <row r="196" spans="1:15" x14ac:dyDescent="0.25">
      <c r="A196" t="s">
        <v>195</v>
      </c>
      <c r="B196" t="s">
        <v>1042</v>
      </c>
      <c r="C196">
        <v>8075.6842181819975</v>
      </c>
      <c r="D196">
        <v>0</v>
      </c>
      <c r="E196">
        <v>3925.8896180765178</v>
      </c>
      <c r="F196">
        <v>5413.6292198661731</v>
      </c>
      <c r="G196">
        <v>17415.203056124687</v>
      </c>
      <c r="H196">
        <v>17415.203056124687</v>
      </c>
      <c r="I196">
        <v>0</v>
      </c>
      <c r="J196">
        <v>133.61846308436591</v>
      </c>
      <c r="K196">
        <v>0</v>
      </c>
      <c r="L196">
        <v>17281.584593040319</v>
      </c>
      <c r="M196">
        <v>88</v>
      </c>
      <c r="N196">
        <v>10</v>
      </c>
      <c r="O196">
        <v>0.11363636363636399</v>
      </c>
    </row>
    <row r="197" spans="1:15" x14ac:dyDescent="0.25">
      <c r="A197" t="s">
        <v>298</v>
      </c>
      <c r="B197" t="s">
        <v>1044</v>
      </c>
      <c r="C197">
        <v>33022.018757565515</v>
      </c>
      <c r="D197">
        <v>0</v>
      </c>
      <c r="E197">
        <v>15009.144113239883</v>
      </c>
      <c r="F197">
        <v>20327.587102430563</v>
      </c>
      <c r="G197">
        <v>68358.749973235957</v>
      </c>
      <c r="H197">
        <v>68358.749973235957</v>
      </c>
      <c r="I197">
        <v>0</v>
      </c>
      <c r="J197">
        <v>524.48375596630956</v>
      </c>
      <c r="K197">
        <v>0</v>
      </c>
      <c r="L197">
        <v>67834.266217269644</v>
      </c>
      <c r="M197">
        <v>248</v>
      </c>
      <c r="N197">
        <v>37</v>
      </c>
      <c r="O197">
        <v>0.149193548387097</v>
      </c>
    </row>
    <row r="198" spans="1:15" x14ac:dyDescent="0.25">
      <c r="A198" t="s">
        <v>197</v>
      </c>
      <c r="B198" t="s">
        <v>1046</v>
      </c>
      <c r="C198">
        <v>515228.65312001144</v>
      </c>
      <c r="D198">
        <v>0</v>
      </c>
      <c r="E198">
        <v>250471.75763328187</v>
      </c>
      <c r="F198">
        <v>345389.5442274618</v>
      </c>
      <c r="G198">
        <v>1111089.9549807552</v>
      </c>
      <c r="H198">
        <v>989555.17276123539</v>
      </c>
      <c r="I198">
        <v>121534.78221951984</v>
      </c>
      <c r="J198">
        <v>7592.3801115278702</v>
      </c>
      <c r="K198">
        <v>0</v>
      </c>
      <c r="L198">
        <v>981962.79264970752</v>
      </c>
      <c r="M198">
        <v>11879</v>
      </c>
      <c r="N198">
        <v>638</v>
      </c>
      <c r="O198">
        <v>5.3708224598030103E-2</v>
      </c>
    </row>
    <row r="199" spans="1:15" x14ac:dyDescent="0.25">
      <c r="A199" t="s">
        <v>87</v>
      </c>
      <c r="B199" t="s">
        <v>1047</v>
      </c>
      <c r="C199">
        <v>31180.027419873935</v>
      </c>
      <c r="D199">
        <v>0</v>
      </c>
      <c r="E199">
        <v>15344.353092932573</v>
      </c>
      <c r="F199">
        <v>20881.380400315898</v>
      </c>
      <c r="G199">
        <v>67405.760913122402</v>
      </c>
      <c r="H199">
        <v>60032.690500421893</v>
      </c>
      <c r="I199">
        <v>7373.0704127005083</v>
      </c>
      <c r="J199">
        <v>460.60191280197245</v>
      </c>
      <c r="K199">
        <v>0</v>
      </c>
      <c r="L199">
        <v>59572.088587619925</v>
      </c>
      <c r="M199">
        <v>247</v>
      </c>
      <c r="N199">
        <v>32</v>
      </c>
      <c r="O199">
        <v>0.13032286427023301</v>
      </c>
    </row>
    <row r="200" spans="1:15" x14ac:dyDescent="0.25">
      <c r="A200" t="s">
        <v>543</v>
      </c>
      <c r="B200" t="s">
        <v>1049</v>
      </c>
      <c r="C200">
        <v>201084.5370327316</v>
      </c>
      <c r="D200">
        <v>52603.336264558326</v>
      </c>
      <c r="E200">
        <v>102076.11374609922</v>
      </c>
      <c r="F200">
        <v>140758.47407472748</v>
      </c>
      <c r="G200">
        <v>496522.46111811663</v>
      </c>
      <c r="H200">
        <v>442211.15274152753</v>
      </c>
      <c r="I200">
        <v>54311.308376589091</v>
      </c>
      <c r="J200">
        <v>3392.8731349077439</v>
      </c>
      <c r="K200">
        <v>0</v>
      </c>
      <c r="L200">
        <v>438818.27960661979</v>
      </c>
      <c r="M200">
        <v>1504</v>
      </c>
      <c r="N200">
        <v>249</v>
      </c>
      <c r="O200">
        <v>0.16555851063829799</v>
      </c>
    </row>
    <row r="201" spans="1:15" x14ac:dyDescent="0.25">
      <c r="A201" t="s">
        <v>545</v>
      </c>
      <c r="B201" t="s">
        <v>1051</v>
      </c>
      <c r="C201">
        <v>47646.536887273774</v>
      </c>
      <c r="D201">
        <v>12464.244335778882</v>
      </c>
      <c r="E201">
        <v>23882.540978677713</v>
      </c>
      <c r="F201">
        <v>32932.974246526755</v>
      </c>
      <c r="G201">
        <v>116926.29644825711</v>
      </c>
      <c r="H201">
        <v>104136.50214684065</v>
      </c>
      <c r="I201">
        <v>12789.794301416463</v>
      </c>
      <c r="J201">
        <v>798.98921206945442</v>
      </c>
      <c r="K201">
        <v>0</v>
      </c>
      <c r="L201">
        <v>103337.51293477119</v>
      </c>
      <c r="M201">
        <v>363</v>
      </c>
      <c r="N201">
        <v>59</v>
      </c>
      <c r="O201">
        <v>0.16253443526170799</v>
      </c>
    </row>
    <row r="202" spans="1:15" x14ac:dyDescent="0.25">
      <c r="A202" t="s">
        <v>547</v>
      </c>
      <c r="B202" t="s">
        <v>1053</v>
      </c>
      <c r="C202">
        <v>578133.78393888311</v>
      </c>
      <c r="D202">
        <v>150319.41888308755</v>
      </c>
      <c r="E202">
        <v>270886.38364727976</v>
      </c>
      <c r="F202">
        <v>373540.41617076588</v>
      </c>
      <c r="G202">
        <v>1372880.0026400164</v>
      </c>
      <c r="H202">
        <v>1348644.4104984927</v>
      </c>
      <c r="I202">
        <v>24235.592141523724</v>
      </c>
      <c r="J202">
        <v>10347.498837503023</v>
      </c>
      <c r="K202">
        <v>0</v>
      </c>
      <c r="L202">
        <v>1338296.9116609897</v>
      </c>
      <c r="M202">
        <v>4440</v>
      </c>
      <c r="N202">
        <v>690</v>
      </c>
      <c r="O202">
        <v>0.15540540540540501</v>
      </c>
    </row>
    <row r="203" spans="1:15" x14ac:dyDescent="0.25">
      <c r="A203" t="s">
        <v>549</v>
      </c>
      <c r="B203" t="s">
        <v>1055</v>
      </c>
      <c r="C203">
        <v>217235.90546909574</v>
      </c>
      <c r="D203">
        <v>56828.503836008793</v>
      </c>
      <c r="E203">
        <v>121642.72797314452</v>
      </c>
      <c r="F203">
        <v>167739.97503839442</v>
      </c>
      <c r="G203">
        <v>563447.11231664347</v>
      </c>
      <c r="H203">
        <v>563447.11231664347</v>
      </c>
      <c r="I203">
        <v>0</v>
      </c>
      <c r="J203">
        <v>4323.0582459729994</v>
      </c>
      <c r="K203">
        <v>0</v>
      </c>
      <c r="L203">
        <v>559124.05407067051</v>
      </c>
      <c r="M203">
        <v>1377</v>
      </c>
      <c r="N203">
        <v>269</v>
      </c>
      <c r="O203">
        <v>0.195352214960058</v>
      </c>
    </row>
    <row r="204" spans="1:15" x14ac:dyDescent="0.25">
      <c r="A204" t="s">
        <v>551</v>
      </c>
      <c r="B204" t="s">
        <v>1057</v>
      </c>
      <c r="C204">
        <v>39570.852669091772</v>
      </c>
      <c r="D204">
        <v>6526.5837864027608</v>
      </c>
      <c r="E204">
        <v>19236.859128574943</v>
      </c>
      <c r="F204">
        <v>26526.783177344241</v>
      </c>
      <c r="G204">
        <v>91861.078761413723</v>
      </c>
      <c r="H204">
        <v>81813.002859303757</v>
      </c>
      <c r="I204">
        <v>10048.075902109966</v>
      </c>
      <c r="J204">
        <v>627.71175662706185</v>
      </c>
      <c r="K204">
        <v>0</v>
      </c>
      <c r="L204">
        <v>81185.291102676696</v>
      </c>
      <c r="M204">
        <v>357</v>
      </c>
      <c r="N204">
        <v>49</v>
      </c>
      <c r="O204">
        <v>0.13725490196078399</v>
      </c>
    </row>
    <row r="205" spans="1:15" x14ac:dyDescent="0.25">
      <c r="A205" t="s">
        <v>81</v>
      </c>
      <c r="B205" t="s">
        <v>1058</v>
      </c>
      <c r="C205">
        <v>98220.110439235534</v>
      </c>
      <c r="D205">
        <v>25538.016172082702</v>
      </c>
      <c r="E205">
        <v>78323.736661625153</v>
      </c>
      <c r="F205">
        <v>106077.50629648269</v>
      </c>
      <c r="G205">
        <v>308159.36956942605</v>
      </c>
      <c r="H205">
        <v>308159.36956942605</v>
      </c>
      <c r="I205">
        <v>0</v>
      </c>
      <c r="J205">
        <v>2364.3583835465456</v>
      </c>
      <c r="K205">
        <v>0</v>
      </c>
      <c r="L205">
        <v>305795.01118587953</v>
      </c>
      <c r="M205">
        <v>599</v>
      </c>
      <c r="N205">
        <v>79</v>
      </c>
      <c r="O205">
        <v>0.13157126768155999</v>
      </c>
    </row>
    <row r="206" spans="1:15" x14ac:dyDescent="0.25">
      <c r="A206" t="s">
        <v>553</v>
      </c>
      <c r="B206" t="s">
        <v>1060</v>
      </c>
      <c r="C206">
        <v>363492.66723858559</v>
      </c>
      <c r="D206">
        <v>92319.905131281703</v>
      </c>
      <c r="E206">
        <v>154101.11279566705</v>
      </c>
      <c r="F206">
        <v>203057.83115178166</v>
      </c>
      <c r="G206">
        <v>812971.5163173161</v>
      </c>
      <c r="H206">
        <v>812971.5163173161</v>
      </c>
      <c r="I206">
        <v>0</v>
      </c>
      <c r="J206">
        <v>6237.5387867489326</v>
      </c>
      <c r="K206">
        <v>0</v>
      </c>
      <c r="L206">
        <v>806733.97753056721</v>
      </c>
      <c r="M206">
        <v>2907</v>
      </c>
      <c r="N206">
        <v>369</v>
      </c>
      <c r="O206">
        <v>0.126934984520124</v>
      </c>
    </row>
    <row r="207" spans="1:15" x14ac:dyDescent="0.25">
      <c r="A207" t="s">
        <v>61</v>
      </c>
      <c r="B207" t="s">
        <v>1061</v>
      </c>
      <c r="C207">
        <v>285574.43439996423</v>
      </c>
      <c r="D207">
        <v>0</v>
      </c>
      <c r="E207">
        <v>138828.3242520451</v>
      </c>
      <c r="F207">
        <v>191438.15690981009</v>
      </c>
      <c r="G207">
        <v>615840.91556181945</v>
      </c>
      <c r="H207">
        <v>548478.15054071741</v>
      </c>
      <c r="I207">
        <v>67362.765021102037</v>
      </c>
      <c r="J207">
        <v>4208.2086137280021</v>
      </c>
      <c r="K207">
        <v>0</v>
      </c>
      <c r="L207">
        <v>544269.94192698936</v>
      </c>
      <c r="M207">
        <v>3135</v>
      </c>
      <c r="N207">
        <v>354</v>
      </c>
      <c r="O207">
        <v>0.112791862103287</v>
      </c>
    </row>
    <row r="208" spans="1:15" x14ac:dyDescent="0.25">
      <c r="A208" t="s">
        <v>74</v>
      </c>
      <c r="B208" t="s">
        <v>1062</v>
      </c>
      <c r="C208">
        <v>13225.88167276969</v>
      </c>
      <c r="D208">
        <v>0</v>
      </c>
      <c r="E208">
        <v>6429.5916167861333</v>
      </c>
      <c r="F208">
        <v>8866.1242252383581</v>
      </c>
      <c r="G208">
        <v>28521.597514794179</v>
      </c>
      <c r="H208">
        <v>28521.597514794179</v>
      </c>
      <c r="I208">
        <v>0</v>
      </c>
      <c r="J208">
        <v>218.83247713826614</v>
      </c>
      <c r="K208">
        <v>0</v>
      </c>
      <c r="L208">
        <v>28302.765037655914</v>
      </c>
      <c r="M208">
        <v>135</v>
      </c>
      <c r="N208">
        <v>16</v>
      </c>
      <c r="O208">
        <v>0.12147451503306</v>
      </c>
    </row>
    <row r="209" spans="1:15" x14ac:dyDescent="0.25">
      <c r="A209" t="s">
        <v>199</v>
      </c>
      <c r="B209" t="s">
        <v>1064</v>
      </c>
      <c r="C209">
        <v>1528727.0225018519</v>
      </c>
      <c r="D209">
        <v>0</v>
      </c>
      <c r="E209">
        <v>979116.87074828357</v>
      </c>
      <c r="F209">
        <v>1350159.127434623</v>
      </c>
      <c r="G209">
        <v>3858003.0206847587</v>
      </c>
      <c r="H209">
        <v>3436001.5843300461</v>
      </c>
      <c r="I209">
        <v>422001.43635471258</v>
      </c>
      <c r="J209">
        <v>26362.784825076345</v>
      </c>
      <c r="K209">
        <v>0</v>
      </c>
      <c r="L209">
        <v>3409638.7995049697</v>
      </c>
      <c r="M209">
        <v>25979</v>
      </c>
      <c r="N209">
        <v>1893</v>
      </c>
      <c r="O209">
        <v>7.2866546056430198E-2</v>
      </c>
    </row>
    <row r="210" spans="1:15" x14ac:dyDescent="0.25">
      <c r="A210" t="s">
        <v>555</v>
      </c>
      <c r="B210" t="s">
        <v>1066</v>
      </c>
      <c r="C210">
        <v>0</v>
      </c>
      <c r="D210">
        <v>2758.8521508247122</v>
      </c>
      <c r="E210">
        <v>0</v>
      </c>
      <c r="F210">
        <v>0</v>
      </c>
      <c r="G210">
        <v>2758.8521508247122</v>
      </c>
      <c r="H210">
        <v>2758.8521508247122</v>
      </c>
      <c r="I210">
        <v>0</v>
      </c>
      <c r="J210">
        <v>21.167343445964129</v>
      </c>
      <c r="K210">
        <v>285.26675692886556</v>
      </c>
      <c r="L210">
        <v>2452.4180504498827</v>
      </c>
      <c r="M210">
        <v>33</v>
      </c>
      <c r="N210">
        <v>9</v>
      </c>
      <c r="O210">
        <v>0.27272727272727298</v>
      </c>
    </row>
    <row r="211" spans="1:15" x14ac:dyDescent="0.25">
      <c r="A211" t="s">
        <v>557</v>
      </c>
      <c r="B211" t="s">
        <v>1068</v>
      </c>
      <c r="C211">
        <v>23038.617737836408</v>
      </c>
      <c r="D211">
        <v>5990.2253188290833</v>
      </c>
      <c r="E211">
        <v>11024.338518626775</v>
      </c>
      <c r="F211">
        <v>15158.161815625279</v>
      </c>
      <c r="G211">
        <v>55211.343390917551</v>
      </c>
      <c r="H211">
        <v>55211.343390917551</v>
      </c>
      <c r="I211">
        <v>0</v>
      </c>
      <c r="J211">
        <v>423.6100391676506</v>
      </c>
      <c r="K211">
        <v>0</v>
      </c>
      <c r="L211">
        <v>54787.733351749899</v>
      </c>
      <c r="M211">
        <v>204</v>
      </c>
      <c r="N211">
        <v>28</v>
      </c>
      <c r="O211">
        <v>0.13725490196078399</v>
      </c>
    </row>
    <row r="212" spans="1:15" x14ac:dyDescent="0.25">
      <c r="A212" t="s">
        <v>559</v>
      </c>
      <c r="B212" t="s">
        <v>1070</v>
      </c>
      <c r="C212">
        <v>274024.02979944251</v>
      </c>
      <c r="D212">
        <v>71248.444674543571</v>
      </c>
      <c r="E212">
        <v>177649.29740624141</v>
      </c>
      <c r="F212">
        <v>240598.76695603624</v>
      </c>
      <c r="G212">
        <v>763520.5388362637</v>
      </c>
      <c r="H212">
        <v>754093.01205629902</v>
      </c>
      <c r="I212">
        <v>9427.5267799646826</v>
      </c>
      <c r="J212">
        <v>5785.7923889200201</v>
      </c>
      <c r="K212">
        <v>0</v>
      </c>
      <c r="L212">
        <v>748307.21966737905</v>
      </c>
      <c r="M212">
        <v>1213</v>
      </c>
      <c r="N212">
        <v>283</v>
      </c>
      <c r="O212">
        <v>0.233305853256389</v>
      </c>
    </row>
    <row r="213" spans="1:15" x14ac:dyDescent="0.25">
      <c r="A213" t="s">
        <v>449</v>
      </c>
      <c r="B213" t="s">
        <v>1072</v>
      </c>
      <c r="C213">
        <v>33110.30529454619</v>
      </c>
      <c r="D213">
        <v>8661.5935214734618</v>
      </c>
      <c r="E213">
        <v>20708.753664184198</v>
      </c>
      <c r="F213">
        <v>28556.461044456453</v>
      </c>
      <c r="G213">
        <v>91037.113524660293</v>
      </c>
      <c r="H213">
        <v>81079.165730680877</v>
      </c>
      <c r="I213">
        <v>9957.947793979416</v>
      </c>
      <c r="J213">
        <v>622.0813778732321</v>
      </c>
      <c r="K213">
        <v>0</v>
      </c>
      <c r="L213">
        <v>80457.084352807651</v>
      </c>
      <c r="M213">
        <v>176</v>
      </c>
      <c r="N213">
        <v>41</v>
      </c>
      <c r="O213">
        <v>0.232954545454545</v>
      </c>
    </row>
    <row r="214" spans="1:15" x14ac:dyDescent="0.25">
      <c r="A214" t="s">
        <v>561</v>
      </c>
      <c r="B214" t="s">
        <v>1074</v>
      </c>
      <c r="C214">
        <v>447076.54259291297</v>
      </c>
      <c r="D214">
        <v>113548.54641815396</v>
      </c>
      <c r="E214">
        <v>220733.04824658891</v>
      </c>
      <c r="F214">
        <v>292812.22665288101</v>
      </c>
      <c r="G214">
        <v>1074170.3639105367</v>
      </c>
      <c r="H214">
        <v>1074170.3639105367</v>
      </c>
      <c r="I214">
        <v>0</v>
      </c>
      <c r="J214">
        <v>8241.5917089191098</v>
      </c>
      <c r="K214">
        <v>0</v>
      </c>
      <c r="L214">
        <v>1065928.7722016177</v>
      </c>
      <c r="M214">
        <v>3190</v>
      </c>
      <c r="N214">
        <v>442</v>
      </c>
      <c r="O214">
        <v>0.138557993730408</v>
      </c>
    </row>
    <row r="215" spans="1:15" x14ac:dyDescent="0.25">
      <c r="A215" t="s">
        <v>201</v>
      </c>
      <c r="B215" t="s">
        <v>1076</v>
      </c>
      <c r="C215">
        <v>130018.51591273009</v>
      </c>
      <c r="D215">
        <v>34012.59895017626</v>
      </c>
      <c r="E215">
        <v>63206.822851031982</v>
      </c>
      <c r="F215">
        <v>87159.430439845339</v>
      </c>
      <c r="G215">
        <v>314397.36815378367</v>
      </c>
      <c r="H215">
        <v>280007.51925120573</v>
      </c>
      <c r="I215">
        <v>34389.848902577942</v>
      </c>
      <c r="J215">
        <v>2148.3627985178191</v>
      </c>
      <c r="K215">
        <v>0</v>
      </c>
      <c r="L215">
        <v>277859.15645268792</v>
      </c>
      <c r="M215">
        <v>1044</v>
      </c>
      <c r="N215">
        <v>161</v>
      </c>
      <c r="O215">
        <v>0.15421455938697301</v>
      </c>
    </row>
    <row r="216" spans="1:15" x14ac:dyDescent="0.25">
      <c r="A216" t="s">
        <v>72</v>
      </c>
      <c r="B216" t="s">
        <v>1077</v>
      </c>
      <c r="C216">
        <v>48377.68939184957</v>
      </c>
      <c r="D216">
        <v>11871.69034709984</v>
      </c>
      <c r="E216">
        <v>34821.647286196683</v>
      </c>
      <c r="F216">
        <v>48017.521013438156</v>
      </c>
      <c r="G216">
        <v>143088.54803858424</v>
      </c>
      <c r="H216">
        <v>134088.15351200319</v>
      </c>
      <c r="I216">
        <v>9000.3945265810471</v>
      </c>
      <c r="J216">
        <v>1028.7938034574538</v>
      </c>
      <c r="K216">
        <v>0</v>
      </c>
      <c r="L216">
        <v>133059.35970854573</v>
      </c>
      <c r="M216">
        <v>374</v>
      </c>
      <c r="N216">
        <v>56</v>
      </c>
      <c r="O216">
        <v>0.15019766335248599</v>
      </c>
    </row>
    <row r="217" spans="1:15" x14ac:dyDescent="0.25">
      <c r="A217" t="s">
        <v>75</v>
      </c>
      <c r="B217" t="s">
        <v>1078</v>
      </c>
      <c r="C217">
        <v>40551.05679213105</v>
      </c>
      <c r="D217">
        <v>10608.080103008862</v>
      </c>
      <c r="E217">
        <v>35320.835582753207</v>
      </c>
      <c r="F217">
        <v>48705.879732443005</v>
      </c>
      <c r="G217">
        <v>135185.85221033613</v>
      </c>
      <c r="H217">
        <v>120398.76585977331</v>
      </c>
      <c r="I217">
        <v>14787.086350562822</v>
      </c>
      <c r="J217">
        <v>923.761727014695</v>
      </c>
      <c r="K217">
        <v>0</v>
      </c>
      <c r="L217">
        <v>119475.00413275861</v>
      </c>
      <c r="M217">
        <v>200</v>
      </c>
      <c r="N217">
        <v>50</v>
      </c>
      <c r="O217">
        <v>0.25066310871685299</v>
      </c>
    </row>
    <row r="218" spans="1:15" x14ac:dyDescent="0.25">
      <c r="A218" t="s">
        <v>563</v>
      </c>
      <c r="B218" t="s">
        <v>1080</v>
      </c>
      <c r="C218">
        <v>88832.526400001952</v>
      </c>
      <c r="D218">
        <v>23238.421642977573</v>
      </c>
      <c r="E218">
        <v>46168.128207962327</v>
      </c>
      <c r="F218">
        <v>63663.819467142494</v>
      </c>
      <c r="G218">
        <v>221902.89571808433</v>
      </c>
      <c r="H218">
        <v>197630.40546283286</v>
      </c>
      <c r="I218">
        <v>24272.490255251469</v>
      </c>
      <c r="J218">
        <v>1516.3228904986438</v>
      </c>
      <c r="K218">
        <v>0</v>
      </c>
      <c r="L218">
        <v>196114.08257233421</v>
      </c>
      <c r="M218">
        <v>641</v>
      </c>
      <c r="N218">
        <v>110</v>
      </c>
      <c r="O218">
        <v>0.171606864274571</v>
      </c>
    </row>
    <row r="219" spans="1:15" x14ac:dyDescent="0.25">
      <c r="A219" t="s">
        <v>565</v>
      </c>
      <c r="B219" t="s">
        <v>1082</v>
      </c>
      <c r="C219">
        <v>101369.9180464802</v>
      </c>
      <c r="D219">
        <v>26356.991402847972</v>
      </c>
      <c r="E219">
        <v>46410.664589699933</v>
      </c>
      <c r="F219">
        <v>63339.4618724342</v>
      </c>
      <c r="G219">
        <v>237477.03591146233</v>
      </c>
      <c r="H219">
        <v>237477.03591146233</v>
      </c>
      <c r="I219">
        <v>0</v>
      </c>
      <c r="J219">
        <v>1822.0468893792715</v>
      </c>
      <c r="K219">
        <v>0</v>
      </c>
      <c r="L219">
        <v>235654.98902208306</v>
      </c>
      <c r="M219">
        <v>991</v>
      </c>
      <c r="N219">
        <v>117</v>
      </c>
      <c r="O219">
        <v>0.118062563067608</v>
      </c>
    </row>
    <row r="220" spans="1:15" x14ac:dyDescent="0.25">
      <c r="A220" t="s">
        <v>567</v>
      </c>
      <c r="B220" t="s">
        <v>1084</v>
      </c>
      <c r="C220">
        <v>1960582.1642522709</v>
      </c>
      <c r="D220">
        <v>271775.61585556105</v>
      </c>
      <c r="E220">
        <v>1331827.7249869988</v>
      </c>
      <c r="F220">
        <v>1836531.8919358808</v>
      </c>
      <c r="G220">
        <v>5400717.3970307112</v>
      </c>
      <c r="H220">
        <v>4809968.6374591533</v>
      </c>
      <c r="I220">
        <v>590748.75957155786</v>
      </c>
      <c r="J220">
        <v>36904.572100022961</v>
      </c>
      <c r="K220">
        <v>0</v>
      </c>
      <c r="L220">
        <v>4773064.0653591305</v>
      </c>
      <c r="M220">
        <v>17970</v>
      </c>
      <c r="N220">
        <v>2428</v>
      </c>
      <c r="O220">
        <v>0.135104270320063</v>
      </c>
    </row>
    <row r="221" spans="1:15" x14ac:dyDescent="0.25">
      <c r="A221" t="s">
        <v>568</v>
      </c>
      <c r="B221" t="s">
        <v>1086</v>
      </c>
      <c r="C221">
        <v>73994.619322698141</v>
      </c>
      <c r="D221">
        <v>19239.194259298121</v>
      </c>
      <c r="E221">
        <v>44916.799965820668</v>
      </c>
      <c r="F221">
        <v>61938.292823675401</v>
      </c>
      <c r="G221">
        <v>200088.90637149234</v>
      </c>
      <c r="H221">
        <v>191637.98051224451</v>
      </c>
      <c r="I221">
        <v>8450.9258592478291</v>
      </c>
      <c r="J221">
        <v>1470.3459007692918</v>
      </c>
      <c r="K221">
        <v>0</v>
      </c>
      <c r="L221">
        <v>190167.63461147522</v>
      </c>
      <c r="M221">
        <v>347</v>
      </c>
      <c r="N221">
        <v>85</v>
      </c>
      <c r="O221">
        <v>0.244956772334294</v>
      </c>
    </row>
    <row r="222" spans="1:15" x14ac:dyDescent="0.25">
      <c r="A222" t="s">
        <v>203</v>
      </c>
      <c r="B222" t="s">
        <v>1088</v>
      </c>
      <c r="C222">
        <v>1224273.7274763905</v>
      </c>
      <c r="D222">
        <v>0</v>
      </c>
      <c r="E222">
        <v>757107.81284605677</v>
      </c>
      <c r="F222">
        <v>1044018.3950511911</v>
      </c>
      <c r="G222">
        <v>3025399.9353736383</v>
      </c>
      <c r="H222">
        <v>2694471.4442786463</v>
      </c>
      <c r="I222">
        <v>330928.49109499203</v>
      </c>
      <c r="J222">
        <v>20673.381300748395</v>
      </c>
      <c r="K222">
        <v>0</v>
      </c>
      <c r="L222">
        <v>2673798.0629778979</v>
      </c>
      <c r="M222">
        <v>15521</v>
      </c>
      <c r="N222">
        <v>1516</v>
      </c>
      <c r="O222">
        <v>9.7674118935635601E-2</v>
      </c>
    </row>
    <row r="223" spans="1:15" x14ac:dyDescent="0.25">
      <c r="A223" t="s">
        <v>205</v>
      </c>
      <c r="B223" t="s">
        <v>1090</v>
      </c>
      <c r="C223">
        <v>214005.63178182283</v>
      </c>
      <c r="D223">
        <v>0</v>
      </c>
      <c r="E223">
        <v>104036.07487902776</v>
      </c>
      <c r="F223">
        <v>143461.1743264535</v>
      </c>
      <c r="G223">
        <v>461502.88098730403</v>
      </c>
      <c r="H223">
        <v>411022.13288671983</v>
      </c>
      <c r="I223">
        <v>50480.748100584198</v>
      </c>
      <c r="J223">
        <v>3153.5748112145534</v>
      </c>
      <c r="K223">
        <v>0</v>
      </c>
      <c r="L223">
        <v>407868.55807550525</v>
      </c>
      <c r="M223">
        <v>4226</v>
      </c>
      <c r="N223">
        <v>265</v>
      </c>
      <c r="O223">
        <v>6.2707051585423598E-2</v>
      </c>
    </row>
    <row r="224" spans="1:15" x14ac:dyDescent="0.25">
      <c r="A224" t="s">
        <v>207</v>
      </c>
      <c r="B224" t="s">
        <v>1092</v>
      </c>
      <c r="C224">
        <v>46031.400043637375</v>
      </c>
      <c r="D224">
        <v>0</v>
      </c>
      <c r="E224">
        <v>22377.570823036152</v>
      </c>
      <c r="F224">
        <v>30857.686553237178</v>
      </c>
      <c r="G224">
        <v>99266.657419910698</v>
      </c>
      <c r="H224">
        <v>88408.534243558621</v>
      </c>
      <c r="I224">
        <v>10858.123176352077</v>
      </c>
      <c r="J224">
        <v>678.31609146879077</v>
      </c>
      <c r="K224">
        <v>0</v>
      </c>
      <c r="L224">
        <v>87730.21815208983</v>
      </c>
      <c r="M224">
        <v>425</v>
      </c>
      <c r="N224">
        <v>57</v>
      </c>
      <c r="O224">
        <v>0.13411764705882401</v>
      </c>
    </row>
    <row r="225" spans="1:15" x14ac:dyDescent="0.25">
      <c r="A225" t="s">
        <v>300</v>
      </c>
      <c r="B225" t="s">
        <v>1094</v>
      </c>
      <c r="C225">
        <v>223474.59205701313</v>
      </c>
      <c r="D225">
        <v>0</v>
      </c>
      <c r="E225">
        <v>106391.60864987364</v>
      </c>
      <c r="F225">
        <v>146709.35185837329</v>
      </c>
      <c r="G225">
        <v>476575.55256526009</v>
      </c>
      <c r="H225">
        <v>476575.55256526009</v>
      </c>
      <c r="I225">
        <v>0</v>
      </c>
      <c r="J225">
        <v>3656.5346193283326</v>
      </c>
      <c r="K225">
        <v>0</v>
      </c>
      <c r="L225">
        <v>472919.01794593176</v>
      </c>
      <c r="M225">
        <v>2065</v>
      </c>
      <c r="N225">
        <v>271</v>
      </c>
      <c r="O225">
        <v>0.13123486682808699</v>
      </c>
    </row>
    <row r="226" spans="1:15" x14ac:dyDescent="0.25">
      <c r="A226" t="s">
        <v>209</v>
      </c>
      <c r="B226" t="s">
        <v>1096</v>
      </c>
      <c r="C226">
        <v>168781.80016000371</v>
      </c>
      <c r="D226">
        <v>0</v>
      </c>
      <c r="E226">
        <v>82051.093017799256</v>
      </c>
      <c r="F226">
        <v>113144.85069520297</v>
      </c>
      <c r="G226">
        <v>363977.74387300597</v>
      </c>
      <c r="H226">
        <v>324164.62555971503</v>
      </c>
      <c r="I226">
        <v>39813.118313290935</v>
      </c>
      <c r="J226">
        <v>2487.1590020522331</v>
      </c>
      <c r="K226">
        <v>0</v>
      </c>
      <c r="L226">
        <v>321677.46655766282</v>
      </c>
      <c r="M226">
        <v>3896</v>
      </c>
      <c r="N226">
        <v>209</v>
      </c>
      <c r="O226">
        <v>5.36447638603696E-2</v>
      </c>
    </row>
    <row r="227" spans="1:15" x14ac:dyDescent="0.25">
      <c r="A227" t="s">
        <v>570</v>
      </c>
      <c r="B227" t="s">
        <v>1098</v>
      </c>
      <c r="C227">
        <v>293954.90554182476</v>
      </c>
      <c r="D227">
        <v>68851.377059188206</v>
      </c>
      <c r="E227">
        <v>142902.38209798528</v>
      </c>
      <c r="F227">
        <v>197056.10360312861</v>
      </c>
      <c r="G227">
        <v>702764.76830212679</v>
      </c>
      <c r="H227">
        <v>702764.76830212679</v>
      </c>
      <c r="I227">
        <v>0</v>
      </c>
      <c r="J227">
        <v>5391.9755025392333</v>
      </c>
      <c r="K227">
        <v>0</v>
      </c>
      <c r="L227">
        <v>697372.79279958759</v>
      </c>
      <c r="M227">
        <v>2522</v>
      </c>
      <c r="N227">
        <v>364</v>
      </c>
      <c r="O227">
        <v>0.14432989690721601</v>
      </c>
    </row>
    <row r="228" spans="1:15" x14ac:dyDescent="0.25">
      <c r="A228" t="s">
        <v>302</v>
      </c>
      <c r="B228" t="s">
        <v>1100</v>
      </c>
      <c r="C228">
        <v>8075.6842181819975</v>
      </c>
      <c r="D228">
        <v>2112.5837857252336</v>
      </c>
      <c r="E228">
        <v>5042.7953996952438</v>
      </c>
      <c r="F228">
        <v>6953.7931988450482</v>
      </c>
      <c r="G228">
        <v>22184.856602447522</v>
      </c>
      <c r="H228">
        <v>22184.856602447522</v>
      </c>
      <c r="I228">
        <v>0</v>
      </c>
      <c r="J228">
        <v>170.2137169123377</v>
      </c>
      <c r="K228">
        <v>0</v>
      </c>
      <c r="L228">
        <v>22014.642885535184</v>
      </c>
      <c r="M228">
        <v>43</v>
      </c>
      <c r="N228">
        <v>10</v>
      </c>
      <c r="O228">
        <v>0.232558139534884</v>
      </c>
    </row>
    <row r="229" spans="1:15" x14ac:dyDescent="0.25">
      <c r="A229" t="s">
        <v>1411</v>
      </c>
      <c r="B229" t="s">
        <v>1416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28</v>
      </c>
      <c r="N229">
        <v>3</v>
      </c>
      <c r="O229">
        <v>0.121434530616542</v>
      </c>
    </row>
    <row r="230" spans="1:15" x14ac:dyDescent="0.25">
      <c r="A230" t="s">
        <v>572</v>
      </c>
      <c r="B230" t="s">
        <v>1102</v>
      </c>
      <c r="C230">
        <v>30687.600029091576</v>
      </c>
      <c r="D230">
        <v>8027.818385755887</v>
      </c>
      <c r="E230">
        <v>15097.401115275061</v>
      </c>
      <c r="F230">
        <v>20818.652527917344</v>
      </c>
      <c r="G230">
        <v>74631.472058039857</v>
      </c>
      <c r="H230">
        <v>66468.028888892353</v>
      </c>
      <c r="I230">
        <v>8163.4431691475038</v>
      </c>
      <c r="J230">
        <v>509.9771639617822</v>
      </c>
      <c r="K230">
        <v>0</v>
      </c>
      <c r="L230">
        <v>65958.05172493057</v>
      </c>
      <c r="M230">
        <v>240</v>
      </c>
      <c r="N230">
        <v>38</v>
      </c>
      <c r="O230">
        <v>0.15833333333333299</v>
      </c>
    </row>
    <row r="231" spans="1:15" x14ac:dyDescent="0.25">
      <c r="A231" t="s">
        <v>574</v>
      </c>
      <c r="B231" t="s">
        <v>1104</v>
      </c>
      <c r="C231">
        <v>269541.7995922488</v>
      </c>
      <c r="D231">
        <v>68458.254072394295</v>
      </c>
      <c r="E231">
        <v>136673.51696712265</v>
      </c>
      <c r="F231">
        <v>180093.62442456346</v>
      </c>
      <c r="G231">
        <v>654767.19505632925</v>
      </c>
      <c r="H231">
        <v>654767.19505632925</v>
      </c>
      <c r="I231">
        <v>0</v>
      </c>
      <c r="J231">
        <v>5023.713246382119</v>
      </c>
      <c r="K231">
        <v>0</v>
      </c>
      <c r="L231">
        <v>649743.48180994717</v>
      </c>
      <c r="M231">
        <v>1673</v>
      </c>
      <c r="N231">
        <v>212</v>
      </c>
      <c r="O231">
        <v>0.126718469814704</v>
      </c>
    </row>
    <row r="232" spans="1:15" x14ac:dyDescent="0.25">
      <c r="A232" t="s">
        <v>211</v>
      </c>
      <c r="B232" t="s">
        <v>1106</v>
      </c>
      <c r="C232">
        <v>96908.210618183948</v>
      </c>
      <c r="D232">
        <v>0</v>
      </c>
      <c r="E232">
        <v>47110.675416918246</v>
      </c>
      <c r="F232">
        <v>64963.550638394052</v>
      </c>
      <c r="G232">
        <v>208982.43667349624</v>
      </c>
      <c r="H232">
        <v>186123.22998643923</v>
      </c>
      <c r="I232">
        <v>22859.206687057012</v>
      </c>
      <c r="J232">
        <v>1428.0338767764019</v>
      </c>
      <c r="K232">
        <v>0</v>
      </c>
      <c r="L232">
        <v>184695.19610966282</v>
      </c>
      <c r="M232">
        <v>899</v>
      </c>
      <c r="N232">
        <v>120</v>
      </c>
      <c r="O232">
        <v>0.13348164627363701</v>
      </c>
    </row>
    <row r="233" spans="1:15" x14ac:dyDescent="0.25">
      <c r="A233" t="s">
        <v>576</v>
      </c>
      <c r="B233" t="s">
        <v>1108</v>
      </c>
      <c r="C233">
        <v>17766.505280000398</v>
      </c>
      <c r="D233">
        <v>4647.6843285955156</v>
      </c>
      <c r="E233">
        <v>9976.7847686254918</v>
      </c>
      <c r="F233">
        <v>13757.547663861505</v>
      </c>
      <c r="G233">
        <v>46148.522041082913</v>
      </c>
      <c r="H233">
        <v>41100.640408391104</v>
      </c>
      <c r="I233">
        <v>5047.8816326918095</v>
      </c>
      <c r="J233">
        <v>315.34541316881246</v>
      </c>
      <c r="K233">
        <v>0</v>
      </c>
      <c r="L233">
        <v>40785.294995222292</v>
      </c>
      <c r="M233">
        <v>112</v>
      </c>
      <c r="N233">
        <v>22</v>
      </c>
      <c r="O233">
        <v>0.19642857142857101</v>
      </c>
    </row>
    <row r="234" spans="1:15" x14ac:dyDescent="0.25">
      <c r="A234" t="s">
        <v>86</v>
      </c>
      <c r="B234" t="s">
        <v>1109</v>
      </c>
      <c r="C234">
        <v>15805.79698358313</v>
      </c>
      <c r="D234">
        <v>2424.1131349026737</v>
      </c>
      <c r="E234">
        <v>11903.413378369607</v>
      </c>
      <c r="F234">
        <v>16414.283831255601</v>
      </c>
      <c r="G234">
        <v>46547.607328111015</v>
      </c>
      <c r="H234">
        <v>41456.072395136413</v>
      </c>
      <c r="I234">
        <v>5091.5349329746023</v>
      </c>
      <c r="J234">
        <v>318.07247156984721</v>
      </c>
      <c r="K234">
        <v>0</v>
      </c>
      <c r="L234">
        <v>41137.999923566567</v>
      </c>
      <c r="M234">
        <v>127</v>
      </c>
      <c r="N234">
        <v>20</v>
      </c>
      <c r="O234">
        <v>0.15455303896650899</v>
      </c>
    </row>
    <row r="235" spans="1:15" x14ac:dyDescent="0.25">
      <c r="A235" t="s">
        <v>85</v>
      </c>
      <c r="B235" t="s">
        <v>1110</v>
      </c>
      <c r="C235">
        <v>0</v>
      </c>
      <c r="D235">
        <v>962.22848269486246</v>
      </c>
      <c r="E235">
        <v>0</v>
      </c>
      <c r="F235">
        <v>0</v>
      </c>
      <c r="G235">
        <v>962.22848269486246</v>
      </c>
      <c r="H235">
        <v>962.22848269486246</v>
      </c>
      <c r="I235">
        <v>0</v>
      </c>
      <c r="J235">
        <v>7.3827155835815583</v>
      </c>
      <c r="K235">
        <v>0</v>
      </c>
      <c r="L235">
        <v>954.84576711128091</v>
      </c>
      <c r="M235">
        <v>67</v>
      </c>
      <c r="N235">
        <v>4</v>
      </c>
      <c r="O235">
        <v>6.6998361719472002E-2</v>
      </c>
    </row>
    <row r="236" spans="1:15" x14ac:dyDescent="0.25">
      <c r="A236" t="s">
        <v>62</v>
      </c>
      <c r="B236" t="s">
        <v>1111</v>
      </c>
      <c r="C236">
        <v>5589682.3529621139</v>
      </c>
      <c r="D236">
        <v>1462250.3786905883</v>
      </c>
      <c r="E236">
        <v>4868732.5797907114</v>
      </c>
      <c r="F236">
        <v>6713768.2211715374</v>
      </c>
      <c r="G236">
        <v>18634433.532614954</v>
      </c>
      <c r="H236">
        <v>16596136.083323639</v>
      </c>
      <c r="I236">
        <v>2038297.4492913149</v>
      </c>
      <c r="J236">
        <v>127334.15679657039</v>
      </c>
      <c r="K236">
        <v>0</v>
      </c>
      <c r="L236">
        <v>16468801.926527068</v>
      </c>
      <c r="M236">
        <v>69798</v>
      </c>
      <c r="N236">
        <v>6922</v>
      </c>
      <c r="O236">
        <v>9.9166843927609799E-2</v>
      </c>
    </row>
    <row r="237" spans="1:15" x14ac:dyDescent="0.25">
      <c r="A237" t="s">
        <v>304</v>
      </c>
      <c r="B237" t="s">
        <v>1113</v>
      </c>
      <c r="C237">
        <v>525727.0426036478</v>
      </c>
      <c r="D237">
        <v>0</v>
      </c>
      <c r="E237">
        <v>255575.41413678142</v>
      </c>
      <c r="F237">
        <v>352427.26221328782</v>
      </c>
      <c r="G237">
        <v>1133729.718953717</v>
      </c>
      <c r="H237">
        <v>1009718.5226764329</v>
      </c>
      <c r="I237">
        <v>124011.19627728418</v>
      </c>
      <c r="J237">
        <v>7747.0837815119803</v>
      </c>
      <c r="K237">
        <v>0</v>
      </c>
      <c r="L237">
        <v>1001971.4388949209</v>
      </c>
      <c r="M237">
        <v>5216</v>
      </c>
      <c r="N237">
        <v>651</v>
      </c>
      <c r="O237">
        <v>0.124808282208589</v>
      </c>
    </row>
    <row r="238" spans="1:15" x14ac:dyDescent="0.25">
      <c r="A238" t="s">
        <v>578</v>
      </c>
      <c r="B238" t="s">
        <v>1115</v>
      </c>
      <c r="C238">
        <v>375519.31614546286</v>
      </c>
      <c r="D238">
        <v>52947.490784027701</v>
      </c>
      <c r="E238">
        <v>182553.8672405582</v>
      </c>
      <c r="F238">
        <v>251733.75872377696</v>
      </c>
      <c r="G238">
        <v>862754.43289382569</v>
      </c>
      <c r="H238">
        <v>768383.43112152314</v>
      </c>
      <c r="I238">
        <v>94371.001772302552</v>
      </c>
      <c r="J238">
        <v>5895.435889841202</v>
      </c>
      <c r="K238">
        <v>0</v>
      </c>
      <c r="L238">
        <v>762487.99523168197</v>
      </c>
      <c r="M238">
        <v>4248</v>
      </c>
      <c r="N238">
        <v>465</v>
      </c>
      <c r="O238">
        <v>0.109463276836158</v>
      </c>
    </row>
    <row r="239" spans="1:15" x14ac:dyDescent="0.25">
      <c r="A239" t="s">
        <v>580</v>
      </c>
      <c r="B239" t="s">
        <v>1117</v>
      </c>
      <c r="C239">
        <v>62990.336901819559</v>
      </c>
      <c r="D239">
        <v>16478.153528656825</v>
      </c>
      <c r="E239">
        <v>43373.297203577706</v>
      </c>
      <c r="F239">
        <v>59809.870359592809</v>
      </c>
      <c r="G239">
        <v>182651.65799364689</v>
      </c>
      <c r="H239">
        <v>162672.6010534043</v>
      </c>
      <c r="I239">
        <v>19979.05694024259</v>
      </c>
      <c r="J239">
        <v>1248.1084985711846</v>
      </c>
      <c r="K239">
        <v>0</v>
      </c>
      <c r="L239">
        <v>161424.49255483312</v>
      </c>
      <c r="M239">
        <v>299</v>
      </c>
      <c r="N239">
        <v>78</v>
      </c>
      <c r="O239">
        <v>0.26086956521739102</v>
      </c>
    </row>
    <row r="240" spans="1:15" x14ac:dyDescent="0.25">
      <c r="A240" t="s">
        <v>582</v>
      </c>
      <c r="B240" t="s">
        <v>1119</v>
      </c>
      <c r="C240">
        <v>402976.64248728176</v>
      </c>
      <c r="D240">
        <v>105417.93090768917</v>
      </c>
      <c r="E240">
        <v>195901.89194201829</v>
      </c>
      <c r="F240">
        <v>270140.09807132196</v>
      </c>
      <c r="G240">
        <v>974436.56340831111</v>
      </c>
      <c r="H240">
        <v>915081.46386386291</v>
      </c>
      <c r="I240">
        <v>59355.099544448196</v>
      </c>
      <c r="J240">
        <v>7020.979221685262</v>
      </c>
      <c r="K240">
        <v>0</v>
      </c>
      <c r="L240">
        <v>908060.4846421777</v>
      </c>
      <c r="M240">
        <v>3263</v>
      </c>
      <c r="N240">
        <v>499</v>
      </c>
      <c r="O240">
        <v>0.15292675452037999</v>
      </c>
    </row>
    <row r="241" spans="1:15" x14ac:dyDescent="0.25">
      <c r="A241" t="s">
        <v>213</v>
      </c>
      <c r="B241" t="s">
        <v>1121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23</v>
      </c>
      <c r="N241">
        <v>3</v>
      </c>
      <c r="O241">
        <v>0.13043478260869601</v>
      </c>
    </row>
    <row r="242" spans="1:15" x14ac:dyDescent="0.25">
      <c r="A242" t="s">
        <v>584</v>
      </c>
      <c r="B242" t="s">
        <v>1123</v>
      </c>
      <c r="C242">
        <v>704574.33643415046</v>
      </c>
      <c r="D242">
        <v>178947.86266717769</v>
      </c>
      <c r="E242">
        <v>397232.45695130317</v>
      </c>
      <c r="F242">
        <v>530060.02208362706</v>
      </c>
      <c r="G242">
        <v>1810814.6781362584</v>
      </c>
      <c r="H242">
        <v>1810814.6781362584</v>
      </c>
      <c r="I242">
        <v>0</v>
      </c>
      <c r="J242">
        <v>13893.508645486863</v>
      </c>
      <c r="K242">
        <v>0</v>
      </c>
      <c r="L242">
        <v>1796921.1694907716</v>
      </c>
      <c r="M242">
        <v>4156</v>
      </c>
      <c r="N242">
        <v>837</v>
      </c>
      <c r="O242">
        <v>0.20139557266602501</v>
      </c>
    </row>
    <row r="243" spans="1:15" x14ac:dyDescent="0.25">
      <c r="A243" t="s">
        <v>215</v>
      </c>
      <c r="B243" t="s">
        <v>1125</v>
      </c>
      <c r="C243">
        <v>654130.42167274177</v>
      </c>
      <c r="D243">
        <v>0</v>
      </c>
      <c r="E243">
        <v>341356.10229175346</v>
      </c>
      <c r="F243">
        <v>470715.06066736364</v>
      </c>
      <c r="G243">
        <v>1466201.5846318589</v>
      </c>
      <c r="H243">
        <v>1305823.4896996315</v>
      </c>
      <c r="I243">
        <v>160378.0949322274</v>
      </c>
      <c r="J243">
        <v>10018.954541662099</v>
      </c>
      <c r="K243">
        <v>0</v>
      </c>
      <c r="L243">
        <v>1295804.5351579695</v>
      </c>
      <c r="M243">
        <v>10556</v>
      </c>
      <c r="N243">
        <v>810</v>
      </c>
      <c r="O243">
        <v>7.6733611216369804E-2</v>
      </c>
    </row>
    <row r="244" spans="1:15" x14ac:dyDescent="0.25">
      <c r="A244" t="s">
        <v>306</v>
      </c>
      <c r="B244" t="s">
        <v>1127</v>
      </c>
      <c r="C244">
        <v>11305.957905454792</v>
      </c>
      <c r="D244">
        <v>0</v>
      </c>
      <c r="E244">
        <v>5496.2454653071291</v>
      </c>
      <c r="F244">
        <v>7579.0809078126395</v>
      </c>
      <c r="G244">
        <v>24381.28427857456</v>
      </c>
      <c r="H244">
        <v>21714.37683175124</v>
      </c>
      <c r="I244">
        <v>2666.9074468233193</v>
      </c>
      <c r="J244">
        <v>166.6039522905802</v>
      </c>
      <c r="K244">
        <v>0</v>
      </c>
      <c r="L244">
        <v>21547.772879460659</v>
      </c>
      <c r="M244">
        <v>127</v>
      </c>
      <c r="N244">
        <v>14</v>
      </c>
      <c r="O244">
        <v>0.110236220472441</v>
      </c>
    </row>
    <row r="245" spans="1:15" x14ac:dyDescent="0.25">
      <c r="A245" t="s">
        <v>217</v>
      </c>
      <c r="B245" t="s">
        <v>1129</v>
      </c>
      <c r="C245">
        <v>8075.6842181819975</v>
      </c>
      <c r="D245">
        <v>0</v>
      </c>
      <c r="E245">
        <v>3925.8896180765178</v>
      </c>
      <c r="F245">
        <v>5413.6292198661731</v>
      </c>
      <c r="G245">
        <v>17415.203056124687</v>
      </c>
      <c r="H245">
        <v>17415.203056124687</v>
      </c>
      <c r="I245">
        <v>0</v>
      </c>
      <c r="J245">
        <v>133.61846308436591</v>
      </c>
      <c r="K245">
        <v>0</v>
      </c>
      <c r="L245">
        <v>17281.584593040319</v>
      </c>
      <c r="M245">
        <v>70</v>
      </c>
      <c r="N245">
        <v>10</v>
      </c>
      <c r="O245">
        <v>0.14285714285714299</v>
      </c>
    </row>
    <row r="246" spans="1:15" x14ac:dyDescent="0.25">
      <c r="A246" t="s">
        <v>219</v>
      </c>
      <c r="B246" t="s">
        <v>1131</v>
      </c>
      <c r="C246">
        <v>420743.14776728197</v>
      </c>
      <c r="D246">
        <v>0</v>
      </c>
      <c r="E246">
        <v>0</v>
      </c>
      <c r="F246">
        <v>0</v>
      </c>
      <c r="G246">
        <v>420743.14776728197</v>
      </c>
      <c r="H246">
        <v>374720.83732785628</v>
      </c>
      <c r="I246">
        <v>46022.310439425695</v>
      </c>
      <c r="J246">
        <v>2875.0524589390907</v>
      </c>
      <c r="K246">
        <v>0</v>
      </c>
      <c r="L246">
        <v>371845.7848689172</v>
      </c>
      <c r="M246">
        <v>10865</v>
      </c>
      <c r="N246">
        <v>521</v>
      </c>
      <c r="O246">
        <v>4.7952139898757497E-2</v>
      </c>
    </row>
    <row r="247" spans="1:15" x14ac:dyDescent="0.25">
      <c r="A247" t="s">
        <v>221</v>
      </c>
      <c r="B247" t="s">
        <v>1133</v>
      </c>
      <c r="C247">
        <v>319797.0950400072</v>
      </c>
      <c r="D247">
        <v>0</v>
      </c>
      <c r="E247">
        <v>155465.22887583016</v>
      </c>
      <c r="F247">
        <v>214379.71710670044</v>
      </c>
      <c r="G247">
        <v>689642.04102253774</v>
      </c>
      <c r="H247">
        <v>614206.65895524959</v>
      </c>
      <c r="I247">
        <v>75435.382067288156</v>
      </c>
      <c r="J247">
        <v>4712.5117933621268</v>
      </c>
      <c r="K247">
        <v>0</v>
      </c>
      <c r="L247">
        <v>609494.14716188749</v>
      </c>
      <c r="M247">
        <v>7917</v>
      </c>
      <c r="N247">
        <v>396</v>
      </c>
      <c r="O247">
        <v>5.00189465706707E-2</v>
      </c>
    </row>
    <row r="248" spans="1:15" x14ac:dyDescent="0.25">
      <c r="A248" t="s">
        <v>586</v>
      </c>
      <c r="B248" t="s">
        <v>1135</v>
      </c>
      <c r="C248">
        <v>117090.3866205333</v>
      </c>
      <c r="D248">
        <v>30444.439267460748</v>
      </c>
      <c r="E248">
        <v>78306.449938480073</v>
      </c>
      <c r="F248">
        <v>106054.09407738505</v>
      </c>
      <c r="G248">
        <v>331895.36990385916</v>
      </c>
      <c r="H248">
        <v>327796.4817282267</v>
      </c>
      <c r="I248">
        <v>4098.8881756324554</v>
      </c>
      <c r="J248">
        <v>2515.0244847466392</v>
      </c>
      <c r="K248">
        <v>0</v>
      </c>
      <c r="L248">
        <v>325281.45724348008</v>
      </c>
      <c r="M248">
        <v>619</v>
      </c>
      <c r="N248">
        <v>117</v>
      </c>
      <c r="O248">
        <v>0.189014539579968</v>
      </c>
    </row>
    <row r="249" spans="1:15" x14ac:dyDescent="0.25">
      <c r="A249" t="s">
        <v>588</v>
      </c>
      <c r="B249" t="s">
        <v>1137</v>
      </c>
      <c r="C249">
        <v>66220.610589092379</v>
      </c>
      <c r="D249">
        <v>17323.187042946924</v>
      </c>
      <c r="E249">
        <v>38399.774126193421</v>
      </c>
      <c r="F249">
        <v>52951.600648332322</v>
      </c>
      <c r="G249">
        <v>174895.17240656505</v>
      </c>
      <c r="H249">
        <v>170318.71292192562</v>
      </c>
      <c r="I249">
        <v>4576.459484639432</v>
      </c>
      <c r="J249">
        <v>1306.7734313400069</v>
      </c>
      <c r="K249">
        <v>0</v>
      </c>
      <c r="L249">
        <v>169011.93949058562</v>
      </c>
      <c r="M249">
        <v>391</v>
      </c>
      <c r="N249">
        <v>82</v>
      </c>
      <c r="O249">
        <v>0.20971867007672601</v>
      </c>
    </row>
    <row r="250" spans="1:15" x14ac:dyDescent="0.25">
      <c r="A250" t="s">
        <v>223</v>
      </c>
      <c r="B250" t="s">
        <v>1139</v>
      </c>
      <c r="C250">
        <v>871627.70441481087</v>
      </c>
      <c r="D250">
        <v>0</v>
      </c>
      <c r="E250">
        <v>496232.44772487204</v>
      </c>
      <c r="F250">
        <v>684282.73339108389</v>
      </c>
      <c r="G250">
        <v>2052142.8855307666</v>
      </c>
      <c r="H250">
        <v>2052142.8855307666</v>
      </c>
      <c r="I250">
        <v>0</v>
      </c>
      <c r="J250">
        <v>15745.1037183114</v>
      </c>
      <c r="K250">
        <v>0</v>
      </c>
      <c r="L250">
        <v>2036397.7818124553</v>
      </c>
      <c r="M250">
        <v>11857</v>
      </c>
      <c r="N250">
        <v>1073</v>
      </c>
      <c r="O250">
        <v>9.0495066205616898E-2</v>
      </c>
    </row>
    <row r="251" spans="1:15" x14ac:dyDescent="0.25">
      <c r="A251" t="s">
        <v>225</v>
      </c>
      <c r="B251" t="s">
        <v>1141</v>
      </c>
      <c r="C251">
        <v>144554.74750545775</v>
      </c>
      <c r="D251">
        <v>0</v>
      </c>
      <c r="E251">
        <v>70273.424163569696</v>
      </c>
      <c r="F251">
        <v>96903.963035604465</v>
      </c>
      <c r="G251">
        <v>311732.13470463193</v>
      </c>
      <c r="H251">
        <v>277633.81806310522</v>
      </c>
      <c r="I251">
        <v>34098.316641526704</v>
      </c>
      <c r="J251">
        <v>2130.1505328581329</v>
      </c>
      <c r="K251">
        <v>0</v>
      </c>
      <c r="L251">
        <v>275503.66753024707</v>
      </c>
      <c r="M251">
        <v>1792</v>
      </c>
      <c r="N251">
        <v>179</v>
      </c>
      <c r="O251">
        <v>9.9888392857142905E-2</v>
      </c>
    </row>
    <row r="252" spans="1:15" x14ac:dyDescent="0.25">
      <c r="A252" t="s">
        <v>590</v>
      </c>
      <c r="B252" t="s">
        <v>1143</v>
      </c>
      <c r="C252">
        <v>45309.281551078268</v>
      </c>
      <c r="D252">
        <v>11780.776460363866</v>
      </c>
      <c r="E252">
        <v>20826.042629284922</v>
      </c>
      <c r="F252">
        <v>28205.685304352664</v>
      </c>
      <c r="G252">
        <v>106121.78594507973</v>
      </c>
      <c r="H252">
        <v>106121.78594507973</v>
      </c>
      <c r="I252">
        <v>0</v>
      </c>
      <c r="J252">
        <v>814.22133822107617</v>
      </c>
      <c r="K252">
        <v>0</v>
      </c>
      <c r="L252">
        <v>105307.56460685865</v>
      </c>
      <c r="M252">
        <v>355</v>
      </c>
      <c r="N252">
        <v>48</v>
      </c>
      <c r="O252">
        <v>0.13521126760563401</v>
      </c>
    </row>
    <row r="253" spans="1:15" x14ac:dyDescent="0.25">
      <c r="A253" t="s">
        <v>64</v>
      </c>
      <c r="B253" t="s">
        <v>1144</v>
      </c>
      <c r="C253">
        <v>4447153.3302223571</v>
      </c>
      <c r="D253">
        <v>1154938.2935306802</v>
      </c>
      <c r="E253">
        <v>3546608.2724293103</v>
      </c>
      <c r="F253">
        <v>4803415.7188769495</v>
      </c>
      <c r="G253">
        <v>13952115.615059298</v>
      </c>
      <c r="H253">
        <v>13952115.615059298</v>
      </c>
      <c r="I253">
        <v>0</v>
      </c>
      <c r="J253">
        <v>107047.86152946815</v>
      </c>
      <c r="K253">
        <v>0</v>
      </c>
      <c r="L253">
        <v>13845067.75352983</v>
      </c>
      <c r="M253">
        <v>34124</v>
      </c>
      <c r="N253">
        <v>4916</v>
      </c>
      <c r="O253">
        <v>0.14405282210063799</v>
      </c>
    </row>
    <row r="254" spans="1:15" x14ac:dyDescent="0.25">
      <c r="A254" t="s">
        <v>82</v>
      </c>
      <c r="B254" t="s">
        <v>1145</v>
      </c>
      <c r="C254">
        <v>88924.783643047092</v>
      </c>
      <c r="D254">
        <v>0</v>
      </c>
      <c r="E254">
        <v>70917.584772515242</v>
      </c>
      <c r="F254">
        <v>96048.566764255709</v>
      </c>
      <c r="G254">
        <v>255890.93517981801</v>
      </c>
      <c r="H254">
        <v>255890.93517981801</v>
      </c>
      <c r="I254">
        <v>0</v>
      </c>
      <c r="J254">
        <v>1963.3278673672207</v>
      </c>
      <c r="K254">
        <v>0</v>
      </c>
      <c r="L254">
        <v>253927.6073124508</v>
      </c>
      <c r="M254">
        <v>887</v>
      </c>
      <c r="N254">
        <v>98</v>
      </c>
      <c r="O254">
        <v>0.110776269671612</v>
      </c>
    </row>
    <row r="255" spans="1:15" x14ac:dyDescent="0.25">
      <c r="A255" t="s">
        <v>592</v>
      </c>
      <c r="B255" t="s">
        <v>1147</v>
      </c>
      <c r="C255">
        <v>18574.073701818594</v>
      </c>
      <c r="D255">
        <v>4858.9427071680375</v>
      </c>
      <c r="E255">
        <v>10021.579169167746</v>
      </c>
      <c r="F255">
        <v>13819.317173260179</v>
      </c>
      <c r="G255">
        <v>47273.912751414551</v>
      </c>
      <c r="H255">
        <v>42102.932071450377</v>
      </c>
      <c r="I255">
        <v>5170.9806799641738</v>
      </c>
      <c r="J255">
        <v>323.03551423445316</v>
      </c>
      <c r="K255">
        <v>0</v>
      </c>
      <c r="L255">
        <v>41779.896557215921</v>
      </c>
      <c r="M255">
        <v>126</v>
      </c>
      <c r="N255">
        <v>23</v>
      </c>
      <c r="O255">
        <v>0.182539682539683</v>
      </c>
    </row>
    <row r="256" spans="1:15" x14ac:dyDescent="0.25">
      <c r="A256" t="s">
        <v>594</v>
      </c>
      <c r="B256" t="s">
        <v>1149</v>
      </c>
      <c r="C256">
        <v>17766.505280000398</v>
      </c>
      <c r="D256">
        <v>2823.8661751481432</v>
      </c>
      <c r="E256">
        <v>8636.9571597683425</v>
      </c>
      <c r="F256">
        <v>11909.984283705577</v>
      </c>
      <c r="G256">
        <v>41137.312898622462</v>
      </c>
      <c r="H256">
        <v>41137.312898622462</v>
      </c>
      <c r="I256">
        <v>0</v>
      </c>
      <c r="J256">
        <v>315.62678351898285</v>
      </c>
      <c r="K256">
        <v>0</v>
      </c>
      <c r="L256">
        <v>40821.686115103483</v>
      </c>
      <c r="M256">
        <v>158</v>
      </c>
      <c r="N256">
        <v>22</v>
      </c>
      <c r="O256">
        <v>0.139240506329114</v>
      </c>
    </row>
    <row r="257" spans="1:15" x14ac:dyDescent="0.25">
      <c r="A257" t="s">
        <v>227</v>
      </c>
      <c r="B257" t="s">
        <v>1151</v>
      </c>
      <c r="C257">
        <v>326257.64241455268</v>
      </c>
      <c r="D257">
        <v>0</v>
      </c>
      <c r="E257">
        <v>158605.94057029131</v>
      </c>
      <c r="F257">
        <v>218710.62048259337</v>
      </c>
      <c r="G257">
        <v>703574.2034674373</v>
      </c>
      <c r="H257">
        <v>626614.87428767874</v>
      </c>
      <c r="I257">
        <v>76959.329179758555</v>
      </c>
      <c r="J257">
        <v>4807.7140518138867</v>
      </c>
      <c r="K257">
        <v>0</v>
      </c>
      <c r="L257">
        <v>621807.16023586481</v>
      </c>
      <c r="M257">
        <v>5502</v>
      </c>
      <c r="N257">
        <v>404</v>
      </c>
      <c r="O257">
        <v>7.3427844420210803E-2</v>
      </c>
    </row>
    <row r="258" spans="1:15" x14ac:dyDescent="0.25">
      <c r="A258" t="s">
        <v>229</v>
      </c>
      <c r="B258" t="s">
        <v>1153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26</v>
      </c>
      <c r="N258">
        <v>5</v>
      </c>
      <c r="O258">
        <v>0.19230769230769201</v>
      </c>
    </row>
    <row r="259" spans="1:15" x14ac:dyDescent="0.25">
      <c r="A259" t="s">
        <v>596</v>
      </c>
      <c r="B259" t="s">
        <v>1155</v>
      </c>
      <c r="C259">
        <v>0</v>
      </c>
      <c r="D259">
        <v>1941.4144765062795</v>
      </c>
      <c r="E259">
        <v>0</v>
      </c>
      <c r="F259">
        <v>0</v>
      </c>
      <c r="G259">
        <v>1941.4144765062795</v>
      </c>
      <c r="H259">
        <v>1941.4144765062795</v>
      </c>
      <c r="I259">
        <v>0</v>
      </c>
      <c r="J259">
        <v>14.895537980493279</v>
      </c>
      <c r="K259">
        <v>0</v>
      </c>
      <c r="L259">
        <v>1926.5189385257861</v>
      </c>
      <c r="M259">
        <v>16</v>
      </c>
      <c r="N259">
        <v>6</v>
      </c>
      <c r="O259">
        <v>0.375</v>
      </c>
    </row>
    <row r="260" spans="1:15" x14ac:dyDescent="0.25">
      <c r="A260" t="s">
        <v>231</v>
      </c>
      <c r="B260" t="s">
        <v>1157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15</v>
      </c>
      <c r="N260">
        <v>2</v>
      </c>
      <c r="O260">
        <v>0.133333333333333</v>
      </c>
    </row>
    <row r="261" spans="1:15" x14ac:dyDescent="0.25">
      <c r="A261" t="s">
        <v>233</v>
      </c>
      <c r="B261" t="s">
        <v>1159</v>
      </c>
      <c r="C261">
        <v>212390.49493818646</v>
      </c>
      <c r="D261">
        <v>0</v>
      </c>
      <c r="E261">
        <v>103250.89695541245</v>
      </c>
      <c r="F261">
        <v>142378.44848248022</v>
      </c>
      <c r="G261">
        <v>458019.84037607908</v>
      </c>
      <c r="H261">
        <v>440919.58568507404</v>
      </c>
      <c r="I261">
        <v>17100.254691005044</v>
      </c>
      <c r="J261">
        <v>3382.9635631101864</v>
      </c>
      <c r="K261">
        <v>0</v>
      </c>
      <c r="L261">
        <v>437536.62212196382</v>
      </c>
      <c r="M261">
        <v>4019</v>
      </c>
      <c r="N261">
        <v>263</v>
      </c>
      <c r="O261">
        <v>6.5439163971137096E-2</v>
      </c>
    </row>
    <row r="262" spans="1:15" x14ac:dyDescent="0.25">
      <c r="A262" t="s">
        <v>598</v>
      </c>
      <c r="B262" t="s">
        <v>1161</v>
      </c>
      <c r="C262">
        <v>0</v>
      </c>
      <c r="D262">
        <v>2114.1971713514413</v>
      </c>
      <c r="E262">
        <v>0</v>
      </c>
      <c r="F262">
        <v>0</v>
      </c>
      <c r="G262">
        <v>2114.1971713514413</v>
      </c>
      <c r="H262">
        <v>2114.1971713514413</v>
      </c>
      <c r="I262">
        <v>0</v>
      </c>
      <c r="J262">
        <v>16.221216358079932</v>
      </c>
      <c r="K262">
        <v>0</v>
      </c>
      <c r="L262">
        <v>2097.9759549933615</v>
      </c>
      <c r="M262">
        <v>51</v>
      </c>
      <c r="N262">
        <v>9</v>
      </c>
      <c r="O262">
        <v>0.17647058823529399</v>
      </c>
    </row>
    <row r="263" spans="1:15" x14ac:dyDescent="0.25">
      <c r="A263" t="s">
        <v>600</v>
      </c>
      <c r="B263" t="s">
        <v>1163</v>
      </c>
      <c r="C263">
        <v>107513.5494432366</v>
      </c>
      <c r="D263">
        <v>24556.473082058084</v>
      </c>
      <c r="E263">
        <v>51036.565034994761</v>
      </c>
      <c r="F263">
        <v>70377.179858260206</v>
      </c>
      <c r="G263">
        <v>253483.76741854966</v>
      </c>
      <c r="H263">
        <v>253483.76741854966</v>
      </c>
      <c r="I263">
        <v>0</v>
      </c>
      <c r="J263">
        <v>1944.8588288145065</v>
      </c>
      <c r="K263">
        <v>0</v>
      </c>
      <c r="L263">
        <v>251538.90858973516</v>
      </c>
      <c r="M263">
        <v>921</v>
      </c>
      <c r="N263">
        <v>130</v>
      </c>
      <c r="O263">
        <v>0.14115092290988099</v>
      </c>
    </row>
    <row r="264" spans="1:15" x14ac:dyDescent="0.25">
      <c r="A264" t="s">
        <v>235</v>
      </c>
      <c r="B264" t="s">
        <v>1165</v>
      </c>
      <c r="C264">
        <v>204314.81072000455</v>
      </c>
      <c r="D264">
        <v>0</v>
      </c>
      <c r="E264">
        <v>99325.007337335948</v>
      </c>
      <c r="F264">
        <v>136964.81926261412</v>
      </c>
      <c r="G264">
        <v>440604.63731995464</v>
      </c>
      <c r="H264">
        <v>392409.8098880761</v>
      </c>
      <c r="I264">
        <v>48194.827431878541</v>
      </c>
      <c r="J264">
        <v>3010.7714235369144</v>
      </c>
      <c r="K264">
        <v>0</v>
      </c>
      <c r="L264">
        <v>389399.03846453916</v>
      </c>
      <c r="M264">
        <v>2532</v>
      </c>
      <c r="N264">
        <v>253</v>
      </c>
      <c r="O264">
        <v>9.9921011058451803E-2</v>
      </c>
    </row>
    <row r="265" spans="1:15" x14ac:dyDescent="0.25">
      <c r="A265" t="s">
        <v>76</v>
      </c>
      <c r="B265" t="s">
        <v>1166</v>
      </c>
      <c r="C265">
        <v>67585.094653551729</v>
      </c>
      <c r="D265">
        <v>17680.133505014775</v>
      </c>
      <c r="E265">
        <v>58868.059304588671</v>
      </c>
      <c r="F265">
        <v>81176.466220738337</v>
      </c>
      <c r="G265">
        <v>225309.7536838935</v>
      </c>
      <c r="H265">
        <v>200664.60976628881</v>
      </c>
      <c r="I265">
        <v>24645.143917604699</v>
      </c>
      <c r="J265">
        <v>1539.6028783578247</v>
      </c>
      <c r="K265">
        <v>0</v>
      </c>
      <c r="L265">
        <v>199125.00688793097</v>
      </c>
      <c r="M265">
        <v>637</v>
      </c>
      <c r="N265">
        <v>84</v>
      </c>
      <c r="O265">
        <v>0.131454072818464</v>
      </c>
    </row>
    <row r="266" spans="1:15" x14ac:dyDescent="0.25">
      <c r="A266" t="s">
        <v>84</v>
      </c>
      <c r="B266" t="s">
        <v>1167</v>
      </c>
      <c r="C266">
        <v>21632.18368172718</v>
      </c>
      <c r="D266">
        <v>3369.022043022761</v>
      </c>
      <c r="E266">
        <v>15303.623715585762</v>
      </c>
      <c r="F266">
        <v>20726.41462526676</v>
      </c>
      <c r="G266">
        <v>61031.244065602456</v>
      </c>
      <c r="H266">
        <v>61031.244065602456</v>
      </c>
      <c r="I266">
        <v>0</v>
      </c>
      <c r="J266">
        <v>468.26333324345944</v>
      </c>
      <c r="K266">
        <v>0</v>
      </c>
      <c r="L266">
        <v>60562.980732358999</v>
      </c>
      <c r="M266">
        <v>188</v>
      </c>
      <c r="N266">
        <v>22</v>
      </c>
      <c r="O266">
        <v>0.11528992700348401</v>
      </c>
    </row>
    <row r="267" spans="1:15" x14ac:dyDescent="0.25">
      <c r="A267" t="s">
        <v>77</v>
      </c>
      <c r="B267" t="s">
        <v>1168</v>
      </c>
      <c r="C267">
        <v>27034.037861420697</v>
      </c>
      <c r="D267">
        <v>0</v>
      </c>
      <c r="E267">
        <v>23547.223721835475</v>
      </c>
      <c r="F267">
        <v>32470.586488295328</v>
      </c>
      <c r="G267">
        <v>83051.848071551503</v>
      </c>
      <c r="H267">
        <v>73967.355656642132</v>
      </c>
      <c r="I267">
        <v>9084.4924149093713</v>
      </c>
      <c r="J267">
        <v>567.51588536771862</v>
      </c>
      <c r="K267">
        <v>0</v>
      </c>
      <c r="L267">
        <v>73399.839771274419</v>
      </c>
      <c r="M267">
        <v>329</v>
      </c>
      <c r="N267">
        <v>33</v>
      </c>
      <c r="O267">
        <v>0.101657816312946</v>
      </c>
    </row>
    <row r="268" spans="1:15" x14ac:dyDescent="0.25">
      <c r="A268" t="s">
        <v>602</v>
      </c>
      <c r="B268" t="s">
        <v>1170</v>
      </c>
      <c r="C268">
        <v>21804.347389091385</v>
      </c>
      <c r="D268">
        <v>5703.9762214581324</v>
      </c>
      <c r="E268">
        <v>13737.620172434028</v>
      </c>
      <c r="F268">
        <v>18943.574377251447</v>
      </c>
      <c r="G268">
        <v>60189.518160234991</v>
      </c>
      <c r="H268">
        <v>53605.784819194487</v>
      </c>
      <c r="I268">
        <v>6583.7333410405045</v>
      </c>
      <c r="J268">
        <v>411.29136174228933</v>
      </c>
      <c r="K268">
        <v>0</v>
      </c>
      <c r="L268">
        <v>53194.493457452198</v>
      </c>
      <c r="M268">
        <v>115</v>
      </c>
      <c r="N268">
        <v>27</v>
      </c>
      <c r="O268">
        <v>0.23478260869565201</v>
      </c>
    </row>
    <row r="269" spans="1:15" x14ac:dyDescent="0.25">
      <c r="A269" t="s">
        <v>237</v>
      </c>
      <c r="B269" t="s">
        <v>1172</v>
      </c>
      <c r="C269">
        <v>526534.61102546635</v>
      </c>
      <c r="D269">
        <v>0</v>
      </c>
      <c r="E269">
        <v>255968.00309858908</v>
      </c>
      <c r="F269">
        <v>352968.62513527437</v>
      </c>
      <c r="G269">
        <v>1135471.2392593299</v>
      </c>
      <c r="H269">
        <v>1011269.5495929868</v>
      </c>
      <c r="I269">
        <v>124201.68966634304</v>
      </c>
      <c r="J269">
        <v>7758.9840638184523</v>
      </c>
      <c r="K269">
        <v>0</v>
      </c>
      <c r="L269">
        <v>1003510.5655291684</v>
      </c>
      <c r="M269">
        <v>10792</v>
      </c>
      <c r="N269">
        <v>652</v>
      </c>
      <c r="O269">
        <v>6.0415122312824303E-2</v>
      </c>
    </row>
    <row r="270" spans="1:15" x14ac:dyDescent="0.25">
      <c r="A270" t="s">
        <v>604</v>
      </c>
      <c r="B270" t="s">
        <v>1174</v>
      </c>
      <c r="C270">
        <v>1049838.9483636594</v>
      </c>
      <c r="D270">
        <v>274635.89214428031</v>
      </c>
      <c r="E270">
        <v>629908.98922037741</v>
      </c>
      <c r="F270">
        <v>868616.80832752748</v>
      </c>
      <c r="G270">
        <v>2823000.6380558442</v>
      </c>
      <c r="H270">
        <v>2514211.2675699731</v>
      </c>
      <c r="I270">
        <v>308789.3704858711</v>
      </c>
      <c r="J270">
        <v>19290.331807182003</v>
      </c>
      <c r="K270">
        <v>0</v>
      </c>
      <c r="L270">
        <v>2494920.935762791</v>
      </c>
      <c r="M270">
        <v>6305</v>
      </c>
      <c r="N270">
        <v>1300</v>
      </c>
      <c r="O270">
        <v>0.20618556701030899</v>
      </c>
    </row>
    <row r="271" spans="1:15" x14ac:dyDescent="0.25">
      <c r="A271" t="s">
        <v>70</v>
      </c>
      <c r="B271" t="s">
        <v>1175</v>
      </c>
      <c r="C271">
        <v>14178.179847694972</v>
      </c>
      <c r="D271">
        <v>3708.9851519825306</v>
      </c>
      <c r="E271">
        <v>7741.8923139097406</v>
      </c>
      <c r="F271">
        <v>10675.729204066023</v>
      </c>
      <c r="G271">
        <v>36304.786517653265</v>
      </c>
      <c r="H271">
        <v>32333.646014429498</v>
      </c>
      <c r="I271">
        <v>3971.1405032237672</v>
      </c>
      <c r="J271">
        <v>248.08048877974969</v>
      </c>
      <c r="K271">
        <v>0</v>
      </c>
      <c r="L271">
        <v>32085.565525649748</v>
      </c>
      <c r="M271">
        <v>97</v>
      </c>
      <c r="N271">
        <v>18</v>
      </c>
      <c r="O271">
        <v>0.18184769729585201</v>
      </c>
    </row>
    <row r="272" spans="1:15" x14ac:dyDescent="0.25">
      <c r="A272" t="s">
        <v>65</v>
      </c>
      <c r="B272" t="s">
        <v>1176</v>
      </c>
      <c r="C272">
        <v>3397829.6303846203</v>
      </c>
      <c r="D272">
        <v>496384.58709661086</v>
      </c>
      <c r="E272">
        <v>2733119.3330097208</v>
      </c>
      <c r="F272">
        <v>3768851.4252756499</v>
      </c>
      <c r="G272">
        <v>10396184.975766603</v>
      </c>
      <c r="H272">
        <v>10396184.975766603</v>
      </c>
      <c r="I272">
        <v>0</v>
      </c>
      <c r="J272">
        <v>79764.918842802363</v>
      </c>
      <c r="K272">
        <v>0</v>
      </c>
      <c r="L272">
        <v>10316420.056923801</v>
      </c>
      <c r="M272">
        <v>33194</v>
      </c>
      <c r="N272">
        <v>4207</v>
      </c>
      <c r="O272">
        <v>0.12675496089018401</v>
      </c>
    </row>
    <row r="273" spans="1:15" x14ac:dyDescent="0.25">
      <c r="A273" t="s">
        <v>606</v>
      </c>
      <c r="B273" t="s">
        <v>1178</v>
      </c>
      <c r="C273">
        <v>59760.063214546775</v>
      </c>
      <c r="D273">
        <v>15633.120014366734</v>
      </c>
      <c r="E273">
        <v>34738.489468375265</v>
      </c>
      <c r="F273">
        <v>47902.850037885109</v>
      </c>
      <c r="G273">
        <v>158034.52273517387</v>
      </c>
      <c r="H273">
        <v>140748.17142069567</v>
      </c>
      <c r="I273">
        <v>17286.351314478205</v>
      </c>
      <c r="J273">
        <v>1079.8929123341013</v>
      </c>
      <c r="K273">
        <v>0</v>
      </c>
      <c r="L273">
        <v>139668.27850836157</v>
      </c>
      <c r="M273">
        <v>351</v>
      </c>
      <c r="N273">
        <v>74</v>
      </c>
      <c r="O273">
        <v>0.210826210826211</v>
      </c>
    </row>
    <row r="274" spans="1:15" x14ac:dyDescent="0.25">
      <c r="A274" t="s">
        <v>239</v>
      </c>
      <c r="B274" t="s">
        <v>1180</v>
      </c>
      <c r="C274">
        <v>363405.78981818986</v>
      </c>
      <c r="D274">
        <v>0</v>
      </c>
      <c r="E274">
        <v>0</v>
      </c>
      <c r="F274">
        <v>0</v>
      </c>
      <c r="G274">
        <v>363405.78981818986</v>
      </c>
      <c r="H274">
        <v>323655.23377645941</v>
      </c>
      <c r="I274">
        <v>39750.556041730451</v>
      </c>
      <c r="J274">
        <v>2483.2506843043975</v>
      </c>
      <c r="K274">
        <v>0</v>
      </c>
      <c r="L274">
        <v>321171.98309215502</v>
      </c>
      <c r="M274">
        <v>9264</v>
      </c>
      <c r="N274">
        <v>450</v>
      </c>
      <c r="O274">
        <v>4.8575129533678797E-2</v>
      </c>
    </row>
    <row r="275" spans="1:15" x14ac:dyDescent="0.25">
      <c r="A275" t="s">
        <v>241</v>
      </c>
      <c r="B275" t="s">
        <v>1182</v>
      </c>
      <c r="C275">
        <v>21804.347389091385</v>
      </c>
      <c r="D275">
        <v>5703.9762214581324</v>
      </c>
      <c r="E275">
        <v>11026.489134706795</v>
      </c>
      <c r="F275">
        <v>15205.043844669324</v>
      </c>
      <c r="G275">
        <v>53739.856589925635</v>
      </c>
      <c r="H275">
        <v>47861.609074603657</v>
      </c>
      <c r="I275">
        <v>5878.2475153219784</v>
      </c>
      <c r="J275">
        <v>367.21906857377581</v>
      </c>
      <c r="K275">
        <v>0</v>
      </c>
      <c r="L275">
        <v>47494.390006029884</v>
      </c>
      <c r="M275">
        <v>164</v>
      </c>
      <c r="N275">
        <v>27</v>
      </c>
      <c r="O275">
        <v>0.16463414634146301</v>
      </c>
    </row>
    <row r="276" spans="1:15" x14ac:dyDescent="0.25">
      <c r="A276" t="s">
        <v>308</v>
      </c>
      <c r="B276" t="s">
        <v>1184</v>
      </c>
      <c r="C276">
        <v>173627.21069091294</v>
      </c>
      <c r="D276">
        <v>0</v>
      </c>
      <c r="E276">
        <v>84406.626788645168</v>
      </c>
      <c r="F276">
        <v>116393.0282271227</v>
      </c>
      <c r="G276">
        <v>374426.86570668081</v>
      </c>
      <c r="H276">
        <v>333470.78705903701</v>
      </c>
      <c r="I276">
        <v>40956.078647643793</v>
      </c>
      <c r="J276">
        <v>2558.5606958910539</v>
      </c>
      <c r="K276">
        <v>0</v>
      </c>
      <c r="L276">
        <v>330912.22636314598</v>
      </c>
      <c r="M276">
        <v>1538</v>
      </c>
      <c r="N276">
        <v>215</v>
      </c>
      <c r="O276">
        <v>0.13979193758127401</v>
      </c>
    </row>
    <row r="277" spans="1:15" x14ac:dyDescent="0.25">
      <c r="A277" t="s">
        <v>243</v>
      </c>
      <c r="B277" t="s">
        <v>1186</v>
      </c>
      <c r="C277">
        <v>25034.62107636419</v>
      </c>
      <c r="D277">
        <v>6549.0097357482255</v>
      </c>
      <c r="E277">
        <v>12170.25781603721</v>
      </c>
      <c r="F277">
        <v>16782.250581585125</v>
      </c>
      <c r="G277">
        <v>60536.139209734749</v>
      </c>
      <c r="H277">
        <v>53914.491284393654</v>
      </c>
      <c r="I277">
        <v>6621.6479253410944</v>
      </c>
      <c r="J277">
        <v>413.65991772703359</v>
      </c>
      <c r="K277">
        <v>0</v>
      </c>
      <c r="L277">
        <v>53500.831366666622</v>
      </c>
      <c r="M277">
        <v>201</v>
      </c>
      <c r="N277">
        <v>31</v>
      </c>
      <c r="O277">
        <v>0.154228855721393</v>
      </c>
    </row>
    <row r="278" spans="1:15" x14ac:dyDescent="0.25">
      <c r="A278" t="s">
        <v>245</v>
      </c>
      <c r="B278" t="s">
        <v>1188</v>
      </c>
      <c r="C278">
        <v>82171.069931616512</v>
      </c>
      <c r="D278">
        <v>0</v>
      </c>
      <c r="E278">
        <v>38866.30721895754</v>
      </c>
      <c r="F278">
        <v>53594.929276675095</v>
      </c>
      <c r="G278">
        <v>174632.30642724916</v>
      </c>
      <c r="H278">
        <v>174632.30642724916</v>
      </c>
      <c r="I278">
        <v>0</v>
      </c>
      <c r="J278">
        <v>1339.8695561853233</v>
      </c>
      <c r="K278">
        <v>0</v>
      </c>
      <c r="L278">
        <v>173292.43687106384</v>
      </c>
      <c r="M278">
        <v>851</v>
      </c>
      <c r="N278">
        <v>99</v>
      </c>
      <c r="O278">
        <v>0.116333725029377</v>
      </c>
    </row>
    <row r="279" spans="1:15" x14ac:dyDescent="0.25">
      <c r="A279" t="s">
        <v>608</v>
      </c>
      <c r="B279" t="s">
        <v>1190</v>
      </c>
      <c r="C279">
        <v>280529.05127836089</v>
      </c>
      <c r="D279">
        <v>72939.802411624754</v>
      </c>
      <c r="E279">
        <v>211841.42636701601</v>
      </c>
      <c r="F279">
        <v>286906.76922610379</v>
      </c>
      <c r="G279">
        <v>852217.04928310541</v>
      </c>
      <c r="H279">
        <v>841683.98262079107</v>
      </c>
      <c r="I279">
        <v>10533.066662314348</v>
      </c>
      <c r="J279">
        <v>6457.8357081496124</v>
      </c>
      <c r="K279">
        <v>0</v>
      </c>
      <c r="L279">
        <v>835226.14691264147</v>
      </c>
      <c r="M279">
        <v>1132</v>
      </c>
      <c r="N279">
        <v>281</v>
      </c>
      <c r="O279">
        <v>0.248233215547703</v>
      </c>
    </row>
    <row r="280" spans="1:15" x14ac:dyDescent="0.25">
      <c r="A280" t="s">
        <v>610</v>
      </c>
      <c r="B280" t="s">
        <v>1192</v>
      </c>
      <c r="C280">
        <v>633941.21112728666</v>
      </c>
      <c r="D280">
        <v>165837.82717943087</v>
      </c>
      <c r="E280">
        <v>378824.76336250355</v>
      </c>
      <c r="F280">
        <v>522382.69733954716</v>
      </c>
      <c r="G280">
        <v>1700986.4990087682</v>
      </c>
      <c r="H280">
        <v>1700986.4990087682</v>
      </c>
      <c r="I280">
        <v>0</v>
      </c>
      <c r="J280">
        <v>13050.849937972762</v>
      </c>
      <c r="K280">
        <v>0</v>
      </c>
      <c r="L280">
        <v>1687935.6490707954</v>
      </c>
      <c r="M280">
        <v>3529</v>
      </c>
      <c r="N280">
        <v>785</v>
      </c>
      <c r="O280">
        <v>0.22244261830546899</v>
      </c>
    </row>
    <row r="281" spans="1:15" x14ac:dyDescent="0.25">
      <c r="A281" t="s">
        <v>247</v>
      </c>
      <c r="B281" t="s">
        <v>1194</v>
      </c>
      <c r="C281">
        <v>16151.368436363995</v>
      </c>
      <c r="D281">
        <v>0</v>
      </c>
      <c r="E281">
        <v>7851.7792361530355</v>
      </c>
      <c r="F281">
        <v>10827.258439732346</v>
      </c>
      <c r="G281">
        <v>34830.406112249373</v>
      </c>
      <c r="H281">
        <v>31020.538331073203</v>
      </c>
      <c r="I281">
        <v>3809.86778117617</v>
      </c>
      <c r="J281">
        <v>238.0056461294003</v>
      </c>
      <c r="K281">
        <v>0</v>
      </c>
      <c r="L281">
        <v>30782.532684943802</v>
      </c>
      <c r="M281">
        <v>226</v>
      </c>
      <c r="N281">
        <v>20</v>
      </c>
      <c r="O281">
        <v>8.8495575221238895E-2</v>
      </c>
    </row>
    <row r="282" spans="1:15" x14ac:dyDescent="0.25">
      <c r="A282" t="s">
        <v>249</v>
      </c>
      <c r="B282" t="s">
        <v>1196</v>
      </c>
      <c r="C282">
        <v>70258.452698183377</v>
      </c>
      <c r="D282">
        <v>0</v>
      </c>
      <c r="E282">
        <v>34155.239677265716</v>
      </c>
      <c r="F282">
        <v>47098.574212835694</v>
      </c>
      <c r="G282">
        <v>151512.26658828478</v>
      </c>
      <c r="H282">
        <v>134939.34174016846</v>
      </c>
      <c r="I282">
        <v>16572.924848116323</v>
      </c>
      <c r="J282">
        <v>1035.3245606628914</v>
      </c>
      <c r="K282">
        <v>0</v>
      </c>
      <c r="L282">
        <v>133904.01717950558</v>
      </c>
      <c r="M282">
        <v>772</v>
      </c>
      <c r="N282">
        <v>87</v>
      </c>
      <c r="O282">
        <v>0.112694300518135</v>
      </c>
    </row>
    <row r="283" spans="1:15" x14ac:dyDescent="0.25">
      <c r="A283" t="s">
        <v>612</v>
      </c>
      <c r="B283" t="s">
        <v>1198</v>
      </c>
      <c r="C283">
        <v>38763.284247273594</v>
      </c>
      <c r="D283">
        <v>10140.402171481128</v>
      </c>
      <c r="E283">
        <v>24693.708291564672</v>
      </c>
      <c r="F283">
        <v>34051.538315935511</v>
      </c>
      <c r="G283">
        <v>107648.9330262549</v>
      </c>
      <c r="H283">
        <v>95873.928155712114</v>
      </c>
      <c r="I283">
        <v>11775.004870542791</v>
      </c>
      <c r="J283">
        <v>735.59446242126262</v>
      </c>
      <c r="K283">
        <v>0</v>
      </c>
      <c r="L283">
        <v>95138.333693290857</v>
      </c>
      <c r="M283">
        <v>202</v>
      </c>
      <c r="N283">
        <v>48</v>
      </c>
      <c r="O283">
        <v>0.237623762376238</v>
      </c>
    </row>
    <row r="284" spans="1:15" x14ac:dyDescent="0.25">
      <c r="A284" t="s">
        <v>63</v>
      </c>
      <c r="B284" t="s">
        <v>1199</v>
      </c>
      <c r="C284">
        <v>440716.52628151356</v>
      </c>
      <c r="D284">
        <v>114772.6863551032</v>
      </c>
      <c r="E284">
        <v>270631.4223767363</v>
      </c>
      <c r="F284">
        <v>373188.83578557288</v>
      </c>
      <c r="G284">
        <v>1199309.470798926</v>
      </c>
      <c r="H284">
        <v>1199309.470798926</v>
      </c>
      <c r="I284">
        <v>0</v>
      </c>
      <c r="J284">
        <v>9201.7237889350381</v>
      </c>
      <c r="K284">
        <v>0</v>
      </c>
      <c r="L284">
        <v>1190107.747009991</v>
      </c>
      <c r="M284">
        <v>2245</v>
      </c>
      <c r="N284">
        <v>543</v>
      </c>
      <c r="O284">
        <v>0.242012970441602</v>
      </c>
    </row>
    <row r="285" spans="1:15" x14ac:dyDescent="0.25">
      <c r="A285" t="s">
        <v>251</v>
      </c>
      <c r="B285" t="s">
        <v>1201</v>
      </c>
      <c r="C285">
        <v>595985.49530183128</v>
      </c>
      <c r="D285">
        <v>0</v>
      </c>
      <c r="E285">
        <v>298956.49441652704</v>
      </c>
      <c r="F285">
        <v>412247.8650928089</v>
      </c>
      <c r="G285">
        <v>1307189.8548111671</v>
      </c>
      <c r="H285">
        <v>1164205.0014139528</v>
      </c>
      <c r="I285">
        <v>142984.85339721432</v>
      </c>
      <c r="J285">
        <v>8932.3841073076874</v>
      </c>
      <c r="K285">
        <v>0</v>
      </c>
      <c r="L285">
        <v>1155272.617306645</v>
      </c>
      <c r="M285">
        <v>6997</v>
      </c>
      <c r="N285">
        <v>738</v>
      </c>
      <c r="O285">
        <v>0.105473774474775</v>
      </c>
    </row>
    <row r="286" spans="1:15" x14ac:dyDescent="0.25">
      <c r="A286" t="s">
        <v>614</v>
      </c>
      <c r="B286" t="s">
        <v>1203</v>
      </c>
      <c r="C286">
        <v>127595.81064727558</v>
      </c>
      <c r="D286">
        <v>33378.823814458701</v>
      </c>
      <c r="E286">
        <v>70796.529325730327</v>
      </c>
      <c r="F286">
        <v>97625.302061005554</v>
      </c>
      <c r="G286">
        <v>329396.46584847016</v>
      </c>
      <c r="H286">
        <v>329396.46584847016</v>
      </c>
      <c r="I286">
        <v>0</v>
      </c>
      <c r="J286">
        <v>2527.3003920913507</v>
      </c>
      <c r="K286">
        <v>0</v>
      </c>
      <c r="L286">
        <v>326869.16545637883</v>
      </c>
      <c r="M286">
        <v>823</v>
      </c>
      <c r="N286">
        <v>158</v>
      </c>
      <c r="O286">
        <v>0.19198055893074101</v>
      </c>
    </row>
    <row r="287" spans="1:15" x14ac:dyDescent="0.25">
      <c r="A287" t="s">
        <v>253</v>
      </c>
      <c r="B287" t="s">
        <v>1205</v>
      </c>
      <c r="C287">
        <v>377942.02141091734</v>
      </c>
      <c r="D287">
        <v>0</v>
      </c>
      <c r="E287">
        <v>183731.63412598099</v>
      </c>
      <c r="F287">
        <v>253357.8474897368</v>
      </c>
      <c r="G287">
        <v>815031.50302663515</v>
      </c>
      <c r="H287">
        <v>800616.48563626979</v>
      </c>
      <c r="I287">
        <v>14415.017390365363</v>
      </c>
      <c r="J287">
        <v>6142.7445885049437</v>
      </c>
      <c r="K287">
        <v>0</v>
      </c>
      <c r="L287">
        <v>794473.7410477649</v>
      </c>
      <c r="M287">
        <v>5781</v>
      </c>
      <c r="N287">
        <v>468</v>
      </c>
      <c r="O287">
        <v>8.0954852101712493E-2</v>
      </c>
    </row>
    <row r="288" spans="1:15" x14ac:dyDescent="0.25">
      <c r="A288" t="s">
        <v>616</v>
      </c>
      <c r="B288" t="s">
        <v>1207</v>
      </c>
      <c r="C288">
        <v>58144.926370910354</v>
      </c>
      <c r="D288">
        <v>15210.60325722169</v>
      </c>
      <c r="E288">
        <v>38372.263454694723</v>
      </c>
      <c r="F288">
        <v>52913.664641574069</v>
      </c>
      <c r="G288">
        <v>164641.45772440085</v>
      </c>
      <c r="H288">
        <v>146632.41748500286</v>
      </c>
      <c r="I288">
        <v>18009.040239397989</v>
      </c>
      <c r="J288">
        <v>1125.0398975853841</v>
      </c>
      <c r="K288">
        <v>0</v>
      </c>
      <c r="L288">
        <v>145507.37758741749</v>
      </c>
      <c r="M288">
        <v>291</v>
      </c>
      <c r="N288">
        <v>72</v>
      </c>
      <c r="O288">
        <v>0.247422680412371</v>
      </c>
    </row>
    <row r="289" spans="1:15" x14ac:dyDescent="0.25">
      <c r="A289" t="s">
        <v>66</v>
      </c>
      <c r="B289" t="s">
        <v>1208</v>
      </c>
      <c r="C289">
        <v>2622658.4656775868</v>
      </c>
      <c r="D289">
        <v>360105.88823362079</v>
      </c>
      <c r="E289">
        <v>1975135.3190014048</v>
      </c>
      <c r="F289">
        <v>2723624.7873353446</v>
      </c>
      <c r="G289">
        <v>7681524.4602479571</v>
      </c>
      <c r="H289">
        <v>6841293.2996608559</v>
      </c>
      <c r="I289">
        <v>840231.16058710124</v>
      </c>
      <c r="J289">
        <v>52489.947620138111</v>
      </c>
      <c r="K289">
        <v>0</v>
      </c>
      <c r="L289">
        <v>6788803.3520407174</v>
      </c>
      <c r="M289">
        <v>25119</v>
      </c>
      <c r="N289">
        <v>3248</v>
      </c>
      <c r="O289">
        <v>0.12928874832930501</v>
      </c>
    </row>
    <row r="290" spans="1:15" x14ac:dyDescent="0.25">
      <c r="A290" t="s">
        <v>255</v>
      </c>
      <c r="B290" t="s">
        <v>1210</v>
      </c>
      <c r="C290">
        <v>121942.83169454812</v>
      </c>
      <c r="D290">
        <v>0</v>
      </c>
      <c r="E290">
        <v>59280.933232955424</v>
      </c>
      <c r="F290">
        <v>81745.80121997917</v>
      </c>
      <c r="G290">
        <v>262969.56614748272</v>
      </c>
      <c r="H290">
        <v>234205.06439960265</v>
      </c>
      <c r="I290">
        <v>28764.501747880073</v>
      </c>
      <c r="J290">
        <v>1796.9426282769718</v>
      </c>
      <c r="K290">
        <v>0</v>
      </c>
      <c r="L290">
        <v>232408.12177132568</v>
      </c>
      <c r="M290">
        <v>1443</v>
      </c>
      <c r="N290">
        <v>151</v>
      </c>
      <c r="O290">
        <v>0.104643104643105</v>
      </c>
    </row>
    <row r="291" spans="1:15" x14ac:dyDescent="0.25">
      <c r="A291" t="s">
        <v>618</v>
      </c>
      <c r="B291" t="s">
        <v>1212</v>
      </c>
      <c r="C291">
        <v>74296.294807274375</v>
      </c>
      <c r="D291">
        <v>19435.77082867215</v>
      </c>
      <c r="E291">
        <v>40682.678939104924</v>
      </c>
      <c r="F291">
        <v>56099.626039684495</v>
      </c>
      <c r="G291">
        <v>190514.37061473593</v>
      </c>
      <c r="H291">
        <v>169675.26353924099</v>
      </c>
      <c r="I291">
        <v>20839.107075494947</v>
      </c>
      <c r="J291">
        <v>1301.8365542154725</v>
      </c>
      <c r="K291">
        <v>0</v>
      </c>
      <c r="L291">
        <v>168373.42698502552</v>
      </c>
      <c r="M291">
        <v>491</v>
      </c>
      <c r="N291">
        <v>92</v>
      </c>
      <c r="O291">
        <v>0.18737270875763701</v>
      </c>
    </row>
    <row r="292" spans="1:15" x14ac:dyDescent="0.25">
      <c r="A292" t="s">
        <v>620</v>
      </c>
      <c r="B292" t="s">
        <v>1214</v>
      </c>
      <c r="C292">
        <v>271855.68930646963</v>
      </c>
      <c r="D292">
        <v>70684.658762183215</v>
      </c>
      <c r="E292">
        <v>123563.65153690509</v>
      </c>
      <c r="F292">
        <v>167348.04265721905</v>
      </c>
      <c r="G292">
        <v>633452.04226277699</v>
      </c>
      <c r="H292">
        <v>633452.04226277699</v>
      </c>
      <c r="I292">
        <v>0</v>
      </c>
      <c r="J292">
        <v>4860.1723478060758</v>
      </c>
      <c r="K292">
        <v>0</v>
      </c>
      <c r="L292">
        <v>628591.86991497094</v>
      </c>
      <c r="M292">
        <v>2046</v>
      </c>
      <c r="N292">
        <v>251</v>
      </c>
      <c r="O292">
        <v>0.122678396871945</v>
      </c>
    </row>
    <row r="293" spans="1:15" x14ac:dyDescent="0.25">
      <c r="A293" t="s">
        <v>622</v>
      </c>
      <c r="B293" t="s">
        <v>1216</v>
      </c>
      <c r="C293">
        <v>30687.600029091576</v>
      </c>
      <c r="D293">
        <v>6414.0564797406378</v>
      </c>
      <c r="E293">
        <v>14918.380548690768</v>
      </c>
      <c r="F293">
        <v>20571.791035491453</v>
      </c>
      <c r="G293">
        <v>72591.828093014439</v>
      </c>
      <c r="H293">
        <v>68295.822182766162</v>
      </c>
      <c r="I293">
        <v>4296.0059102482774</v>
      </c>
      <c r="J293">
        <v>524.00094134618882</v>
      </c>
      <c r="K293">
        <v>0</v>
      </c>
      <c r="L293">
        <v>67771.821241419966</v>
      </c>
      <c r="M293">
        <v>283</v>
      </c>
      <c r="N293">
        <v>38</v>
      </c>
      <c r="O293">
        <v>0.13427561837455801</v>
      </c>
    </row>
    <row r="294" spans="1:15" x14ac:dyDescent="0.25">
      <c r="A294" t="s">
        <v>624</v>
      </c>
      <c r="B294" t="s">
        <v>1218</v>
      </c>
      <c r="C294">
        <v>684010.45328001503</v>
      </c>
      <c r="D294">
        <v>89834.242696900357</v>
      </c>
      <c r="E294">
        <v>363144.78967207798</v>
      </c>
      <c r="F294">
        <v>500760.70283762086</v>
      </c>
      <c r="G294">
        <v>1637750.1884866143</v>
      </c>
      <c r="H294">
        <v>1527292.8969097338</v>
      </c>
      <c r="I294">
        <v>110457.2915768805</v>
      </c>
      <c r="J294">
        <v>11718.182607866715</v>
      </c>
      <c r="K294">
        <v>0</v>
      </c>
      <c r="L294">
        <v>1515574.7143018669</v>
      </c>
      <c r="M294">
        <v>6121</v>
      </c>
      <c r="N294">
        <v>847</v>
      </c>
      <c r="O294">
        <v>0.13837608233948701</v>
      </c>
    </row>
    <row r="295" spans="1:15" x14ac:dyDescent="0.25">
      <c r="A295" t="s">
        <v>625</v>
      </c>
      <c r="B295" t="s">
        <v>1220</v>
      </c>
      <c r="C295">
        <v>701776.95856001531</v>
      </c>
      <c r="D295">
        <v>183583.53097952288</v>
      </c>
      <c r="E295">
        <v>459048.94364653085</v>
      </c>
      <c r="F295">
        <v>633008.31567728543</v>
      </c>
      <c r="G295">
        <v>1977417.7488633546</v>
      </c>
      <c r="H295">
        <v>1761121.0985446291</v>
      </c>
      <c r="I295">
        <v>216296.6503187255</v>
      </c>
      <c r="J295">
        <v>13512.233749707861</v>
      </c>
      <c r="K295">
        <v>0</v>
      </c>
      <c r="L295">
        <v>1747608.8647949211</v>
      </c>
      <c r="M295">
        <v>3549</v>
      </c>
      <c r="N295">
        <v>869</v>
      </c>
      <c r="O295">
        <v>0.244857706396168</v>
      </c>
    </row>
    <row r="296" spans="1:15" x14ac:dyDescent="0.25">
      <c r="A296" t="s">
        <v>627</v>
      </c>
      <c r="B296" t="s">
        <v>1222</v>
      </c>
      <c r="C296">
        <v>152913.13630714122</v>
      </c>
      <c r="D296">
        <v>38836.894137223666</v>
      </c>
      <c r="E296">
        <v>73591.811567493729</v>
      </c>
      <c r="F296">
        <v>96971.354562768945</v>
      </c>
      <c r="G296">
        <v>362313.19657462754</v>
      </c>
      <c r="H296">
        <v>362313.19657462754</v>
      </c>
      <c r="I296">
        <v>0</v>
      </c>
      <c r="J296">
        <v>2779.8546089567267</v>
      </c>
      <c r="K296">
        <v>0</v>
      </c>
      <c r="L296">
        <v>359533.34196567081</v>
      </c>
      <c r="M296">
        <v>880</v>
      </c>
      <c r="N296">
        <v>125</v>
      </c>
      <c r="O296">
        <v>0.142045454545455</v>
      </c>
    </row>
    <row r="297" spans="1:15" x14ac:dyDescent="0.25">
      <c r="A297" t="s">
        <v>257</v>
      </c>
      <c r="B297" t="s">
        <v>1224</v>
      </c>
      <c r="C297">
        <v>252768.91602909641</v>
      </c>
      <c r="D297">
        <v>0</v>
      </c>
      <c r="E297">
        <v>122880.34504579504</v>
      </c>
      <c r="F297">
        <v>169446.59458181119</v>
      </c>
      <c r="G297">
        <v>545095.85565670265</v>
      </c>
      <c r="H297">
        <v>485471.42488129559</v>
      </c>
      <c r="I297">
        <v>59624.430775407061</v>
      </c>
      <c r="J297">
        <v>3724.7883619251143</v>
      </c>
      <c r="K297">
        <v>0</v>
      </c>
      <c r="L297">
        <v>481746.63651937048</v>
      </c>
      <c r="M297">
        <v>3813</v>
      </c>
      <c r="N297">
        <v>313</v>
      </c>
      <c r="O297">
        <v>8.20875950694991E-2</v>
      </c>
    </row>
    <row r="298" spans="1:15" x14ac:dyDescent="0.25">
      <c r="A298" t="s">
        <v>629</v>
      </c>
      <c r="B298" t="s">
        <v>1226</v>
      </c>
      <c r="C298">
        <v>0</v>
      </c>
      <c r="D298">
        <v>2139.3204397623217</v>
      </c>
      <c r="E298">
        <v>0</v>
      </c>
      <c r="F298">
        <v>0</v>
      </c>
      <c r="G298">
        <v>2139.3204397623217</v>
      </c>
      <c r="H298">
        <v>2139.3204397623217</v>
      </c>
      <c r="I298">
        <v>0</v>
      </c>
      <c r="J298">
        <v>16.413975093186227</v>
      </c>
      <c r="K298">
        <v>0</v>
      </c>
      <c r="L298">
        <v>2122.9064646691354</v>
      </c>
      <c r="M298">
        <v>67</v>
      </c>
      <c r="N298">
        <v>9</v>
      </c>
      <c r="O298">
        <v>0.134328358208955</v>
      </c>
    </row>
    <row r="299" spans="1:15" x14ac:dyDescent="0.25">
      <c r="A299" t="s">
        <v>631</v>
      </c>
      <c r="B299" t="s">
        <v>1228</v>
      </c>
      <c r="C299">
        <v>41993.557934546356</v>
      </c>
      <c r="D299">
        <v>10985.435685771216</v>
      </c>
      <c r="E299">
        <v>20414.626013997909</v>
      </c>
      <c r="F299">
        <v>28150.871943304097</v>
      </c>
      <c r="G299">
        <v>101544.49157761958</v>
      </c>
      <c r="H299">
        <v>90437.211186724846</v>
      </c>
      <c r="I299">
        <v>11107.280390894739</v>
      </c>
      <c r="J299">
        <v>693.88115231631446</v>
      </c>
      <c r="K299">
        <v>0</v>
      </c>
      <c r="L299">
        <v>89743.330034408529</v>
      </c>
      <c r="M299">
        <v>340</v>
      </c>
      <c r="N299">
        <v>52</v>
      </c>
      <c r="O299">
        <v>0.152941176470588</v>
      </c>
    </row>
    <row r="300" spans="1:15" x14ac:dyDescent="0.25">
      <c r="A300" t="s">
        <v>633</v>
      </c>
      <c r="B300" t="s">
        <v>1230</v>
      </c>
      <c r="C300">
        <v>65413.042167274187</v>
      </c>
      <c r="D300">
        <v>17111.928664374391</v>
      </c>
      <c r="E300">
        <v>44635.246099412849</v>
      </c>
      <c r="F300">
        <v>60962.526759013657</v>
      </c>
      <c r="G300">
        <v>188122.74369007509</v>
      </c>
      <c r="H300">
        <v>186062.52159633703</v>
      </c>
      <c r="I300">
        <v>2060.2220937380625</v>
      </c>
      <c r="J300">
        <v>1427.5680905460811</v>
      </c>
      <c r="K300">
        <v>0</v>
      </c>
      <c r="L300">
        <v>184634.95350579094</v>
      </c>
      <c r="M300">
        <v>318</v>
      </c>
      <c r="N300">
        <v>81</v>
      </c>
      <c r="O300">
        <v>0.25471698113207503</v>
      </c>
    </row>
    <row r="301" spans="1:15" x14ac:dyDescent="0.25">
      <c r="A301" t="s">
        <v>67</v>
      </c>
      <c r="B301" t="s">
        <v>1231</v>
      </c>
      <c r="C301">
        <v>893790.20912020968</v>
      </c>
      <c r="D301">
        <v>208240.67392097448</v>
      </c>
      <c r="E301">
        <v>519955.86443631625</v>
      </c>
      <c r="F301">
        <v>716996.28226744302</v>
      </c>
      <c r="G301">
        <v>2338983.0297449436</v>
      </c>
      <c r="H301">
        <v>2291963.0817038282</v>
      </c>
      <c r="I301">
        <v>47019.948041115422</v>
      </c>
      <c r="J301">
        <v>17585.128547534743</v>
      </c>
      <c r="K301">
        <v>0</v>
      </c>
      <c r="L301">
        <v>2274377.9531562934</v>
      </c>
      <c r="M301">
        <v>8151</v>
      </c>
      <c r="N301">
        <v>1107</v>
      </c>
      <c r="O301">
        <v>0.13578849954240199</v>
      </c>
    </row>
    <row r="302" spans="1:15" x14ac:dyDescent="0.25">
      <c r="A302" t="s">
        <v>310</v>
      </c>
      <c r="B302" t="s">
        <v>1233</v>
      </c>
      <c r="C302">
        <v>339435.63467078982</v>
      </c>
      <c r="D302">
        <v>0</v>
      </c>
      <c r="E302">
        <v>154280.03948958201</v>
      </c>
      <c r="F302">
        <v>208948.68602963505</v>
      </c>
      <c r="G302">
        <v>702664.3601900069</v>
      </c>
      <c r="H302">
        <v>702664.3601900069</v>
      </c>
      <c r="I302">
        <v>0</v>
      </c>
      <c r="J302">
        <v>5391.2051194676469</v>
      </c>
      <c r="K302">
        <v>0</v>
      </c>
      <c r="L302">
        <v>697273.15507053921</v>
      </c>
      <c r="M302">
        <v>3257</v>
      </c>
      <c r="N302">
        <v>365</v>
      </c>
      <c r="O302">
        <v>0.112066318698189</v>
      </c>
    </row>
    <row r="303" spans="1:15" x14ac:dyDescent="0.25">
      <c r="A303" t="s">
        <v>259</v>
      </c>
      <c r="B303" t="s">
        <v>1235</v>
      </c>
      <c r="C303">
        <v>613752.00058183155</v>
      </c>
      <c r="D303">
        <v>0</v>
      </c>
      <c r="E303">
        <v>311911.93015617959</v>
      </c>
      <c r="F303">
        <v>430112.84151836741</v>
      </c>
      <c r="G303">
        <v>1355776.7722563786</v>
      </c>
      <c r="H303">
        <v>1207477.3172790213</v>
      </c>
      <c r="I303">
        <v>148299.45497735729</v>
      </c>
      <c r="J303">
        <v>9264.3917400270911</v>
      </c>
      <c r="K303">
        <v>0</v>
      </c>
      <c r="L303">
        <v>1198212.9255389941</v>
      </c>
      <c r="M303">
        <v>6395</v>
      </c>
      <c r="N303">
        <v>760</v>
      </c>
      <c r="O303">
        <v>0.118842845973417</v>
      </c>
    </row>
    <row r="304" spans="1:15" x14ac:dyDescent="0.25">
      <c r="A304" t="s">
        <v>71</v>
      </c>
      <c r="B304" t="s">
        <v>1236</v>
      </c>
      <c r="C304">
        <v>9610.4390579963674</v>
      </c>
      <c r="D304">
        <v>0</v>
      </c>
      <c r="E304">
        <v>6116.1781008464104</v>
      </c>
      <c r="F304">
        <v>8433.9407629270681</v>
      </c>
      <c r="G304">
        <v>24160.557921769847</v>
      </c>
      <c r="H304">
        <v>24160.557921769847</v>
      </c>
      <c r="I304">
        <v>0</v>
      </c>
      <c r="J304">
        <v>185.37232131969552</v>
      </c>
      <c r="K304">
        <v>0</v>
      </c>
      <c r="L304">
        <v>23975.18560045015</v>
      </c>
      <c r="M304">
        <v>76</v>
      </c>
      <c r="N304">
        <v>12</v>
      </c>
      <c r="O304">
        <v>0.15740733393263101</v>
      </c>
    </row>
    <row r="305" spans="1:26" x14ac:dyDescent="0.25">
      <c r="A305" t="s">
        <v>635</v>
      </c>
      <c r="B305" t="s">
        <v>1238</v>
      </c>
      <c r="C305">
        <v>90447.663243638337</v>
      </c>
      <c r="D305">
        <v>23660.938400122621</v>
      </c>
      <c r="E305">
        <v>57988.56962958083</v>
      </c>
      <c r="F305">
        <v>79963.688617091451</v>
      </c>
      <c r="G305">
        <v>252060.85989043323</v>
      </c>
      <c r="H305">
        <v>241726.19224945368</v>
      </c>
      <c r="I305">
        <v>10334.667640979547</v>
      </c>
      <c r="J305">
        <v>1854.6486188829606</v>
      </c>
      <c r="K305">
        <v>0</v>
      </c>
      <c r="L305">
        <v>239871.54363057073</v>
      </c>
      <c r="M305">
        <v>468</v>
      </c>
      <c r="N305">
        <v>112</v>
      </c>
      <c r="O305">
        <v>0.23931623931623899</v>
      </c>
    </row>
    <row r="306" spans="1:26" x14ac:dyDescent="0.25">
      <c r="A306" t="s">
        <v>260</v>
      </c>
      <c r="B306" t="s">
        <v>1240</v>
      </c>
      <c r="C306">
        <v>232579.70548364142</v>
      </c>
      <c r="D306">
        <v>0</v>
      </c>
      <c r="E306">
        <v>113065.62100060374</v>
      </c>
      <c r="F306">
        <v>155912.52153214574</v>
      </c>
      <c r="G306">
        <v>501557.84801639087</v>
      </c>
      <c r="H306">
        <v>446695.75196745404</v>
      </c>
      <c r="I306">
        <v>54862.09604893683</v>
      </c>
      <c r="J306">
        <v>3427.2813042633634</v>
      </c>
      <c r="K306">
        <v>0</v>
      </c>
      <c r="L306">
        <v>443268.4706631907</v>
      </c>
      <c r="M306">
        <v>4774</v>
      </c>
      <c r="N306">
        <v>288</v>
      </c>
      <c r="O306">
        <v>6.0326770004189401E-2</v>
      </c>
    </row>
    <row r="307" spans="1:26" x14ac:dyDescent="0.25">
      <c r="A307" t="s">
        <v>311</v>
      </c>
      <c r="B307" t="s">
        <v>1242</v>
      </c>
      <c r="C307">
        <v>132441.22117818476</v>
      </c>
      <c r="D307">
        <v>0</v>
      </c>
      <c r="E307">
        <v>64384.589736454909</v>
      </c>
      <c r="F307">
        <v>88783.519205805234</v>
      </c>
      <c r="G307">
        <v>285609.33012044488</v>
      </c>
      <c r="H307">
        <v>254368.41431480026</v>
      </c>
      <c r="I307">
        <v>31240.915805644618</v>
      </c>
      <c r="J307">
        <v>1951.6462982610824</v>
      </c>
      <c r="K307">
        <v>0</v>
      </c>
      <c r="L307">
        <v>252416.76801653919</v>
      </c>
      <c r="M307">
        <v>1234</v>
      </c>
      <c r="N307">
        <v>164</v>
      </c>
      <c r="O307">
        <v>0.13290113452187999</v>
      </c>
    </row>
    <row r="308" spans="1:26" x14ac:dyDescent="0.25">
      <c r="A308" t="s">
        <v>73</v>
      </c>
      <c r="B308" t="s">
        <v>1243</v>
      </c>
      <c r="C308">
        <v>30199.182631040152</v>
      </c>
      <c r="D308">
        <v>7716.5987256148956</v>
      </c>
      <c r="E308">
        <v>22634.070736027847</v>
      </c>
      <c r="F308">
        <v>31211.388658734792</v>
      </c>
      <c r="G308">
        <v>91761.240751417688</v>
      </c>
      <c r="H308">
        <v>81724.085468963865</v>
      </c>
      <c r="I308">
        <v>10037.155282453823</v>
      </c>
      <c r="J308">
        <v>627.02953632791275</v>
      </c>
      <c r="K308">
        <v>0</v>
      </c>
      <c r="L308">
        <v>81097.055932635951</v>
      </c>
      <c r="M308">
        <v>223</v>
      </c>
      <c r="N308">
        <v>37</v>
      </c>
      <c r="O308">
        <v>0.16370028157306299</v>
      </c>
    </row>
    <row r="309" spans="1:26" x14ac:dyDescent="0.25">
      <c r="A309" t="s">
        <v>262</v>
      </c>
      <c r="B309" t="s">
        <v>1245</v>
      </c>
      <c r="C309">
        <v>24227.052654545987</v>
      </c>
      <c r="D309">
        <v>0</v>
      </c>
      <c r="E309">
        <v>11777.668854229561</v>
      </c>
      <c r="F309">
        <v>16240.887659598513</v>
      </c>
      <c r="G309">
        <v>52245.60916837406</v>
      </c>
      <c r="H309">
        <v>46530.807496609807</v>
      </c>
      <c r="I309">
        <v>5714.8016717642531</v>
      </c>
      <c r="J309">
        <v>357.00846919410048</v>
      </c>
      <c r="K309">
        <v>0</v>
      </c>
      <c r="L309">
        <v>46173.799027415705</v>
      </c>
      <c r="M309">
        <v>218</v>
      </c>
      <c r="N309">
        <v>30</v>
      </c>
      <c r="O309">
        <v>0.13761467889908299</v>
      </c>
    </row>
    <row r="310" spans="1:26" x14ac:dyDescent="0.25">
      <c r="A310" t="s">
        <v>637</v>
      </c>
      <c r="B310" t="s">
        <v>1247</v>
      </c>
      <c r="C310">
        <v>51227.044146483327</v>
      </c>
      <c r="D310">
        <v>13319.442179514079</v>
      </c>
      <c r="E310">
        <v>27343.95126818238</v>
      </c>
      <c r="F310">
        <v>34509.548440193255</v>
      </c>
      <c r="G310">
        <v>126399.98603437305</v>
      </c>
      <c r="H310">
        <v>126399.98603437305</v>
      </c>
      <c r="I310">
        <v>0</v>
      </c>
      <c r="J310">
        <v>969.80619826069062</v>
      </c>
      <c r="K310">
        <v>0</v>
      </c>
      <c r="L310">
        <v>125430.17983611237</v>
      </c>
      <c r="M310">
        <v>332</v>
      </c>
      <c r="N310">
        <v>51</v>
      </c>
      <c r="O310">
        <v>0.15361445783132499</v>
      </c>
    </row>
    <row r="311" spans="1:26" x14ac:dyDescent="0.25">
      <c r="A311" t="s">
        <v>639</v>
      </c>
      <c r="B311" t="s">
        <v>1249</v>
      </c>
      <c r="C311">
        <v>11626.869827496843</v>
      </c>
      <c r="D311">
        <v>2952.9935984753406</v>
      </c>
      <c r="E311">
        <v>5328.460274099566</v>
      </c>
      <c r="F311">
        <v>7021.2704308745797</v>
      </c>
      <c r="G311">
        <v>26929.594130946331</v>
      </c>
      <c r="H311">
        <v>26929.594130946331</v>
      </c>
      <c r="I311">
        <v>0</v>
      </c>
      <c r="J311">
        <v>206.61780213911086</v>
      </c>
      <c r="K311">
        <v>0</v>
      </c>
      <c r="L311">
        <v>26722.976328807221</v>
      </c>
      <c r="M311">
        <v>113</v>
      </c>
      <c r="N311">
        <v>12</v>
      </c>
      <c r="O311">
        <v>0.106194690265487</v>
      </c>
    </row>
    <row r="312" spans="1:26" x14ac:dyDescent="0.25">
      <c r="A312" t="s">
        <v>641</v>
      </c>
      <c r="B312" t="s">
        <v>1251</v>
      </c>
      <c r="C312">
        <v>99834.010197291136</v>
      </c>
      <c r="D312">
        <v>25957.643048259361</v>
      </c>
      <c r="E312">
        <v>46718.086455110555</v>
      </c>
      <c r="F312">
        <v>64422.187716407469</v>
      </c>
      <c r="G312">
        <v>236931.92741706851</v>
      </c>
      <c r="H312">
        <v>236931.92741706851</v>
      </c>
      <c r="I312">
        <v>0</v>
      </c>
      <c r="J312">
        <v>1817.86453451379</v>
      </c>
      <c r="K312">
        <v>0</v>
      </c>
      <c r="L312">
        <v>235114.06288255472</v>
      </c>
      <c r="M312">
        <v>809</v>
      </c>
      <c r="N312">
        <v>119</v>
      </c>
      <c r="O312">
        <v>0.147095179233622</v>
      </c>
    </row>
    <row r="313" spans="1:26" x14ac:dyDescent="0.25">
      <c r="A313" t="s">
        <v>643</v>
      </c>
      <c r="B313" t="s">
        <v>1253</v>
      </c>
      <c r="C313">
        <v>16958.936858182195</v>
      </c>
      <c r="D313">
        <v>2314.4821029367145</v>
      </c>
      <c r="E313">
        <v>8244.3681979606936</v>
      </c>
      <c r="F313">
        <v>11368.621361718955</v>
      </c>
      <c r="G313">
        <v>38886.408520798563</v>
      </c>
      <c r="H313">
        <v>34632.8814596558</v>
      </c>
      <c r="I313">
        <v>4253.5270611427622</v>
      </c>
      <c r="J313">
        <v>265.7214146690514</v>
      </c>
      <c r="K313">
        <v>0</v>
      </c>
      <c r="L313">
        <v>34367.160044986747</v>
      </c>
      <c r="M313">
        <v>148</v>
      </c>
      <c r="N313">
        <v>21</v>
      </c>
      <c r="O313">
        <v>0.141891891891892</v>
      </c>
    </row>
    <row r="314" spans="1:26" x14ac:dyDescent="0.25">
      <c r="A314" t="s">
        <v>645</v>
      </c>
      <c r="B314" t="s">
        <v>1255</v>
      </c>
      <c r="C314">
        <v>12113.526327272994</v>
      </c>
      <c r="D314">
        <v>3168.8756785878513</v>
      </c>
      <c r="E314">
        <v>10348.448738768806</v>
      </c>
      <c r="F314">
        <v>14270.055942106233</v>
      </c>
      <c r="G314">
        <v>39900.906686735885</v>
      </c>
      <c r="H314">
        <v>35536.410380387919</v>
      </c>
      <c r="I314">
        <v>4364.4963063479663</v>
      </c>
      <c r="J314">
        <v>272.65375679285131</v>
      </c>
      <c r="K314">
        <v>0</v>
      </c>
      <c r="L314">
        <v>35263.756623595065</v>
      </c>
      <c r="M314">
        <v>44</v>
      </c>
      <c r="N314">
        <v>15</v>
      </c>
      <c r="O314">
        <v>0.34090909090909099</v>
      </c>
    </row>
    <row r="315" spans="1:26" x14ac:dyDescent="0.25">
      <c r="A315" t="s">
        <v>647</v>
      </c>
      <c r="B315" t="s">
        <v>1257</v>
      </c>
      <c r="C315">
        <v>214813.20020364111</v>
      </c>
      <c r="D315">
        <v>0</v>
      </c>
      <c r="E315">
        <v>104428.66384083539</v>
      </c>
      <c r="F315">
        <v>144002.53724844012</v>
      </c>
      <c r="G315">
        <v>463244.40129291662</v>
      </c>
      <c r="H315">
        <v>412573.15980327362</v>
      </c>
      <c r="I315">
        <v>50671.241489642998</v>
      </c>
      <c r="J315">
        <v>3165.4750935210241</v>
      </c>
      <c r="K315">
        <v>0</v>
      </c>
      <c r="L315">
        <v>409407.68470975262</v>
      </c>
      <c r="M315">
        <v>2666</v>
      </c>
      <c r="N315">
        <v>266</v>
      </c>
      <c r="O315">
        <v>9.9774943735933999E-2</v>
      </c>
    </row>
    <row r="316" spans="1:26" x14ac:dyDescent="0.25">
      <c r="A316" t="s">
        <v>649</v>
      </c>
      <c r="B316" t="s">
        <v>1259</v>
      </c>
      <c r="C316">
        <v>3269032.8267855183</v>
      </c>
      <c r="D316">
        <v>830269.29465345829</v>
      </c>
      <c r="E316">
        <v>2237560.7878227117</v>
      </c>
      <c r="F316">
        <v>3085497.9738627253</v>
      </c>
      <c r="G316">
        <v>9422360.8831244148</v>
      </c>
      <c r="H316">
        <v>9422360.8831244148</v>
      </c>
      <c r="I316">
        <v>0</v>
      </c>
      <c r="J316">
        <v>72293.235730407381</v>
      </c>
      <c r="K316">
        <v>0</v>
      </c>
      <c r="L316">
        <v>9350067.6473940071</v>
      </c>
      <c r="M316">
        <v>16801</v>
      </c>
      <c r="N316">
        <v>3588</v>
      </c>
      <c r="O316">
        <v>0.21355871674305099</v>
      </c>
    </row>
    <row r="317" spans="1:26" x14ac:dyDescent="0.25">
      <c r="A317" t="s">
        <v>651</v>
      </c>
      <c r="B317" t="s">
        <v>1261</v>
      </c>
      <c r="C317">
        <v>600023.33741092228</v>
      </c>
      <c r="D317">
        <v>0</v>
      </c>
      <c r="E317">
        <v>301900.91163008445</v>
      </c>
      <c r="F317">
        <v>416308.08700770867</v>
      </c>
      <c r="G317">
        <v>1318232.3360487153</v>
      </c>
      <c r="H317">
        <v>1174039.6186560139</v>
      </c>
      <c r="I317">
        <v>144192.71739270142</v>
      </c>
      <c r="J317">
        <v>9007.8403874711894</v>
      </c>
      <c r="K317">
        <v>0</v>
      </c>
      <c r="L317">
        <v>1165031.7782685426</v>
      </c>
      <c r="M317">
        <v>6649</v>
      </c>
      <c r="N317">
        <v>743</v>
      </c>
      <c r="O317">
        <v>0.111746127237179</v>
      </c>
    </row>
    <row r="318" spans="1:26" x14ac:dyDescent="0.25">
      <c r="A318" t="s">
        <v>653</v>
      </c>
      <c r="B318" t="s">
        <v>1263</v>
      </c>
      <c r="C318">
        <v>138901.7685527303</v>
      </c>
      <c r="D318">
        <v>33726.295308902583</v>
      </c>
      <c r="E318">
        <v>67525.301430916123</v>
      </c>
      <c r="F318">
        <v>93114.422581698163</v>
      </c>
      <c r="G318">
        <v>333267.78787424718</v>
      </c>
      <c r="H318">
        <v>333267.78787424718</v>
      </c>
      <c r="I318">
        <v>0</v>
      </c>
      <c r="J318">
        <v>2557.0031809432476</v>
      </c>
      <c r="K318">
        <v>0</v>
      </c>
      <c r="L318">
        <v>330710.78469330393</v>
      </c>
      <c r="M318">
        <v>1223</v>
      </c>
      <c r="N318">
        <v>172</v>
      </c>
      <c r="O318">
        <v>0.140637775960752</v>
      </c>
    </row>
    <row r="320" spans="1:26" x14ac:dyDescent="0.25">
      <c r="A320">
        <v>1</v>
      </c>
      <c r="B320">
        <v>2</v>
      </c>
      <c r="C320">
        <v>3</v>
      </c>
      <c r="D320">
        <v>4</v>
      </c>
      <c r="E320">
        <v>5</v>
      </c>
      <c r="F320">
        <v>6</v>
      </c>
      <c r="G320">
        <v>7</v>
      </c>
      <c r="H320">
        <v>8</v>
      </c>
      <c r="I320">
        <v>9</v>
      </c>
      <c r="J320">
        <v>10</v>
      </c>
      <c r="K320">
        <v>11</v>
      </c>
      <c r="L320">
        <v>12</v>
      </c>
      <c r="M320">
        <v>13</v>
      </c>
      <c r="N320">
        <v>14</v>
      </c>
      <c r="O320">
        <v>15</v>
      </c>
      <c r="Q320">
        <v>9</v>
      </c>
      <c r="R320">
        <v>10</v>
      </c>
      <c r="S320">
        <v>11</v>
      </c>
      <c r="T320">
        <v>12</v>
      </c>
      <c r="U320">
        <v>13</v>
      </c>
      <c r="V320">
        <v>14</v>
      </c>
      <c r="Z320">
        <v>12</v>
      </c>
    </row>
  </sheetData>
  <sheetProtection algorithmName="SHA-512" hashValue="vdXr0KEWRPged6lHEijvIX1KvurUwzyzJP45E839LS1qocHg5AIs/gY+Umsjyb78hHuAOGmhPfs0hI/Vv3lXeg==" saltValue="L7Q8N4RPR7CfP/iE7I3CIA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72082-3702-49B9-8F49-1B3014A1CB77}">
  <dimension ref="A1:E319"/>
  <sheetViews>
    <sheetView workbookViewId="0"/>
  </sheetViews>
  <sheetFormatPr defaultRowHeight="15" x14ac:dyDescent="0.25"/>
  <cols>
    <col min="1" max="1" width="8.28515625" bestFit="1" customWidth="1"/>
    <col min="2" max="2" width="47.5703125" bestFit="1" customWidth="1"/>
    <col min="3" max="3" width="18.5703125" bestFit="1" customWidth="1"/>
    <col min="4" max="4" width="16.140625" bestFit="1" customWidth="1"/>
    <col min="5" max="5" width="16.85546875" bestFit="1" customWidth="1"/>
    <col min="6" max="7" width="16.85546875" customWidth="1"/>
    <col min="8" max="8" width="34.7109375" bestFit="1" customWidth="1"/>
  </cols>
  <sheetData>
    <row r="1" spans="1:5" x14ac:dyDescent="0.25">
      <c r="A1" t="s">
        <v>4</v>
      </c>
      <c r="B1" t="s">
        <v>1284</v>
      </c>
      <c r="C1" t="s">
        <v>1310</v>
      </c>
      <c r="D1" t="s">
        <v>1364</v>
      </c>
      <c r="E1" t="s">
        <v>1365</v>
      </c>
    </row>
    <row r="2" spans="1:5" x14ac:dyDescent="0.25">
      <c r="A2" t="s">
        <v>313</v>
      </c>
      <c r="B2" t="s">
        <v>1388</v>
      </c>
      <c r="C2" t="s">
        <v>657</v>
      </c>
      <c r="D2" t="s">
        <v>1441</v>
      </c>
      <c r="E2" t="s">
        <v>1546</v>
      </c>
    </row>
    <row r="3" spans="1:5" x14ac:dyDescent="0.25">
      <c r="A3" t="s">
        <v>264</v>
      </c>
      <c r="B3" t="s">
        <v>265</v>
      </c>
      <c r="C3" t="s">
        <v>92</v>
      </c>
      <c r="D3" t="s">
        <v>1278</v>
      </c>
      <c r="E3" t="s">
        <v>92</v>
      </c>
    </row>
    <row r="4" spans="1:5" x14ac:dyDescent="0.25">
      <c r="A4" t="s">
        <v>266</v>
      </c>
      <c r="B4" t="s">
        <v>267</v>
      </c>
      <c r="C4" t="s">
        <v>92</v>
      </c>
      <c r="D4" t="s">
        <v>1278</v>
      </c>
      <c r="E4" t="s">
        <v>92</v>
      </c>
    </row>
    <row r="5" spans="1:5" x14ac:dyDescent="0.25">
      <c r="A5" t="s">
        <v>93</v>
      </c>
      <c r="B5" t="s">
        <v>94</v>
      </c>
      <c r="C5" t="s">
        <v>92</v>
      </c>
      <c r="D5" t="s">
        <v>1278</v>
      </c>
      <c r="E5" t="s">
        <v>92</v>
      </c>
    </row>
    <row r="6" spans="1:5" x14ac:dyDescent="0.25">
      <c r="A6" t="s">
        <v>95</v>
      </c>
      <c r="B6" t="s">
        <v>96</v>
      </c>
      <c r="C6" t="s">
        <v>92</v>
      </c>
      <c r="D6" t="s">
        <v>1278</v>
      </c>
      <c r="E6" t="s">
        <v>92</v>
      </c>
    </row>
    <row r="7" spans="1:5" x14ac:dyDescent="0.25">
      <c r="A7" t="s">
        <v>314</v>
      </c>
      <c r="B7" t="s">
        <v>315</v>
      </c>
      <c r="C7" t="s">
        <v>92</v>
      </c>
      <c r="D7" t="s">
        <v>1278</v>
      </c>
      <c r="E7" t="s">
        <v>92</v>
      </c>
    </row>
    <row r="8" spans="1:5" x14ac:dyDescent="0.25">
      <c r="A8" t="s">
        <v>316</v>
      </c>
      <c r="B8" t="s">
        <v>317</v>
      </c>
      <c r="C8" t="s">
        <v>657</v>
      </c>
      <c r="D8" t="s">
        <v>1441</v>
      </c>
      <c r="E8" t="s">
        <v>1444</v>
      </c>
    </row>
    <row r="9" spans="1:5" x14ac:dyDescent="0.25">
      <c r="A9" t="s">
        <v>97</v>
      </c>
      <c r="B9" t="s">
        <v>98</v>
      </c>
      <c r="C9" t="s">
        <v>92</v>
      </c>
      <c r="D9" t="s">
        <v>1278</v>
      </c>
      <c r="E9" t="s">
        <v>92</v>
      </c>
    </row>
    <row r="10" spans="1:5" x14ac:dyDescent="0.25">
      <c r="A10" t="s">
        <v>99</v>
      </c>
      <c r="B10" t="s">
        <v>100</v>
      </c>
      <c r="C10" t="s">
        <v>92</v>
      </c>
      <c r="D10" t="s">
        <v>1278</v>
      </c>
      <c r="E10" t="s">
        <v>92</v>
      </c>
    </row>
    <row r="11" spans="1:5" x14ac:dyDescent="0.25">
      <c r="A11" t="s">
        <v>101</v>
      </c>
      <c r="B11" t="s">
        <v>102</v>
      </c>
      <c r="C11" t="s">
        <v>92</v>
      </c>
      <c r="D11" t="s">
        <v>1278</v>
      </c>
      <c r="E11" t="s">
        <v>92</v>
      </c>
    </row>
    <row r="12" spans="1:5" x14ac:dyDescent="0.25">
      <c r="A12" t="s">
        <v>59</v>
      </c>
      <c r="B12" t="s">
        <v>1390</v>
      </c>
      <c r="C12" t="s">
        <v>92</v>
      </c>
      <c r="D12" t="s">
        <v>1278</v>
      </c>
      <c r="E12" t="s">
        <v>92</v>
      </c>
    </row>
    <row r="13" spans="1:5" x14ac:dyDescent="0.25">
      <c r="A13" t="s">
        <v>103</v>
      </c>
      <c r="B13" t="s">
        <v>104</v>
      </c>
      <c r="C13" t="s">
        <v>92</v>
      </c>
      <c r="D13" t="s">
        <v>1278</v>
      </c>
      <c r="E13" t="s">
        <v>92</v>
      </c>
    </row>
    <row r="14" spans="1:5" x14ac:dyDescent="0.25">
      <c r="A14" t="s">
        <v>268</v>
      </c>
      <c r="B14" t="s">
        <v>269</v>
      </c>
      <c r="C14" t="s">
        <v>92</v>
      </c>
      <c r="D14" t="s">
        <v>1278</v>
      </c>
      <c r="E14" t="s">
        <v>92</v>
      </c>
    </row>
    <row r="15" spans="1:5" x14ac:dyDescent="0.25">
      <c r="A15" t="s">
        <v>318</v>
      </c>
      <c r="B15" t="s">
        <v>319</v>
      </c>
      <c r="C15" t="s">
        <v>657</v>
      </c>
      <c r="D15" t="s">
        <v>1441</v>
      </c>
      <c r="E15" t="s">
        <v>1445</v>
      </c>
    </row>
    <row r="16" spans="1:5" x14ac:dyDescent="0.25">
      <c r="A16" t="s">
        <v>320</v>
      </c>
      <c r="B16" t="s">
        <v>321</v>
      </c>
      <c r="C16" t="s">
        <v>92</v>
      </c>
      <c r="D16" t="s">
        <v>1278</v>
      </c>
      <c r="E16" t="s">
        <v>92</v>
      </c>
    </row>
    <row r="17" spans="1:5" x14ac:dyDescent="0.25">
      <c r="A17" t="s">
        <v>322</v>
      </c>
      <c r="B17" t="s">
        <v>323</v>
      </c>
      <c r="C17" t="s">
        <v>92</v>
      </c>
      <c r="D17" t="s">
        <v>1278</v>
      </c>
      <c r="E17" t="s">
        <v>92</v>
      </c>
    </row>
    <row r="18" spans="1:5" x14ac:dyDescent="0.25">
      <c r="A18" t="s">
        <v>58</v>
      </c>
      <c r="B18" t="s">
        <v>9</v>
      </c>
      <c r="C18" t="s">
        <v>657</v>
      </c>
      <c r="D18" t="s">
        <v>1441</v>
      </c>
      <c r="E18" t="s">
        <v>1587</v>
      </c>
    </row>
    <row r="19" spans="1:5" x14ac:dyDescent="0.25">
      <c r="A19" t="s">
        <v>324</v>
      </c>
      <c r="B19" t="s">
        <v>325</v>
      </c>
      <c r="C19" t="s">
        <v>657</v>
      </c>
      <c r="D19" t="s">
        <v>1441</v>
      </c>
      <c r="E19" t="s">
        <v>1446</v>
      </c>
    </row>
    <row r="20" spans="1:5" x14ac:dyDescent="0.25">
      <c r="A20" t="s">
        <v>326</v>
      </c>
      <c r="B20" t="s">
        <v>327</v>
      </c>
      <c r="C20" t="s">
        <v>657</v>
      </c>
      <c r="D20" t="s">
        <v>1441</v>
      </c>
      <c r="E20" t="s">
        <v>1447</v>
      </c>
    </row>
    <row r="21" spans="1:5" x14ac:dyDescent="0.25">
      <c r="A21" t="s">
        <v>328</v>
      </c>
      <c r="B21" t="s">
        <v>329</v>
      </c>
      <c r="C21" t="s">
        <v>657</v>
      </c>
      <c r="D21" t="s">
        <v>1441</v>
      </c>
      <c r="E21" t="s">
        <v>1448</v>
      </c>
    </row>
    <row r="22" spans="1:5" x14ac:dyDescent="0.25">
      <c r="A22" t="s">
        <v>330</v>
      </c>
      <c r="B22" t="s">
        <v>331</v>
      </c>
      <c r="C22" t="s">
        <v>92</v>
      </c>
      <c r="D22" t="s">
        <v>1278</v>
      </c>
      <c r="E22" t="s">
        <v>92</v>
      </c>
    </row>
    <row r="23" spans="1:5" x14ac:dyDescent="0.25">
      <c r="A23" t="s">
        <v>105</v>
      </c>
      <c r="B23" t="s">
        <v>106</v>
      </c>
      <c r="C23" t="s">
        <v>92</v>
      </c>
      <c r="D23" t="s">
        <v>1278</v>
      </c>
      <c r="E23" t="s">
        <v>92</v>
      </c>
    </row>
    <row r="24" spans="1:5" x14ac:dyDescent="0.25">
      <c r="A24" t="s">
        <v>332</v>
      </c>
      <c r="B24" t="s">
        <v>333</v>
      </c>
      <c r="C24" t="s">
        <v>657</v>
      </c>
      <c r="D24" t="s">
        <v>1441</v>
      </c>
      <c r="E24" t="s">
        <v>1449</v>
      </c>
    </row>
    <row r="25" spans="1:5" x14ac:dyDescent="0.25">
      <c r="A25" t="s">
        <v>107</v>
      </c>
      <c r="B25" t="s">
        <v>108</v>
      </c>
      <c r="C25" t="s">
        <v>92</v>
      </c>
      <c r="D25" t="s">
        <v>1278</v>
      </c>
      <c r="E25" t="s">
        <v>92</v>
      </c>
    </row>
    <row r="26" spans="1:5" x14ac:dyDescent="0.25">
      <c r="A26" t="s">
        <v>334</v>
      </c>
      <c r="B26" t="s">
        <v>335</v>
      </c>
      <c r="C26" t="s">
        <v>92</v>
      </c>
      <c r="D26" t="s">
        <v>1278</v>
      </c>
      <c r="E26" t="s">
        <v>92</v>
      </c>
    </row>
    <row r="27" spans="1:5" x14ac:dyDescent="0.25">
      <c r="A27" t="s">
        <v>336</v>
      </c>
      <c r="B27" t="s">
        <v>337</v>
      </c>
      <c r="C27" t="s">
        <v>92</v>
      </c>
      <c r="D27" t="s">
        <v>1278</v>
      </c>
      <c r="E27" t="s">
        <v>92</v>
      </c>
    </row>
    <row r="28" spans="1:5" x14ac:dyDescent="0.25">
      <c r="A28" t="s">
        <v>109</v>
      </c>
      <c r="B28" t="s">
        <v>110</v>
      </c>
      <c r="C28" t="s">
        <v>92</v>
      </c>
      <c r="D28" t="s">
        <v>1278</v>
      </c>
      <c r="E28" t="s">
        <v>92</v>
      </c>
    </row>
    <row r="29" spans="1:5" x14ac:dyDescent="0.25">
      <c r="A29" t="s">
        <v>69</v>
      </c>
      <c r="B29" t="s">
        <v>1403</v>
      </c>
      <c r="C29" t="s">
        <v>92</v>
      </c>
      <c r="D29" t="s">
        <v>1278</v>
      </c>
      <c r="E29" t="s">
        <v>92</v>
      </c>
    </row>
    <row r="30" spans="1:5" x14ac:dyDescent="0.25">
      <c r="A30" t="s">
        <v>338</v>
      </c>
      <c r="B30" t="s">
        <v>339</v>
      </c>
      <c r="C30" t="s">
        <v>657</v>
      </c>
      <c r="D30" t="s">
        <v>1441</v>
      </c>
      <c r="E30" t="s">
        <v>1448</v>
      </c>
    </row>
    <row r="31" spans="1:5" x14ac:dyDescent="0.25">
      <c r="A31" t="s">
        <v>111</v>
      </c>
      <c r="B31" t="s">
        <v>112</v>
      </c>
      <c r="C31" t="s">
        <v>92</v>
      </c>
      <c r="D31" t="s">
        <v>1278</v>
      </c>
      <c r="E31" t="s">
        <v>92</v>
      </c>
    </row>
    <row r="32" spans="1:5" x14ac:dyDescent="0.25">
      <c r="A32" t="s">
        <v>270</v>
      </c>
      <c r="B32" t="s">
        <v>271</v>
      </c>
      <c r="C32" t="s">
        <v>92</v>
      </c>
      <c r="D32" t="s">
        <v>1278</v>
      </c>
      <c r="E32" t="s">
        <v>92</v>
      </c>
    </row>
    <row r="33" spans="1:5" x14ac:dyDescent="0.25">
      <c r="A33" t="s">
        <v>340</v>
      </c>
      <c r="B33" t="s">
        <v>341</v>
      </c>
      <c r="C33" t="s">
        <v>657</v>
      </c>
      <c r="D33" t="s">
        <v>1441</v>
      </c>
      <c r="E33" t="s">
        <v>1450</v>
      </c>
    </row>
    <row r="34" spans="1:5" x14ac:dyDescent="0.25">
      <c r="A34" t="s">
        <v>342</v>
      </c>
      <c r="B34" t="s">
        <v>343</v>
      </c>
      <c r="C34" t="s">
        <v>92</v>
      </c>
      <c r="D34" t="s">
        <v>1278</v>
      </c>
      <c r="E34" t="s">
        <v>92</v>
      </c>
    </row>
    <row r="35" spans="1:5" x14ac:dyDescent="0.25">
      <c r="A35" t="s">
        <v>272</v>
      </c>
      <c r="B35" t="s">
        <v>273</v>
      </c>
      <c r="C35" t="s">
        <v>92</v>
      </c>
      <c r="D35" t="s">
        <v>1278</v>
      </c>
      <c r="E35" t="s">
        <v>92</v>
      </c>
    </row>
    <row r="36" spans="1:5" x14ac:dyDescent="0.25">
      <c r="A36" t="s">
        <v>344</v>
      </c>
      <c r="B36" t="s">
        <v>345</v>
      </c>
      <c r="C36" t="s">
        <v>657</v>
      </c>
      <c r="D36" t="s">
        <v>1441</v>
      </c>
      <c r="E36" t="s">
        <v>1451</v>
      </c>
    </row>
    <row r="37" spans="1:5" x14ac:dyDescent="0.25">
      <c r="A37" t="s">
        <v>113</v>
      </c>
      <c r="B37" t="s">
        <v>114</v>
      </c>
      <c r="C37" t="s">
        <v>657</v>
      </c>
      <c r="D37" t="s">
        <v>1441</v>
      </c>
      <c r="E37" t="s">
        <v>1452</v>
      </c>
    </row>
    <row r="38" spans="1:5" x14ac:dyDescent="0.25">
      <c r="A38" t="s">
        <v>346</v>
      </c>
      <c r="B38" t="s">
        <v>347</v>
      </c>
      <c r="C38" t="s">
        <v>657</v>
      </c>
      <c r="D38" t="s">
        <v>1441</v>
      </c>
      <c r="E38" t="s">
        <v>1453</v>
      </c>
    </row>
    <row r="39" spans="1:5" x14ac:dyDescent="0.25">
      <c r="A39" t="s">
        <v>348</v>
      </c>
      <c r="B39" t="s">
        <v>349</v>
      </c>
      <c r="C39" t="s">
        <v>92</v>
      </c>
      <c r="D39" t="s">
        <v>1278</v>
      </c>
      <c r="E39" t="s">
        <v>92</v>
      </c>
    </row>
    <row r="40" spans="1:5" x14ac:dyDescent="0.25">
      <c r="A40" t="s">
        <v>350</v>
      </c>
      <c r="B40" t="s">
        <v>351</v>
      </c>
      <c r="C40" t="s">
        <v>92</v>
      </c>
      <c r="D40" t="s">
        <v>1278</v>
      </c>
      <c r="E40" t="s">
        <v>92</v>
      </c>
    </row>
    <row r="41" spans="1:5" x14ac:dyDescent="0.25">
      <c r="A41" t="s">
        <v>274</v>
      </c>
      <c r="B41" t="s">
        <v>275</v>
      </c>
      <c r="C41" t="s">
        <v>92</v>
      </c>
      <c r="D41" t="s">
        <v>1278</v>
      </c>
      <c r="E41" t="s">
        <v>92</v>
      </c>
    </row>
    <row r="42" spans="1:5" x14ac:dyDescent="0.25">
      <c r="A42" t="s">
        <v>352</v>
      </c>
      <c r="B42" t="s">
        <v>353</v>
      </c>
      <c r="C42" t="s">
        <v>92</v>
      </c>
      <c r="D42" t="s">
        <v>1278</v>
      </c>
      <c r="E42" t="s">
        <v>92</v>
      </c>
    </row>
    <row r="43" spans="1:5" x14ac:dyDescent="0.25">
      <c r="A43" t="s">
        <v>354</v>
      </c>
      <c r="B43" t="s">
        <v>355</v>
      </c>
      <c r="C43" t="s">
        <v>92</v>
      </c>
      <c r="D43" t="s">
        <v>1278</v>
      </c>
      <c r="E43" t="s">
        <v>92</v>
      </c>
    </row>
    <row r="44" spans="1:5" x14ac:dyDescent="0.25">
      <c r="A44" t="s">
        <v>356</v>
      </c>
      <c r="B44" t="s">
        <v>1394</v>
      </c>
      <c r="C44" t="s">
        <v>657</v>
      </c>
      <c r="D44" t="s">
        <v>1441</v>
      </c>
      <c r="E44" t="s">
        <v>1454</v>
      </c>
    </row>
    <row r="45" spans="1:5" x14ac:dyDescent="0.25">
      <c r="A45" t="s">
        <v>357</v>
      </c>
      <c r="B45" t="s">
        <v>1395</v>
      </c>
      <c r="C45" t="s">
        <v>92</v>
      </c>
      <c r="D45" t="s">
        <v>1278</v>
      </c>
      <c r="E45" t="s">
        <v>92</v>
      </c>
    </row>
    <row r="46" spans="1:5" x14ac:dyDescent="0.25">
      <c r="A46" t="s">
        <v>358</v>
      </c>
      <c r="B46" t="s">
        <v>359</v>
      </c>
      <c r="C46" t="s">
        <v>657</v>
      </c>
      <c r="D46" t="s">
        <v>1441</v>
      </c>
      <c r="E46" t="s">
        <v>1455</v>
      </c>
    </row>
    <row r="47" spans="1:5" x14ac:dyDescent="0.25">
      <c r="A47" t="s">
        <v>360</v>
      </c>
      <c r="B47" t="s">
        <v>361</v>
      </c>
      <c r="C47" t="s">
        <v>657</v>
      </c>
      <c r="D47" t="s">
        <v>1441</v>
      </c>
      <c r="E47" t="s">
        <v>1456</v>
      </c>
    </row>
    <row r="48" spans="1:5" x14ac:dyDescent="0.25">
      <c r="A48" t="s">
        <v>115</v>
      </c>
      <c r="B48" t="s">
        <v>116</v>
      </c>
      <c r="C48" t="s">
        <v>92</v>
      </c>
      <c r="D48" t="s">
        <v>1278</v>
      </c>
      <c r="E48" t="s">
        <v>92</v>
      </c>
    </row>
    <row r="49" spans="1:5" x14ac:dyDescent="0.25">
      <c r="A49" t="s">
        <v>117</v>
      </c>
      <c r="B49" t="s">
        <v>118</v>
      </c>
      <c r="C49" t="s">
        <v>657</v>
      </c>
      <c r="D49" t="s">
        <v>1441</v>
      </c>
      <c r="E49" t="s">
        <v>1457</v>
      </c>
    </row>
    <row r="50" spans="1:5" x14ac:dyDescent="0.25">
      <c r="A50" t="s">
        <v>362</v>
      </c>
      <c r="B50" t="s">
        <v>363</v>
      </c>
      <c r="C50" t="s">
        <v>657</v>
      </c>
      <c r="D50" t="s">
        <v>1441</v>
      </c>
      <c r="E50" t="s">
        <v>1459</v>
      </c>
    </row>
    <row r="51" spans="1:5" x14ac:dyDescent="0.25">
      <c r="A51" t="s">
        <v>364</v>
      </c>
      <c r="B51" t="s">
        <v>365</v>
      </c>
      <c r="C51" t="s">
        <v>92</v>
      </c>
      <c r="D51" t="s">
        <v>1278</v>
      </c>
      <c r="E51" t="s">
        <v>92</v>
      </c>
    </row>
    <row r="52" spans="1:5" x14ac:dyDescent="0.25">
      <c r="A52" t="s">
        <v>366</v>
      </c>
      <c r="B52" t="s">
        <v>367</v>
      </c>
      <c r="C52" t="s">
        <v>657</v>
      </c>
      <c r="D52" t="s">
        <v>1441</v>
      </c>
      <c r="E52" t="s">
        <v>1460</v>
      </c>
    </row>
    <row r="53" spans="1:5" x14ac:dyDescent="0.25">
      <c r="A53" t="s">
        <v>368</v>
      </c>
      <c r="B53" t="s">
        <v>369</v>
      </c>
      <c r="C53" t="s">
        <v>92</v>
      </c>
      <c r="D53" t="s">
        <v>1278</v>
      </c>
      <c r="E53" t="s">
        <v>92</v>
      </c>
    </row>
    <row r="54" spans="1:5" x14ac:dyDescent="0.25">
      <c r="A54" t="s">
        <v>370</v>
      </c>
      <c r="B54" t="s">
        <v>371</v>
      </c>
      <c r="C54" t="s">
        <v>657</v>
      </c>
      <c r="D54" t="s">
        <v>1441</v>
      </c>
      <c r="E54" t="s">
        <v>1461</v>
      </c>
    </row>
    <row r="55" spans="1:5" x14ac:dyDescent="0.25">
      <c r="A55" t="s">
        <v>372</v>
      </c>
      <c r="B55" t="s">
        <v>373</v>
      </c>
      <c r="C55" t="s">
        <v>657</v>
      </c>
      <c r="D55" t="s">
        <v>1441</v>
      </c>
      <c r="E55" t="s">
        <v>1462</v>
      </c>
    </row>
    <row r="56" spans="1:5" x14ac:dyDescent="0.25">
      <c r="A56" t="s">
        <v>119</v>
      </c>
      <c r="B56" t="s">
        <v>120</v>
      </c>
      <c r="C56" t="s">
        <v>92</v>
      </c>
      <c r="D56" t="s">
        <v>1278</v>
      </c>
      <c r="E56" t="s">
        <v>92</v>
      </c>
    </row>
    <row r="57" spans="1:5" x14ac:dyDescent="0.25">
      <c r="A57" t="s">
        <v>276</v>
      </c>
      <c r="B57" t="s">
        <v>277</v>
      </c>
      <c r="C57" t="s">
        <v>92</v>
      </c>
      <c r="D57" t="s">
        <v>1278</v>
      </c>
      <c r="E57" t="s">
        <v>92</v>
      </c>
    </row>
    <row r="58" spans="1:5" x14ac:dyDescent="0.25">
      <c r="A58" t="s">
        <v>374</v>
      </c>
      <c r="B58" t="s">
        <v>375</v>
      </c>
      <c r="C58" t="s">
        <v>92</v>
      </c>
      <c r="D58" t="s">
        <v>1278</v>
      </c>
      <c r="E58" t="s">
        <v>92</v>
      </c>
    </row>
    <row r="59" spans="1:5" x14ac:dyDescent="0.25">
      <c r="A59" t="s">
        <v>376</v>
      </c>
      <c r="B59" t="s">
        <v>377</v>
      </c>
      <c r="C59" t="s">
        <v>657</v>
      </c>
      <c r="D59" t="s">
        <v>1441</v>
      </c>
      <c r="E59" t="s">
        <v>1463</v>
      </c>
    </row>
    <row r="60" spans="1:5" x14ac:dyDescent="0.25">
      <c r="A60" t="s">
        <v>378</v>
      </c>
      <c r="B60" t="s">
        <v>379</v>
      </c>
      <c r="C60" t="s">
        <v>92</v>
      </c>
      <c r="D60" t="s">
        <v>1278</v>
      </c>
      <c r="E60" t="s">
        <v>92</v>
      </c>
    </row>
    <row r="61" spans="1:5" x14ac:dyDescent="0.25">
      <c r="A61" t="s">
        <v>278</v>
      </c>
      <c r="B61" t="s">
        <v>279</v>
      </c>
      <c r="C61" t="s">
        <v>92</v>
      </c>
      <c r="D61" t="s">
        <v>1278</v>
      </c>
      <c r="E61" t="s">
        <v>92</v>
      </c>
    </row>
    <row r="62" spans="1:5" x14ac:dyDescent="0.25">
      <c r="A62" t="s">
        <v>380</v>
      </c>
      <c r="B62" t="s">
        <v>381</v>
      </c>
      <c r="C62" t="s">
        <v>92</v>
      </c>
      <c r="D62" t="s">
        <v>1278</v>
      </c>
      <c r="E62" t="s">
        <v>92</v>
      </c>
    </row>
    <row r="63" spans="1:5" x14ac:dyDescent="0.25">
      <c r="A63" t="s">
        <v>382</v>
      </c>
      <c r="B63" t="s">
        <v>383</v>
      </c>
      <c r="C63" t="s">
        <v>657</v>
      </c>
      <c r="D63" t="s">
        <v>1441</v>
      </c>
      <c r="E63" t="s">
        <v>1464</v>
      </c>
    </row>
    <row r="64" spans="1:5" x14ac:dyDescent="0.25">
      <c r="A64" t="s">
        <v>384</v>
      </c>
      <c r="B64" t="s">
        <v>385</v>
      </c>
      <c r="C64" t="s">
        <v>92</v>
      </c>
      <c r="D64" t="s">
        <v>1278</v>
      </c>
      <c r="E64" t="s">
        <v>92</v>
      </c>
    </row>
    <row r="65" spans="1:5" x14ac:dyDescent="0.25">
      <c r="A65" t="s">
        <v>386</v>
      </c>
      <c r="B65" t="s">
        <v>387</v>
      </c>
      <c r="C65" t="s">
        <v>92</v>
      </c>
      <c r="D65" t="s">
        <v>1278</v>
      </c>
      <c r="E65" t="s">
        <v>92</v>
      </c>
    </row>
    <row r="66" spans="1:5" x14ac:dyDescent="0.25">
      <c r="A66" t="s">
        <v>121</v>
      </c>
      <c r="B66" t="s">
        <v>122</v>
      </c>
      <c r="C66" t="s">
        <v>92</v>
      </c>
      <c r="D66" t="s">
        <v>1278</v>
      </c>
      <c r="E66" t="s">
        <v>92</v>
      </c>
    </row>
    <row r="67" spans="1:5" x14ac:dyDescent="0.25">
      <c r="A67" t="s">
        <v>123</v>
      </c>
      <c r="B67" t="s">
        <v>124</v>
      </c>
      <c r="C67" t="s">
        <v>92</v>
      </c>
      <c r="D67" t="s">
        <v>1278</v>
      </c>
      <c r="E67" t="s">
        <v>92</v>
      </c>
    </row>
    <row r="68" spans="1:5" x14ac:dyDescent="0.25">
      <c r="A68" t="s">
        <v>125</v>
      </c>
      <c r="B68" t="s">
        <v>126</v>
      </c>
      <c r="C68" t="s">
        <v>92</v>
      </c>
      <c r="D68" t="s">
        <v>1278</v>
      </c>
      <c r="E68" t="s">
        <v>92</v>
      </c>
    </row>
    <row r="69" spans="1:5" x14ac:dyDescent="0.25">
      <c r="A69" t="s">
        <v>388</v>
      </c>
      <c r="B69" t="s">
        <v>389</v>
      </c>
      <c r="C69" t="s">
        <v>92</v>
      </c>
      <c r="D69" t="s">
        <v>1278</v>
      </c>
      <c r="E69" t="s">
        <v>92</v>
      </c>
    </row>
    <row r="70" spans="1:5" x14ac:dyDescent="0.25">
      <c r="A70" t="s">
        <v>390</v>
      </c>
      <c r="B70" t="s">
        <v>391</v>
      </c>
      <c r="C70" t="s">
        <v>657</v>
      </c>
      <c r="D70" t="s">
        <v>1441</v>
      </c>
      <c r="E70" t="s">
        <v>1465</v>
      </c>
    </row>
    <row r="71" spans="1:5" x14ac:dyDescent="0.25">
      <c r="A71" t="s">
        <v>392</v>
      </c>
      <c r="B71" t="s">
        <v>393</v>
      </c>
      <c r="C71" t="s">
        <v>657</v>
      </c>
      <c r="D71" t="s">
        <v>1441</v>
      </c>
      <c r="E71" t="s">
        <v>1466</v>
      </c>
    </row>
    <row r="72" spans="1:5" x14ac:dyDescent="0.25">
      <c r="A72" t="s">
        <v>394</v>
      </c>
      <c r="B72" t="s">
        <v>395</v>
      </c>
      <c r="C72" t="s">
        <v>657</v>
      </c>
      <c r="D72" t="s">
        <v>1441</v>
      </c>
      <c r="E72" t="s">
        <v>1467</v>
      </c>
    </row>
    <row r="73" spans="1:5" x14ac:dyDescent="0.25">
      <c r="A73" t="s">
        <v>127</v>
      </c>
      <c r="B73" t="s">
        <v>128</v>
      </c>
      <c r="C73" t="s">
        <v>92</v>
      </c>
      <c r="D73" t="s">
        <v>1278</v>
      </c>
      <c r="E73" t="s">
        <v>92</v>
      </c>
    </row>
    <row r="74" spans="1:5" x14ac:dyDescent="0.25">
      <c r="A74" t="s">
        <v>396</v>
      </c>
      <c r="B74" t="s">
        <v>397</v>
      </c>
      <c r="C74" t="s">
        <v>657</v>
      </c>
      <c r="D74" t="s">
        <v>1441</v>
      </c>
      <c r="E74" t="s">
        <v>1468</v>
      </c>
    </row>
    <row r="75" spans="1:5" x14ac:dyDescent="0.25">
      <c r="A75" t="s">
        <v>398</v>
      </c>
      <c r="B75" t="s">
        <v>399</v>
      </c>
      <c r="C75" t="s">
        <v>657</v>
      </c>
      <c r="D75" t="s">
        <v>1441</v>
      </c>
      <c r="E75" t="s">
        <v>1469</v>
      </c>
    </row>
    <row r="76" spans="1:5" x14ac:dyDescent="0.25">
      <c r="A76" t="s">
        <v>129</v>
      </c>
      <c r="B76" t="s">
        <v>130</v>
      </c>
      <c r="C76" t="s">
        <v>92</v>
      </c>
      <c r="D76" t="s">
        <v>1278</v>
      </c>
      <c r="E76" t="s">
        <v>92</v>
      </c>
    </row>
    <row r="77" spans="1:5" x14ac:dyDescent="0.25">
      <c r="A77" t="s">
        <v>280</v>
      </c>
      <c r="B77" t="s">
        <v>281</v>
      </c>
      <c r="C77" t="s">
        <v>92</v>
      </c>
      <c r="D77" t="s">
        <v>1278</v>
      </c>
      <c r="E77" t="s">
        <v>92</v>
      </c>
    </row>
    <row r="78" spans="1:5" x14ac:dyDescent="0.25">
      <c r="A78" t="s">
        <v>400</v>
      </c>
      <c r="B78" t="s">
        <v>401</v>
      </c>
      <c r="C78" t="s">
        <v>657</v>
      </c>
      <c r="D78" t="s">
        <v>1441</v>
      </c>
      <c r="E78" t="s">
        <v>1470</v>
      </c>
    </row>
    <row r="79" spans="1:5" x14ac:dyDescent="0.25">
      <c r="A79" t="s">
        <v>402</v>
      </c>
      <c r="B79" t="s">
        <v>403</v>
      </c>
      <c r="C79" t="s">
        <v>657</v>
      </c>
      <c r="D79" t="s">
        <v>1441</v>
      </c>
      <c r="E79" t="s">
        <v>1471</v>
      </c>
    </row>
    <row r="80" spans="1:5" x14ac:dyDescent="0.25">
      <c r="A80" t="s">
        <v>131</v>
      </c>
      <c r="B80" t="s">
        <v>132</v>
      </c>
      <c r="C80" t="s">
        <v>92</v>
      </c>
      <c r="D80" t="s">
        <v>1278</v>
      </c>
      <c r="E80" t="s">
        <v>92</v>
      </c>
    </row>
    <row r="81" spans="1:5" x14ac:dyDescent="0.25">
      <c r="A81" t="s">
        <v>133</v>
      </c>
      <c r="B81" t="s">
        <v>134</v>
      </c>
      <c r="C81" t="s">
        <v>92</v>
      </c>
      <c r="D81" t="s">
        <v>1278</v>
      </c>
      <c r="E81" t="s">
        <v>92</v>
      </c>
    </row>
    <row r="82" spans="1:5" x14ac:dyDescent="0.25">
      <c r="A82" t="s">
        <v>404</v>
      </c>
      <c r="B82" t="s">
        <v>405</v>
      </c>
      <c r="C82" t="s">
        <v>92</v>
      </c>
      <c r="D82" t="s">
        <v>1278</v>
      </c>
      <c r="E82" t="s">
        <v>92</v>
      </c>
    </row>
    <row r="83" spans="1:5" x14ac:dyDescent="0.25">
      <c r="A83" t="s">
        <v>406</v>
      </c>
      <c r="B83" t="s">
        <v>407</v>
      </c>
      <c r="C83" t="s">
        <v>92</v>
      </c>
      <c r="D83" t="s">
        <v>1278</v>
      </c>
      <c r="E83" t="s">
        <v>92</v>
      </c>
    </row>
    <row r="84" spans="1:5" x14ac:dyDescent="0.25">
      <c r="A84" t="s">
        <v>135</v>
      </c>
      <c r="B84" t="s">
        <v>136</v>
      </c>
      <c r="C84" t="s">
        <v>92</v>
      </c>
      <c r="D84" t="s">
        <v>1278</v>
      </c>
      <c r="E84" t="s">
        <v>92</v>
      </c>
    </row>
    <row r="85" spans="1:5" x14ac:dyDescent="0.25">
      <c r="A85" t="s">
        <v>408</v>
      </c>
      <c r="B85" t="s">
        <v>409</v>
      </c>
      <c r="C85" t="s">
        <v>657</v>
      </c>
      <c r="D85" t="s">
        <v>1441</v>
      </c>
      <c r="E85" t="s">
        <v>1472</v>
      </c>
    </row>
    <row r="86" spans="1:5" x14ac:dyDescent="0.25">
      <c r="A86" t="s">
        <v>137</v>
      </c>
      <c r="B86" t="s">
        <v>138</v>
      </c>
      <c r="C86" t="s">
        <v>657</v>
      </c>
      <c r="D86" t="s">
        <v>1441</v>
      </c>
      <c r="E86" t="s">
        <v>1473</v>
      </c>
    </row>
    <row r="87" spans="1:5" x14ac:dyDescent="0.25">
      <c r="A87" t="s">
        <v>410</v>
      </c>
      <c r="B87" t="s">
        <v>411</v>
      </c>
      <c r="C87" t="s">
        <v>657</v>
      </c>
      <c r="D87" t="s">
        <v>1441</v>
      </c>
      <c r="E87" t="s">
        <v>1474</v>
      </c>
    </row>
    <row r="88" spans="1:5" x14ac:dyDescent="0.25">
      <c r="A88" t="s">
        <v>412</v>
      </c>
      <c r="B88" t="s">
        <v>413</v>
      </c>
      <c r="C88" t="s">
        <v>657</v>
      </c>
      <c r="D88" t="s">
        <v>1441</v>
      </c>
      <c r="E88" t="s">
        <v>1475</v>
      </c>
    </row>
    <row r="89" spans="1:5" x14ac:dyDescent="0.25">
      <c r="A89" t="s">
        <v>414</v>
      </c>
      <c r="B89" t="s">
        <v>415</v>
      </c>
      <c r="C89" t="s">
        <v>657</v>
      </c>
      <c r="D89" t="s">
        <v>1441</v>
      </c>
      <c r="E89" t="s">
        <v>1476</v>
      </c>
    </row>
    <row r="90" spans="1:5" x14ac:dyDescent="0.25">
      <c r="A90" t="s">
        <v>416</v>
      </c>
      <c r="B90" t="s">
        <v>417</v>
      </c>
      <c r="C90" t="s">
        <v>657</v>
      </c>
      <c r="D90" t="s">
        <v>1441</v>
      </c>
      <c r="E90" t="s">
        <v>1477</v>
      </c>
    </row>
    <row r="91" spans="1:5" x14ac:dyDescent="0.25">
      <c r="A91" t="s">
        <v>139</v>
      </c>
      <c r="B91" t="s">
        <v>140</v>
      </c>
      <c r="C91" t="s">
        <v>92</v>
      </c>
      <c r="D91" t="s">
        <v>1278</v>
      </c>
      <c r="E91" t="s">
        <v>92</v>
      </c>
    </row>
    <row r="92" spans="1:5" x14ac:dyDescent="0.25">
      <c r="A92" t="s">
        <v>418</v>
      </c>
      <c r="B92" t="s">
        <v>419</v>
      </c>
      <c r="C92" t="s">
        <v>92</v>
      </c>
      <c r="D92" t="s">
        <v>1278</v>
      </c>
      <c r="E92" t="s">
        <v>92</v>
      </c>
    </row>
    <row r="93" spans="1:5" x14ac:dyDescent="0.25">
      <c r="A93" t="s">
        <v>420</v>
      </c>
      <c r="B93" t="s">
        <v>421</v>
      </c>
      <c r="C93" t="s">
        <v>657</v>
      </c>
      <c r="D93" t="s">
        <v>1441</v>
      </c>
      <c r="E93" t="s">
        <v>1478</v>
      </c>
    </row>
    <row r="94" spans="1:5" x14ac:dyDescent="0.25">
      <c r="A94" t="s">
        <v>141</v>
      </c>
      <c r="B94" t="s">
        <v>142</v>
      </c>
      <c r="C94" t="s">
        <v>92</v>
      </c>
      <c r="D94" t="s">
        <v>1278</v>
      </c>
      <c r="E94" t="s">
        <v>92</v>
      </c>
    </row>
    <row r="95" spans="1:5" x14ac:dyDescent="0.25">
      <c r="A95" t="s">
        <v>143</v>
      </c>
      <c r="B95" t="s">
        <v>144</v>
      </c>
      <c r="C95" t="s">
        <v>92</v>
      </c>
      <c r="D95" t="s">
        <v>1278</v>
      </c>
      <c r="E95" t="s">
        <v>92</v>
      </c>
    </row>
    <row r="96" spans="1:5" x14ac:dyDescent="0.25">
      <c r="A96" t="s">
        <v>422</v>
      </c>
      <c r="B96" t="s">
        <v>423</v>
      </c>
      <c r="C96" t="s">
        <v>92</v>
      </c>
      <c r="D96" t="s">
        <v>1278</v>
      </c>
      <c r="E96" t="s">
        <v>92</v>
      </c>
    </row>
    <row r="97" spans="1:5" x14ac:dyDescent="0.25">
      <c r="A97" t="s">
        <v>424</v>
      </c>
      <c r="B97" t="s">
        <v>425</v>
      </c>
      <c r="C97" t="s">
        <v>657</v>
      </c>
      <c r="D97" t="s">
        <v>1441</v>
      </c>
      <c r="E97" t="s">
        <v>1479</v>
      </c>
    </row>
    <row r="98" spans="1:5" x14ac:dyDescent="0.25">
      <c r="A98" t="s">
        <v>60</v>
      </c>
      <c r="B98" t="s">
        <v>17</v>
      </c>
      <c r="C98" t="s">
        <v>657</v>
      </c>
      <c r="D98" t="s">
        <v>1441</v>
      </c>
      <c r="E98" t="s">
        <v>1590</v>
      </c>
    </row>
    <row r="99" spans="1:5" x14ac:dyDescent="0.25">
      <c r="A99" t="s">
        <v>145</v>
      </c>
      <c r="B99" t="s">
        <v>146</v>
      </c>
      <c r="C99" t="s">
        <v>92</v>
      </c>
      <c r="D99" t="s">
        <v>1278</v>
      </c>
      <c r="E99" t="s">
        <v>92</v>
      </c>
    </row>
    <row r="100" spans="1:5" x14ac:dyDescent="0.25">
      <c r="A100" t="s">
        <v>426</v>
      </c>
      <c r="B100" t="s">
        <v>427</v>
      </c>
      <c r="C100" t="s">
        <v>657</v>
      </c>
      <c r="D100" t="s">
        <v>1441</v>
      </c>
      <c r="E100" t="s">
        <v>1480</v>
      </c>
    </row>
    <row r="101" spans="1:5" x14ac:dyDescent="0.25">
      <c r="A101" t="s">
        <v>428</v>
      </c>
      <c r="B101" t="s">
        <v>429</v>
      </c>
      <c r="C101" t="s">
        <v>657</v>
      </c>
      <c r="D101" t="s">
        <v>1441</v>
      </c>
      <c r="E101" t="s">
        <v>1481</v>
      </c>
    </row>
    <row r="102" spans="1:5" x14ac:dyDescent="0.25">
      <c r="A102" t="s">
        <v>78</v>
      </c>
      <c r="B102" t="s">
        <v>44</v>
      </c>
      <c r="C102" t="s">
        <v>657</v>
      </c>
      <c r="D102" t="s">
        <v>1441</v>
      </c>
      <c r="E102" t="s">
        <v>1593</v>
      </c>
    </row>
    <row r="103" spans="1:5" x14ac:dyDescent="0.25">
      <c r="A103" t="s">
        <v>1409</v>
      </c>
      <c r="B103" t="s">
        <v>1410</v>
      </c>
      <c r="C103" t="s">
        <v>92</v>
      </c>
      <c r="D103" t="s">
        <v>1278</v>
      </c>
      <c r="E103" t="s">
        <v>92</v>
      </c>
    </row>
    <row r="104" spans="1:5" x14ac:dyDescent="0.25">
      <c r="A104" t="s">
        <v>79</v>
      </c>
      <c r="B104" t="s">
        <v>48</v>
      </c>
      <c r="C104" t="s">
        <v>657</v>
      </c>
      <c r="D104" t="s">
        <v>1441</v>
      </c>
      <c r="E104" t="s">
        <v>1594</v>
      </c>
    </row>
    <row r="105" spans="1:5" x14ac:dyDescent="0.25">
      <c r="A105" t="s">
        <v>83</v>
      </c>
      <c r="B105" t="s">
        <v>1405</v>
      </c>
      <c r="C105" t="s">
        <v>657</v>
      </c>
      <c r="D105" t="s">
        <v>1441</v>
      </c>
      <c r="E105" t="s">
        <v>92</v>
      </c>
    </row>
    <row r="106" spans="1:5" x14ac:dyDescent="0.25">
      <c r="A106" t="s">
        <v>430</v>
      </c>
      <c r="B106" t="s">
        <v>431</v>
      </c>
      <c r="C106" t="s">
        <v>657</v>
      </c>
      <c r="D106" t="s">
        <v>1441</v>
      </c>
      <c r="E106" t="s">
        <v>1442</v>
      </c>
    </row>
    <row r="107" spans="1:5" x14ac:dyDescent="0.25">
      <c r="A107" t="s">
        <v>432</v>
      </c>
      <c r="B107" t="s">
        <v>433</v>
      </c>
      <c r="C107" t="s">
        <v>92</v>
      </c>
      <c r="D107" t="s">
        <v>1278</v>
      </c>
      <c r="E107" t="s">
        <v>92</v>
      </c>
    </row>
    <row r="108" spans="1:5" x14ac:dyDescent="0.25">
      <c r="A108" t="s">
        <v>147</v>
      </c>
      <c r="B108" t="s">
        <v>148</v>
      </c>
      <c r="C108" t="s">
        <v>92</v>
      </c>
      <c r="D108" t="s">
        <v>1278</v>
      </c>
      <c r="E108" t="s">
        <v>92</v>
      </c>
    </row>
    <row r="109" spans="1:5" x14ac:dyDescent="0.25">
      <c r="A109" t="s">
        <v>149</v>
      </c>
      <c r="B109" t="s">
        <v>150</v>
      </c>
      <c r="C109" t="s">
        <v>657</v>
      </c>
      <c r="D109" t="s">
        <v>1441</v>
      </c>
      <c r="E109" t="s">
        <v>1482</v>
      </c>
    </row>
    <row r="110" spans="1:5" x14ac:dyDescent="0.25">
      <c r="A110" t="s">
        <v>151</v>
      </c>
      <c r="B110" t="s">
        <v>152</v>
      </c>
      <c r="C110" t="s">
        <v>92</v>
      </c>
      <c r="D110" t="s">
        <v>1278</v>
      </c>
      <c r="E110" t="s">
        <v>92</v>
      </c>
    </row>
    <row r="111" spans="1:5" x14ac:dyDescent="0.25">
      <c r="A111" t="s">
        <v>434</v>
      </c>
      <c r="B111" t="s">
        <v>435</v>
      </c>
      <c r="C111" t="s">
        <v>657</v>
      </c>
      <c r="D111" t="s">
        <v>1441</v>
      </c>
      <c r="E111" t="s">
        <v>1483</v>
      </c>
    </row>
    <row r="112" spans="1:5" x14ac:dyDescent="0.25">
      <c r="A112" t="s">
        <v>436</v>
      </c>
      <c r="B112" t="s">
        <v>437</v>
      </c>
      <c r="C112" t="s">
        <v>657</v>
      </c>
      <c r="D112" t="s">
        <v>1441</v>
      </c>
      <c r="E112" t="s">
        <v>1443</v>
      </c>
    </row>
    <row r="113" spans="1:5" x14ac:dyDescent="0.25">
      <c r="A113" t="s">
        <v>438</v>
      </c>
      <c r="B113" t="s">
        <v>439</v>
      </c>
      <c r="C113" t="s">
        <v>92</v>
      </c>
      <c r="D113" t="s">
        <v>1278</v>
      </c>
      <c r="E113" t="s">
        <v>92</v>
      </c>
    </row>
    <row r="114" spans="1:5" x14ac:dyDescent="0.25">
      <c r="A114" t="s">
        <v>440</v>
      </c>
      <c r="B114" t="s">
        <v>441</v>
      </c>
      <c r="C114" t="s">
        <v>92</v>
      </c>
      <c r="D114" t="s">
        <v>1278</v>
      </c>
      <c r="E114" t="s">
        <v>92</v>
      </c>
    </row>
    <row r="115" spans="1:5" x14ac:dyDescent="0.25">
      <c r="A115" t="s">
        <v>442</v>
      </c>
      <c r="B115" t="s">
        <v>443</v>
      </c>
      <c r="C115" t="s">
        <v>657</v>
      </c>
      <c r="D115" t="s">
        <v>1441</v>
      </c>
      <c r="E115" t="s">
        <v>1484</v>
      </c>
    </row>
    <row r="116" spans="1:5" x14ac:dyDescent="0.25">
      <c r="A116" t="s">
        <v>444</v>
      </c>
      <c r="B116" t="s">
        <v>1396</v>
      </c>
      <c r="C116" t="s">
        <v>92</v>
      </c>
      <c r="D116" t="s">
        <v>1278</v>
      </c>
      <c r="E116" t="s">
        <v>92</v>
      </c>
    </row>
    <row r="117" spans="1:5" x14ac:dyDescent="0.25">
      <c r="A117" t="s">
        <v>282</v>
      </c>
      <c r="B117" t="s">
        <v>283</v>
      </c>
      <c r="C117" t="s">
        <v>92</v>
      </c>
      <c r="D117" t="s">
        <v>1278</v>
      </c>
      <c r="E117" t="s">
        <v>92</v>
      </c>
    </row>
    <row r="118" spans="1:5" x14ac:dyDescent="0.25">
      <c r="A118" t="s">
        <v>445</v>
      </c>
      <c r="B118" t="s">
        <v>446</v>
      </c>
      <c r="C118" t="s">
        <v>657</v>
      </c>
      <c r="D118" t="s">
        <v>1441</v>
      </c>
      <c r="E118" t="s">
        <v>1485</v>
      </c>
    </row>
    <row r="119" spans="1:5" x14ac:dyDescent="0.25">
      <c r="A119" t="s">
        <v>153</v>
      </c>
      <c r="B119" t="s">
        <v>154</v>
      </c>
      <c r="C119" t="s">
        <v>92</v>
      </c>
      <c r="D119" t="s">
        <v>1278</v>
      </c>
      <c r="E119" t="s">
        <v>92</v>
      </c>
    </row>
    <row r="120" spans="1:5" x14ac:dyDescent="0.25">
      <c r="A120" t="s">
        <v>284</v>
      </c>
      <c r="B120" t="s">
        <v>285</v>
      </c>
      <c r="C120" t="s">
        <v>657</v>
      </c>
      <c r="D120" t="s">
        <v>1441</v>
      </c>
      <c r="E120" t="s">
        <v>1486</v>
      </c>
    </row>
    <row r="121" spans="1:5" x14ac:dyDescent="0.25">
      <c r="A121" t="s">
        <v>447</v>
      </c>
      <c r="B121" t="s">
        <v>448</v>
      </c>
      <c r="C121" t="s">
        <v>657</v>
      </c>
      <c r="D121" t="s">
        <v>1441</v>
      </c>
      <c r="E121" t="s">
        <v>1487</v>
      </c>
    </row>
    <row r="122" spans="1:5" x14ac:dyDescent="0.25">
      <c r="A122" t="s">
        <v>286</v>
      </c>
      <c r="B122" t="s">
        <v>287</v>
      </c>
      <c r="C122" t="s">
        <v>92</v>
      </c>
      <c r="D122" t="s">
        <v>1278</v>
      </c>
      <c r="E122" t="s">
        <v>92</v>
      </c>
    </row>
    <row r="123" spans="1:5" x14ac:dyDescent="0.25">
      <c r="A123" t="s">
        <v>449</v>
      </c>
      <c r="B123" t="s">
        <v>450</v>
      </c>
      <c r="C123" t="s">
        <v>657</v>
      </c>
      <c r="D123" t="s">
        <v>1441</v>
      </c>
      <c r="E123" t="s">
        <v>1459</v>
      </c>
    </row>
    <row r="124" spans="1:5" x14ac:dyDescent="0.25">
      <c r="A124" t="s">
        <v>155</v>
      </c>
      <c r="B124" t="s">
        <v>156</v>
      </c>
      <c r="C124" t="s">
        <v>92</v>
      </c>
      <c r="D124" t="s">
        <v>1278</v>
      </c>
      <c r="E124" t="s">
        <v>92</v>
      </c>
    </row>
    <row r="125" spans="1:5" x14ac:dyDescent="0.25">
      <c r="A125" t="s">
        <v>157</v>
      </c>
      <c r="B125" t="s">
        <v>158</v>
      </c>
      <c r="C125" t="s">
        <v>92</v>
      </c>
      <c r="D125" t="s">
        <v>1278</v>
      </c>
      <c r="E125" t="s">
        <v>92</v>
      </c>
    </row>
    <row r="126" spans="1:5" x14ac:dyDescent="0.25">
      <c r="A126" t="s">
        <v>159</v>
      </c>
      <c r="B126" t="s">
        <v>160</v>
      </c>
      <c r="C126" t="s">
        <v>92</v>
      </c>
      <c r="D126" t="s">
        <v>1278</v>
      </c>
      <c r="E126" t="s">
        <v>92</v>
      </c>
    </row>
    <row r="127" spans="1:5" x14ac:dyDescent="0.25">
      <c r="A127" t="s">
        <v>161</v>
      </c>
      <c r="B127" t="s">
        <v>162</v>
      </c>
      <c r="C127" t="s">
        <v>92</v>
      </c>
      <c r="D127" t="s">
        <v>1278</v>
      </c>
      <c r="E127" t="s">
        <v>92</v>
      </c>
    </row>
    <row r="128" spans="1:5" x14ac:dyDescent="0.25">
      <c r="A128" t="s">
        <v>163</v>
      </c>
      <c r="B128" t="s">
        <v>164</v>
      </c>
      <c r="C128" t="s">
        <v>92</v>
      </c>
      <c r="D128" t="s">
        <v>1278</v>
      </c>
      <c r="E128" t="s">
        <v>92</v>
      </c>
    </row>
    <row r="129" spans="1:5" x14ac:dyDescent="0.25">
      <c r="A129" t="s">
        <v>451</v>
      </c>
      <c r="B129" t="s">
        <v>452</v>
      </c>
      <c r="C129" t="s">
        <v>657</v>
      </c>
      <c r="D129" t="s">
        <v>1441</v>
      </c>
      <c r="E129" t="s">
        <v>1488</v>
      </c>
    </row>
    <row r="130" spans="1:5" x14ac:dyDescent="0.25">
      <c r="A130" t="s">
        <v>453</v>
      </c>
      <c r="B130" t="s">
        <v>454</v>
      </c>
      <c r="C130" t="s">
        <v>657</v>
      </c>
      <c r="D130" t="s">
        <v>1441</v>
      </c>
      <c r="E130" t="s">
        <v>1489</v>
      </c>
    </row>
    <row r="131" spans="1:5" x14ac:dyDescent="0.25">
      <c r="A131" t="s">
        <v>455</v>
      </c>
      <c r="B131" t="s">
        <v>456</v>
      </c>
      <c r="C131" t="s">
        <v>657</v>
      </c>
      <c r="D131" t="s">
        <v>1441</v>
      </c>
      <c r="E131" t="s">
        <v>1490</v>
      </c>
    </row>
    <row r="132" spans="1:5" x14ac:dyDescent="0.25">
      <c r="A132" t="s">
        <v>457</v>
      </c>
      <c r="B132" t="s">
        <v>458</v>
      </c>
      <c r="C132" t="s">
        <v>657</v>
      </c>
      <c r="D132" t="s">
        <v>1441</v>
      </c>
      <c r="E132" t="s">
        <v>1491</v>
      </c>
    </row>
    <row r="133" spans="1:5" x14ac:dyDescent="0.25">
      <c r="A133" t="s">
        <v>80</v>
      </c>
      <c r="B133" t="s">
        <v>31</v>
      </c>
      <c r="C133" t="s">
        <v>92</v>
      </c>
      <c r="D133" t="s">
        <v>1278</v>
      </c>
      <c r="E133" t="s">
        <v>92</v>
      </c>
    </row>
    <row r="134" spans="1:5" x14ac:dyDescent="0.25">
      <c r="A134" t="s">
        <v>459</v>
      </c>
      <c r="B134" t="s">
        <v>460</v>
      </c>
      <c r="C134" t="s">
        <v>657</v>
      </c>
      <c r="D134" t="s">
        <v>1441</v>
      </c>
      <c r="E134" t="s">
        <v>1492</v>
      </c>
    </row>
    <row r="135" spans="1:5" x14ac:dyDescent="0.25">
      <c r="A135" t="s">
        <v>165</v>
      </c>
      <c r="B135" t="s">
        <v>166</v>
      </c>
      <c r="C135" t="s">
        <v>92</v>
      </c>
      <c r="D135" t="s">
        <v>1278</v>
      </c>
      <c r="E135" t="s">
        <v>92</v>
      </c>
    </row>
    <row r="136" spans="1:5" x14ac:dyDescent="0.25">
      <c r="A136" t="s">
        <v>461</v>
      </c>
      <c r="B136" t="s">
        <v>462</v>
      </c>
      <c r="C136" t="s">
        <v>657</v>
      </c>
      <c r="D136" t="s">
        <v>1441</v>
      </c>
      <c r="E136" t="s">
        <v>1493</v>
      </c>
    </row>
    <row r="137" spans="1:5" x14ac:dyDescent="0.25">
      <c r="A137" t="s">
        <v>463</v>
      </c>
      <c r="B137" t="s">
        <v>464</v>
      </c>
      <c r="C137" t="s">
        <v>657</v>
      </c>
      <c r="D137" t="s">
        <v>1441</v>
      </c>
      <c r="E137" t="s">
        <v>1494</v>
      </c>
    </row>
    <row r="138" spans="1:5" x14ac:dyDescent="0.25">
      <c r="A138" t="s">
        <v>288</v>
      </c>
      <c r="B138" t="s">
        <v>289</v>
      </c>
      <c r="C138" t="s">
        <v>657</v>
      </c>
      <c r="D138" t="s">
        <v>1441</v>
      </c>
      <c r="E138" t="s">
        <v>1495</v>
      </c>
    </row>
    <row r="139" spans="1:5" x14ac:dyDescent="0.25">
      <c r="A139" t="s">
        <v>465</v>
      </c>
      <c r="B139" t="s">
        <v>466</v>
      </c>
      <c r="C139" t="s">
        <v>657</v>
      </c>
      <c r="D139" t="s">
        <v>1441</v>
      </c>
      <c r="E139" t="s">
        <v>1496</v>
      </c>
    </row>
    <row r="140" spans="1:5" x14ac:dyDescent="0.25">
      <c r="A140" t="s">
        <v>467</v>
      </c>
      <c r="B140" t="s">
        <v>468</v>
      </c>
      <c r="C140" t="s">
        <v>657</v>
      </c>
      <c r="D140" t="s">
        <v>1441</v>
      </c>
      <c r="E140" t="s">
        <v>1497</v>
      </c>
    </row>
    <row r="141" spans="1:5" x14ac:dyDescent="0.25">
      <c r="A141" t="s">
        <v>167</v>
      </c>
      <c r="B141" t="s">
        <v>168</v>
      </c>
      <c r="C141" t="s">
        <v>92</v>
      </c>
      <c r="D141" t="s">
        <v>1278</v>
      </c>
      <c r="E141" t="s">
        <v>92</v>
      </c>
    </row>
    <row r="142" spans="1:5" x14ac:dyDescent="0.25">
      <c r="A142" t="s">
        <v>469</v>
      </c>
      <c r="B142" t="s">
        <v>470</v>
      </c>
      <c r="C142" t="s">
        <v>92</v>
      </c>
      <c r="D142" t="s">
        <v>1278</v>
      </c>
      <c r="E142" t="s">
        <v>92</v>
      </c>
    </row>
    <row r="143" spans="1:5" x14ac:dyDescent="0.25">
      <c r="A143" t="s">
        <v>169</v>
      </c>
      <c r="B143" t="s">
        <v>170</v>
      </c>
      <c r="C143" t="s">
        <v>92</v>
      </c>
      <c r="D143" t="s">
        <v>1278</v>
      </c>
      <c r="E143" t="s">
        <v>92</v>
      </c>
    </row>
    <row r="144" spans="1:5" x14ac:dyDescent="0.25">
      <c r="A144" t="s">
        <v>171</v>
      </c>
      <c r="B144" t="s">
        <v>172</v>
      </c>
      <c r="C144" t="s">
        <v>92</v>
      </c>
      <c r="D144" t="s">
        <v>1278</v>
      </c>
      <c r="E144" t="s">
        <v>92</v>
      </c>
    </row>
    <row r="145" spans="1:5" x14ac:dyDescent="0.25">
      <c r="A145" t="s">
        <v>173</v>
      </c>
      <c r="B145" t="s">
        <v>174</v>
      </c>
      <c r="C145" t="s">
        <v>92</v>
      </c>
      <c r="D145" t="s">
        <v>1278</v>
      </c>
      <c r="E145" t="s">
        <v>92</v>
      </c>
    </row>
    <row r="146" spans="1:5" x14ac:dyDescent="0.25">
      <c r="A146" t="s">
        <v>175</v>
      </c>
      <c r="B146" t="s">
        <v>176</v>
      </c>
      <c r="C146" t="s">
        <v>92</v>
      </c>
      <c r="D146" t="s">
        <v>1278</v>
      </c>
      <c r="E146" t="s">
        <v>92</v>
      </c>
    </row>
    <row r="147" spans="1:5" x14ac:dyDescent="0.25">
      <c r="A147" t="s">
        <v>471</v>
      </c>
      <c r="B147" t="s">
        <v>472</v>
      </c>
      <c r="C147" t="s">
        <v>92</v>
      </c>
      <c r="D147" t="s">
        <v>1278</v>
      </c>
      <c r="E147" t="s">
        <v>92</v>
      </c>
    </row>
    <row r="148" spans="1:5" x14ac:dyDescent="0.25">
      <c r="A148" t="s">
        <v>473</v>
      </c>
      <c r="B148" t="s">
        <v>474</v>
      </c>
      <c r="C148" t="s">
        <v>657</v>
      </c>
      <c r="D148" t="s">
        <v>1441</v>
      </c>
      <c r="E148" t="s">
        <v>1498</v>
      </c>
    </row>
    <row r="149" spans="1:5" x14ac:dyDescent="0.25">
      <c r="A149" t="s">
        <v>177</v>
      </c>
      <c r="B149" t="s">
        <v>178</v>
      </c>
      <c r="C149" t="s">
        <v>92</v>
      </c>
      <c r="D149" t="s">
        <v>1278</v>
      </c>
      <c r="E149" t="s">
        <v>92</v>
      </c>
    </row>
    <row r="150" spans="1:5" x14ac:dyDescent="0.25">
      <c r="A150" t="s">
        <v>475</v>
      </c>
      <c r="B150" t="s">
        <v>476</v>
      </c>
      <c r="C150" t="s">
        <v>657</v>
      </c>
      <c r="D150" t="s">
        <v>1441</v>
      </c>
      <c r="E150" t="s">
        <v>1499</v>
      </c>
    </row>
    <row r="151" spans="1:5" x14ac:dyDescent="0.25">
      <c r="A151" t="s">
        <v>477</v>
      </c>
      <c r="B151" t="s">
        <v>478</v>
      </c>
      <c r="C151" t="s">
        <v>92</v>
      </c>
      <c r="D151" t="s">
        <v>1278</v>
      </c>
      <c r="E151" t="s">
        <v>92</v>
      </c>
    </row>
    <row r="152" spans="1:5" x14ac:dyDescent="0.25">
      <c r="A152" t="s">
        <v>479</v>
      </c>
      <c r="B152" t="s">
        <v>480</v>
      </c>
      <c r="C152" t="s">
        <v>92</v>
      </c>
      <c r="D152" t="s">
        <v>1278</v>
      </c>
      <c r="E152" t="s">
        <v>92</v>
      </c>
    </row>
    <row r="153" spans="1:5" x14ac:dyDescent="0.25">
      <c r="A153" t="s">
        <v>481</v>
      </c>
      <c r="B153" t="s">
        <v>482</v>
      </c>
      <c r="C153" t="s">
        <v>657</v>
      </c>
      <c r="D153" t="s">
        <v>1441</v>
      </c>
      <c r="E153" t="s">
        <v>1500</v>
      </c>
    </row>
    <row r="154" spans="1:5" x14ac:dyDescent="0.25">
      <c r="A154" t="s">
        <v>483</v>
      </c>
      <c r="B154" t="s">
        <v>484</v>
      </c>
      <c r="C154" t="s">
        <v>657</v>
      </c>
      <c r="D154" t="s">
        <v>1441</v>
      </c>
      <c r="E154" t="s">
        <v>1501</v>
      </c>
    </row>
    <row r="155" spans="1:5" x14ac:dyDescent="0.25">
      <c r="A155" t="s">
        <v>485</v>
      </c>
      <c r="B155" t="s">
        <v>486</v>
      </c>
      <c r="C155" t="s">
        <v>92</v>
      </c>
      <c r="D155" t="s">
        <v>1278</v>
      </c>
      <c r="E155" t="s">
        <v>92</v>
      </c>
    </row>
    <row r="156" spans="1:5" x14ac:dyDescent="0.25">
      <c r="A156" t="s">
        <v>179</v>
      </c>
      <c r="B156" t="s">
        <v>180</v>
      </c>
      <c r="C156" t="s">
        <v>92</v>
      </c>
      <c r="D156" t="s">
        <v>1278</v>
      </c>
      <c r="E156" t="s">
        <v>92</v>
      </c>
    </row>
    <row r="157" spans="1:5" x14ac:dyDescent="0.25">
      <c r="A157" t="s">
        <v>487</v>
      </c>
      <c r="B157" t="s">
        <v>488</v>
      </c>
      <c r="C157" t="s">
        <v>92</v>
      </c>
      <c r="D157" t="s">
        <v>1278</v>
      </c>
      <c r="E157" t="s">
        <v>92</v>
      </c>
    </row>
    <row r="158" spans="1:5" x14ac:dyDescent="0.25">
      <c r="A158" t="s">
        <v>290</v>
      </c>
      <c r="B158" t="s">
        <v>291</v>
      </c>
      <c r="C158" t="s">
        <v>92</v>
      </c>
      <c r="D158" t="s">
        <v>1278</v>
      </c>
      <c r="E158" t="s">
        <v>92</v>
      </c>
    </row>
    <row r="159" spans="1:5" x14ac:dyDescent="0.25">
      <c r="A159" t="s">
        <v>489</v>
      </c>
      <c r="B159" t="s">
        <v>490</v>
      </c>
      <c r="C159" t="s">
        <v>92</v>
      </c>
      <c r="D159" t="s">
        <v>1278</v>
      </c>
      <c r="E159" t="s">
        <v>92</v>
      </c>
    </row>
    <row r="160" spans="1:5" x14ac:dyDescent="0.25">
      <c r="A160" t="s">
        <v>491</v>
      </c>
      <c r="B160" t="s">
        <v>492</v>
      </c>
      <c r="C160" t="s">
        <v>92</v>
      </c>
      <c r="D160" t="s">
        <v>1278</v>
      </c>
      <c r="E160" t="s">
        <v>92</v>
      </c>
    </row>
    <row r="161" spans="1:5" x14ac:dyDescent="0.25">
      <c r="A161" t="s">
        <v>493</v>
      </c>
      <c r="B161" t="s">
        <v>494</v>
      </c>
      <c r="C161" t="s">
        <v>92</v>
      </c>
      <c r="D161" t="s">
        <v>1278</v>
      </c>
      <c r="E161" t="s">
        <v>92</v>
      </c>
    </row>
    <row r="162" spans="1:5" x14ac:dyDescent="0.25">
      <c r="A162" t="s">
        <v>495</v>
      </c>
      <c r="B162" t="s">
        <v>496</v>
      </c>
      <c r="C162" t="s">
        <v>657</v>
      </c>
      <c r="D162" t="s">
        <v>1441</v>
      </c>
      <c r="E162" t="s">
        <v>1502</v>
      </c>
    </row>
    <row r="163" spans="1:5" x14ac:dyDescent="0.25">
      <c r="A163" t="s">
        <v>497</v>
      </c>
      <c r="B163" t="s">
        <v>498</v>
      </c>
      <c r="C163" t="s">
        <v>657</v>
      </c>
      <c r="D163" t="s">
        <v>1441</v>
      </c>
      <c r="E163" t="s">
        <v>1503</v>
      </c>
    </row>
    <row r="164" spans="1:5" x14ac:dyDescent="0.25">
      <c r="A164" t="s">
        <v>499</v>
      </c>
      <c r="B164" t="s">
        <v>500</v>
      </c>
      <c r="C164" t="s">
        <v>92</v>
      </c>
      <c r="D164" t="s">
        <v>1278</v>
      </c>
      <c r="E164" t="s">
        <v>92</v>
      </c>
    </row>
    <row r="165" spans="1:5" x14ac:dyDescent="0.25">
      <c r="A165" t="s">
        <v>181</v>
      </c>
      <c r="B165" t="s">
        <v>182</v>
      </c>
      <c r="C165" t="s">
        <v>92</v>
      </c>
      <c r="D165" t="s">
        <v>1278</v>
      </c>
      <c r="E165" t="s">
        <v>92</v>
      </c>
    </row>
    <row r="166" spans="1:5" x14ac:dyDescent="0.25">
      <c r="A166" t="s">
        <v>501</v>
      </c>
      <c r="B166" t="s">
        <v>502</v>
      </c>
      <c r="C166" t="s">
        <v>657</v>
      </c>
      <c r="D166" t="s">
        <v>1441</v>
      </c>
      <c r="E166" t="s">
        <v>1504</v>
      </c>
    </row>
    <row r="167" spans="1:5" x14ac:dyDescent="0.25">
      <c r="A167" t="s">
        <v>503</v>
      </c>
      <c r="B167" t="s">
        <v>504</v>
      </c>
      <c r="C167" t="s">
        <v>657</v>
      </c>
      <c r="D167" t="s">
        <v>1441</v>
      </c>
      <c r="E167" t="s">
        <v>1505</v>
      </c>
    </row>
    <row r="168" spans="1:5" x14ac:dyDescent="0.25">
      <c r="A168" t="s">
        <v>183</v>
      </c>
      <c r="B168" t="s">
        <v>184</v>
      </c>
      <c r="C168" t="s">
        <v>92</v>
      </c>
      <c r="D168" t="s">
        <v>1278</v>
      </c>
      <c r="E168" t="s">
        <v>92</v>
      </c>
    </row>
    <row r="169" spans="1:5" x14ac:dyDescent="0.25">
      <c r="A169" t="s">
        <v>505</v>
      </c>
      <c r="B169" t="s">
        <v>506</v>
      </c>
      <c r="C169" t="s">
        <v>92</v>
      </c>
      <c r="D169" t="s">
        <v>1278</v>
      </c>
      <c r="E169" t="s">
        <v>92</v>
      </c>
    </row>
    <row r="170" spans="1:5" x14ac:dyDescent="0.25">
      <c r="A170" t="s">
        <v>507</v>
      </c>
      <c r="B170" t="s">
        <v>508</v>
      </c>
      <c r="C170" t="s">
        <v>92</v>
      </c>
      <c r="D170" t="s">
        <v>1278</v>
      </c>
      <c r="E170" t="s">
        <v>92</v>
      </c>
    </row>
    <row r="171" spans="1:5" x14ac:dyDescent="0.25">
      <c r="A171" t="s">
        <v>185</v>
      </c>
      <c r="B171" t="s">
        <v>186</v>
      </c>
      <c r="C171" t="s">
        <v>92</v>
      </c>
      <c r="D171" t="s">
        <v>1278</v>
      </c>
      <c r="E171" t="s">
        <v>92</v>
      </c>
    </row>
    <row r="172" spans="1:5" x14ac:dyDescent="0.25">
      <c r="A172" t="s">
        <v>509</v>
      </c>
      <c r="B172" t="s">
        <v>510</v>
      </c>
      <c r="C172" t="s">
        <v>657</v>
      </c>
      <c r="D172" t="s">
        <v>1441</v>
      </c>
      <c r="E172" t="s">
        <v>1506</v>
      </c>
    </row>
    <row r="173" spans="1:5" x14ac:dyDescent="0.25">
      <c r="A173" t="s">
        <v>187</v>
      </c>
      <c r="B173" t="s">
        <v>188</v>
      </c>
      <c r="C173" t="s">
        <v>92</v>
      </c>
      <c r="D173" t="s">
        <v>1278</v>
      </c>
      <c r="E173" t="s">
        <v>92</v>
      </c>
    </row>
    <row r="174" spans="1:5" x14ac:dyDescent="0.25">
      <c r="A174" t="s">
        <v>189</v>
      </c>
      <c r="B174" t="s">
        <v>190</v>
      </c>
      <c r="C174" t="s">
        <v>92</v>
      </c>
      <c r="D174" t="s">
        <v>1278</v>
      </c>
      <c r="E174" t="s">
        <v>92</v>
      </c>
    </row>
    <row r="175" spans="1:5" x14ac:dyDescent="0.25">
      <c r="A175" t="s">
        <v>191</v>
      </c>
      <c r="B175" t="s">
        <v>192</v>
      </c>
      <c r="C175" t="s">
        <v>92</v>
      </c>
      <c r="D175" t="s">
        <v>1278</v>
      </c>
      <c r="E175" t="s">
        <v>92</v>
      </c>
    </row>
    <row r="176" spans="1:5" x14ac:dyDescent="0.25">
      <c r="A176" t="s">
        <v>511</v>
      </c>
      <c r="B176" t="s">
        <v>512</v>
      </c>
      <c r="C176" t="s">
        <v>657</v>
      </c>
      <c r="D176" t="s">
        <v>1441</v>
      </c>
      <c r="E176" t="s">
        <v>1507</v>
      </c>
    </row>
    <row r="177" spans="1:5" x14ac:dyDescent="0.25">
      <c r="A177" t="s">
        <v>513</v>
      </c>
      <c r="B177" t="s">
        <v>514</v>
      </c>
      <c r="C177" t="s">
        <v>657</v>
      </c>
      <c r="D177" t="s">
        <v>1441</v>
      </c>
      <c r="E177" t="s">
        <v>1493</v>
      </c>
    </row>
    <row r="178" spans="1:5" x14ac:dyDescent="0.25">
      <c r="A178" t="s">
        <v>515</v>
      </c>
      <c r="B178" t="s">
        <v>516</v>
      </c>
      <c r="C178" t="s">
        <v>657</v>
      </c>
      <c r="D178" t="s">
        <v>1441</v>
      </c>
      <c r="E178" t="s">
        <v>1508</v>
      </c>
    </row>
    <row r="179" spans="1:5" x14ac:dyDescent="0.25">
      <c r="A179" t="s">
        <v>292</v>
      </c>
      <c r="B179" t="s">
        <v>293</v>
      </c>
      <c r="C179" t="s">
        <v>92</v>
      </c>
      <c r="D179" t="s">
        <v>1278</v>
      </c>
      <c r="E179" t="s">
        <v>92</v>
      </c>
    </row>
    <row r="180" spans="1:5" x14ac:dyDescent="0.25">
      <c r="A180" t="s">
        <v>517</v>
      </c>
      <c r="B180" t="s">
        <v>518</v>
      </c>
      <c r="C180" t="s">
        <v>657</v>
      </c>
      <c r="D180" t="s">
        <v>1441</v>
      </c>
      <c r="E180" t="s">
        <v>1509</v>
      </c>
    </row>
    <row r="181" spans="1:5" x14ac:dyDescent="0.25">
      <c r="A181" t="s">
        <v>193</v>
      </c>
      <c r="B181" t="s">
        <v>194</v>
      </c>
      <c r="C181" t="s">
        <v>92</v>
      </c>
      <c r="D181" t="s">
        <v>1278</v>
      </c>
      <c r="E181" t="s">
        <v>92</v>
      </c>
    </row>
    <row r="182" spans="1:5" x14ac:dyDescent="0.25">
      <c r="A182" t="s">
        <v>519</v>
      </c>
      <c r="B182" t="s">
        <v>520</v>
      </c>
      <c r="C182" t="s">
        <v>657</v>
      </c>
      <c r="D182" t="s">
        <v>1441</v>
      </c>
      <c r="E182" t="s">
        <v>1510</v>
      </c>
    </row>
    <row r="183" spans="1:5" x14ac:dyDescent="0.25">
      <c r="A183" t="s">
        <v>521</v>
      </c>
      <c r="B183" t="s">
        <v>522</v>
      </c>
      <c r="C183" t="s">
        <v>92</v>
      </c>
      <c r="D183" t="s">
        <v>1278</v>
      </c>
      <c r="E183" t="s">
        <v>92</v>
      </c>
    </row>
    <row r="184" spans="1:5" x14ac:dyDescent="0.25">
      <c r="A184" t="s">
        <v>523</v>
      </c>
      <c r="B184" t="s">
        <v>524</v>
      </c>
      <c r="C184" t="s">
        <v>657</v>
      </c>
      <c r="D184" t="s">
        <v>1441</v>
      </c>
      <c r="E184" t="s">
        <v>1511</v>
      </c>
    </row>
    <row r="185" spans="1:5" x14ac:dyDescent="0.25">
      <c r="A185" t="s">
        <v>525</v>
      </c>
      <c r="B185" t="s">
        <v>526</v>
      </c>
      <c r="C185" t="s">
        <v>92</v>
      </c>
      <c r="D185" t="s">
        <v>1278</v>
      </c>
      <c r="E185" t="s">
        <v>92</v>
      </c>
    </row>
    <row r="186" spans="1:5" x14ac:dyDescent="0.25">
      <c r="A186" t="s">
        <v>294</v>
      </c>
      <c r="B186" t="s">
        <v>295</v>
      </c>
      <c r="C186" t="s">
        <v>92</v>
      </c>
      <c r="D186" t="s">
        <v>1278</v>
      </c>
      <c r="E186" t="s">
        <v>92</v>
      </c>
    </row>
    <row r="187" spans="1:5" x14ac:dyDescent="0.25">
      <c r="A187" t="s">
        <v>527</v>
      </c>
      <c r="B187" t="s">
        <v>528</v>
      </c>
      <c r="C187" t="s">
        <v>657</v>
      </c>
      <c r="D187" t="s">
        <v>1441</v>
      </c>
      <c r="E187" t="s">
        <v>1512</v>
      </c>
    </row>
    <row r="188" spans="1:5" x14ac:dyDescent="0.25">
      <c r="A188" t="s">
        <v>529</v>
      </c>
      <c r="B188" t="s">
        <v>530</v>
      </c>
      <c r="C188" t="s">
        <v>92</v>
      </c>
      <c r="D188" t="s">
        <v>1278</v>
      </c>
      <c r="E188" t="s">
        <v>92</v>
      </c>
    </row>
    <row r="189" spans="1:5" x14ac:dyDescent="0.25">
      <c r="A189" t="s">
        <v>531</v>
      </c>
      <c r="B189" t="s">
        <v>532</v>
      </c>
      <c r="C189" t="s">
        <v>657</v>
      </c>
      <c r="D189" t="s">
        <v>1441</v>
      </c>
      <c r="E189" t="s">
        <v>1513</v>
      </c>
    </row>
    <row r="190" spans="1:5" x14ac:dyDescent="0.25">
      <c r="A190" t="s">
        <v>296</v>
      </c>
      <c r="B190" t="s">
        <v>297</v>
      </c>
      <c r="C190" t="s">
        <v>92</v>
      </c>
      <c r="D190" t="s">
        <v>1278</v>
      </c>
      <c r="E190" t="s">
        <v>92</v>
      </c>
    </row>
    <row r="191" spans="1:5" x14ac:dyDescent="0.25">
      <c r="A191" t="s">
        <v>533</v>
      </c>
      <c r="B191" t="s">
        <v>534</v>
      </c>
      <c r="C191" t="s">
        <v>657</v>
      </c>
      <c r="D191" t="s">
        <v>1441</v>
      </c>
      <c r="E191" t="s">
        <v>1514</v>
      </c>
    </row>
    <row r="192" spans="1:5" x14ac:dyDescent="0.25">
      <c r="A192" t="s">
        <v>535</v>
      </c>
      <c r="B192" t="s">
        <v>536</v>
      </c>
      <c r="C192" t="s">
        <v>657</v>
      </c>
      <c r="D192" t="s">
        <v>1441</v>
      </c>
      <c r="E192" t="s">
        <v>1515</v>
      </c>
    </row>
    <row r="193" spans="1:5" x14ac:dyDescent="0.25">
      <c r="A193" t="s">
        <v>537</v>
      </c>
      <c r="B193" t="s">
        <v>538</v>
      </c>
      <c r="C193" t="s">
        <v>92</v>
      </c>
      <c r="D193" t="s">
        <v>1278</v>
      </c>
      <c r="E193" t="s">
        <v>92</v>
      </c>
    </row>
    <row r="194" spans="1:5" x14ac:dyDescent="0.25">
      <c r="A194" t="s">
        <v>655</v>
      </c>
      <c r="B194" t="s">
        <v>656</v>
      </c>
      <c r="C194" t="s">
        <v>657</v>
      </c>
      <c r="D194" t="s">
        <v>1441</v>
      </c>
      <c r="E194" t="s">
        <v>1545</v>
      </c>
    </row>
    <row r="195" spans="1:5" x14ac:dyDescent="0.25">
      <c r="A195" t="s">
        <v>539</v>
      </c>
      <c r="B195" t="s">
        <v>540</v>
      </c>
      <c r="C195" t="s">
        <v>92</v>
      </c>
      <c r="D195" t="s">
        <v>1278</v>
      </c>
      <c r="E195" t="s">
        <v>92</v>
      </c>
    </row>
    <row r="196" spans="1:5" x14ac:dyDescent="0.25">
      <c r="A196" t="s">
        <v>541</v>
      </c>
      <c r="B196" t="s">
        <v>542</v>
      </c>
      <c r="C196" t="s">
        <v>92</v>
      </c>
      <c r="D196" t="s">
        <v>1278</v>
      </c>
      <c r="E196" t="s">
        <v>92</v>
      </c>
    </row>
    <row r="197" spans="1:5" x14ac:dyDescent="0.25">
      <c r="A197" t="s">
        <v>195</v>
      </c>
      <c r="B197" t="s">
        <v>196</v>
      </c>
      <c r="C197" t="s">
        <v>92</v>
      </c>
      <c r="D197" t="s">
        <v>1278</v>
      </c>
      <c r="E197" t="s">
        <v>92</v>
      </c>
    </row>
    <row r="198" spans="1:5" x14ac:dyDescent="0.25">
      <c r="A198" t="s">
        <v>298</v>
      </c>
      <c r="B198" t="s">
        <v>299</v>
      </c>
      <c r="C198" t="s">
        <v>92</v>
      </c>
      <c r="D198" t="s">
        <v>1278</v>
      </c>
      <c r="E198" t="s">
        <v>92</v>
      </c>
    </row>
    <row r="199" spans="1:5" x14ac:dyDescent="0.25">
      <c r="A199" t="s">
        <v>197</v>
      </c>
      <c r="B199" t="s">
        <v>198</v>
      </c>
      <c r="C199" t="s">
        <v>92</v>
      </c>
      <c r="D199" t="s">
        <v>1278</v>
      </c>
      <c r="E199" t="s">
        <v>92</v>
      </c>
    </row>
    <row r="200" spans="1:5" x14ac:dyDescent="0.25">
      <c r="A200" t="s">
        <v>87</v>
      </c>
      <c r="B200" t="s">
        <v>1406</v>
      </c>
      <c r="C200" t="s">
        <v>92</v>
      </c>
      <c r="D200" t="s">
        <v>1278</v>
      </c>
      <c r="E200" t="s">
        <v>92</v>
      </c>
    </row>
    <row r="201" spans="1:5" x14ac:dyDescent="0.25">
      <c r="A201" t="s">
        <v>543</v>
      </c>
      <c r="B201" t="s">
        <v>544</v>
      </c>
      <c r="C201" t="s">
        <v>92</v>
      </c>
      <c r="D201" t="s">
        <v>1278</v>
      </c>
      <c r="E201" t="s">
        <v>92</v>
      </c>
    </row>
    <row r="202" spans="1:5" x14ac:dyDescent="0.25">
      <c r="A202" t="s">
        <v>545</v>
      </c>
      <c r="B202" t="s">
        <v>546</v>
      </c>
      <c r="C202" t="s">
        <v>657</v>
      </c>
      <c r="D202" t="s">
        <v>1441</v>
      </c>
      <c r="E202" t="s">
        <v>1516</v>
      </c>
    </row>
    <row r="203" spans="1:5" x14ac:dyDescent="0.25">
      <c r="A203" t="s">
        <v>547</v>
      </c>
      <c r="B203" t="s">
        <v>548</v>
      </c>
      <c r="C203" t="s">
        <v>92</v>
      </c>
      <c r="D203" t="s">
        <v>1278</v>
      </c>
      <c r="E203" t="s">
        <v>92</v>
      </c>
    </row>
    <row r="204" spans="1:5" x14ac:dyDescent="0.25">
      <c r="A204" t="s">
        <v>549</v>
      </c>
      <c r="B204" t="s">
        <v>550</v>
      </c>
      <c r="C204" t="s">
        <v>92</v>
      </c>
      <c r="D204" t="s">
        <v>1278</v>
      </c>
      <c r="E204" t="s">
        <v>92</v>
      </c>
    </row>
    <row r="205" spans="1:5" x14ac:dyDescent="0.25">
      <c r="A205" t="s">
        <v>551</v>
      </c>
      <c r="B205" t="s">
        <v>552</v>
      </c>
      <c r="C205" t="s">
        <v>92</v>
      </c>
      <c r="D205" t="s">
        <v>1278</v>
      </c>
      <c r="E205" t="s">
        <v>92</v>
      </c>
    </row>
    <row r="206" spans="1:5" x14ac:dyDescent="0.25">
      <c r="A206" t="s">
        <v>81</v>
      </c>
      <c r="B206" t="s">
        <v>35</v>
      </c>
      <c r="C206" t="s">
        <v>92</v>
      </c>
      <c r="D206" t="s">
        <v>1278</v>
      </c>
      <c r="E206" t="s">
        <v>92</v>
      </c>
    </row>
    <row r="207" spans="1:5" x14ac:dyDescent="0.25">
      <c r="A207" t="s">
        <v>553</v>
      </c>
      <c r="B207" t="s">
        <v>554</v>
      </c>
      <c r="C207" t="s">
        <v>92</v>
      </c>
      <c r="D207" t="s">
        <v>1278</v>
      </c>
      <c r="E207" t="s">
        <v>92</v>
      </c>
    </row>
    <row r="208" spans="1:5" x14ac:dyDescent="0.25">
      <c r="A208" t="s">
        <v>61</v>
      </c>
      <c r="B208" t="s">
        <v>1402</v>
      </c>
      <c r="C208" t="s">
        <v>92</v>
      </c>
      <c r="D208" t="s">
        <v>1278</v>
      </c>
      <c r="E208" t="s">
        <v>92</v>
      </c>
    </row>
    <row r="209" spans="1:5" x14ac:dyDescent="0.25">
      <c r="A209" t="s">
        <v>74</v>
      </c>
      <c r="B209" t="s">
        <v>1391</v>
      </c>
      <c r="C209" t="s">
        <v>92</v>
      </c>
      <c r="D209" t="s">
        <v>1278</v>
      </c>
      <c r="E209" t="s">
        <v>92</v>
      </c>
    </row>
    <row r="210" spans="1:5" x14ac:dyDescent="0.25">
      <c r="A210" t="s">
        <v>199</v>
      </c>
      <c r="B210" t="s">
        <v>200</v>
      </c>
      <c r="C210" t="s">
        <v>92</v>
      </c>
      <c r="D210" t="s">
        <v>1278</v>
      </c>
      <c r="E210" t="s">
        <v>92</v>
      </c>
    </row>
    <row r="211" spans="1:5" x14ac:dyDescent="0.25">
      <c r="A211" t="s">
        <v>555</v>
      </c>
      <c r="B211" t="s">
        <v>556</v>
      </c>
      <c r="C211" t="s">
        <v>657</v>
      </c>
      <c r="D211" t="s">
        <v>1441</v>
      </c>
      <c r="E211" t="s">
        <v>1458</v>
      </c>
    </row>
    <row r="212" spans="1:5" x14ac:dyDescent="0.25">
      <c r="A212" t="s">
        <v>557</v>
      </c>
      <c r="B212" t="s">
        <v>558</v>
      </c>
      <c r="C212" t="s">
        <v>92</v>
      </c>
      <c r="D212" t="s">
        <v>1278</v>
      </c>
      <c r="E212" t="s">
        <v>92</v>
      </c>
    </row>
    <row r="213" spans="1:5" x14ac:dyDescent="0.25">
      <c r="A213" t="s">
        <v>559</v>
      </c>
      <c r="B213" t="s">
        <v>560</v>
      </c>
      <c r="C213" t="s">
        <v>657</v>
      </c>
      <c r="D213" t="s">
        <v>1441</v>
      </c>
      <c r="E213" t="s">
        <v>1517</v>
      </c>
    </row>
    <row r="214" spans="1:5" x14ac:dyDescent="0.25">
      <c r="A214" t="s">
        <v>561</v>
      </c>
      <c r="B214" t="s">
        <v>562</v>
      </c>
      <c r="C214" t="s">
        <v>657</v>
      </c>
      <c r="D214" t="s">
        <v>1441</v>
      </c>
      <c r="E214" t="s">
        <v>1518</v>
      </c>
    </row>
    <row r="215" spans="1:5" x14ac:dyDescent="0.25">
      <c r="A215" t="s">
        <v>72</v>
      </c>
      <c r="B215" t="s">
        <v>16</v>
      </c>
      <c r="C215" t="s">
        <v>657</v>
      </c>
      <c r="D215" t="s">
        <v>1441</v>
      </c>
      <c r="E215" t="s">
        <v>1591</v>
      </c>
    </row>
    <row r="216" spans="1:5" x14ac:dyDescent="0.25">
      <c r="A216" t="s">
        <v>201</v>
      </c>
      <c r="B216" t="s">
        <v>202</v>
      </c>
      <c r="C216" t="s">
        <v>92</v>
      </c>
      <c r="D216" t="s">
        <v>1278</v>
      </c>
      <c r="E216" t="s">
        <v>92</v>
      </c>
    </row>
    <row r="217" spans="1:5" x14ac:dyDescent="0.25">
      <c r="A217" t="s">
        <v>75</v>
      </c>
      <c r="B217" t="s">
        <v>23</v>
      </c>
      <c r="C217" t="s">
        <v>657</v>
      </c>
      <c r="D217" t="s">
        <v>1441</v>
      </c>
      <c r="E217" t="s">
        <v>1592</v>
      </c>
    </row>
    <row r="218" spans="1:5" x14ac:dyDescent="0.25">
      <c r="A218" t="s">
        <v>563</v>
      </c>
      <c r="B218" t="s">
        <v>564</v>
      </c>
      <c r="C218" t="s">
        <v>657</v>
      </c>
      <c r="D218" t="s">
        <v>1441</v>
      </c>
      <c r="E218" t="s">
        <v>1519</v>
      </c>
    </row>
    <row r="219" spans="1:5" x14ac:dyDescent="0.25">
      <c r="A219" t="s">
        <v>565</v>
      </c>
      <c r="B219" t="s">
        <v>566</v>
      </c>
      <c r="C219" t="s">
        <v>92</v>
      </c>
      <c r="D219" t="s">
        <v>1278</v>
      </c>
      <c r="E219" t="s">
        <v>92</v>
      </c>
    </row>
    <row r="220" spans="1:5" x14ac:dyDescent="0.25">
      <c r="A220" t="s">
        <v>567</v>
      </c>
      <c r="B220" t="s">
        <v>1408</v>
      </c>
      <c r="C220" t="s">
        <v>92</v>
      </c>
      <c r="D220" t="s">
        <v>1278</v>
      </c>
      <c r="E220" t="s">
        <v>92</v>
      </c>
    </row>
    <row r="221" spans="1:5" x14ac:dyDescent="0.25">
      <c r="A221" t="s">
        <v>568</v>
      </c>
      <c r="B221" t="s">
        <v>569</v>
      </c>
      <c r="C221" t="s">
        <v>657</v>
      </c>
      <c r="D221" t="s">
        <v>1441</v>
      </c>
      <c r="E221" t="s">
        <v>1520</v>
      </c>
    </row>
    <row r="222" spans="1:5" x14ac:dyDescent="0.25">
      <c r="A222" t="s">
        <v>203</v>
      </c>
      <c r="B222" t="s">
        <v>204</v>
      </c>
      <c r="C222" t="s">
        <v>92</v>
      </c>
      <c r="D222" t="s">
        <v>1278</v>
      </c>
      <c r="E222" t="s">
        <v>92</v>
      </c>
    </row>
    <row r="223" spans="1:5" x14ac:dyDescent="0.25">
      <c r="A223" t="s">
        <v>205</v>
      </c>
      <c r="B223" t="s">
        <v>206</v>
      </c>
      <c r="C223" t="s">
        <v>92</v>
      </c>
      <c r="D223" t="s">
        <v>1278</v>
      </c>
      <c r="E223" t="s">
        <v>92</v>
      </c>
    </row>
    <row r="224" spans="1:5" x14ac:dyDescent="0.25">
      <c r="A224" t="s">
        <v>207</v>
      </c>
      <c r="B224" t="s">
        <v>208</v>
      </c>
      <c r="C224" t="s">
        <v>92</v>
      </c>
      <c r="D224" t="s">
        <v>1278</v>
      </c>
      <c r="E224" t="s">
        <v>92</v>
      </c>
    </row>
    <row r="225" spans="1:5" x14ac:dyDescent="0.25">
      <c r="A225" t="s">
        <v>300</v>
      </c>
      <c r="B225" t="s">
        <v>301</v>
      </c>
      <c r="C225" t="s">
        <v>92</v>
      </c>
      <c r="D225" t="s">
        <v>1278</v>
      </c>
      <c r="E225" t="s">
        <v>92</v>
      </c>
    </row>
    <row r="226" spans="1:5" x14ac:dyDescent="0.25">
      <c r="A226" t="s">
        <v>209</v>
      </c>
      <c r="B226" t="s">
        <v>210</v>
      </c>
      <c r="C226" t="s">
        <v>92</v>
      </c>
      <c r="D226" t="s">
        <v>1278</v>
      </c>
      <c r="E226" t="s">
        <v>92</v>
      </c>
    </row>
    <row r="227" spans="1:5" x14ac:dyDescent="0.25">
      <c r="A227" t="s">
        <v>570</v>
      </c>
      <c r="B227" t="s">
        <v>571</v>
      </c>
      <c r="C227" t="s">
        <v>92</v>
      </c>
      <c r="D227" t="s">
        <v>1278</v>
      </c>
      <c r="E227" t="s">
        <v>92</v>
      </c>
    </row>
    <row r="228" spans="1:5" x14ac:dyDescent="0.25">
      <c r="A228" t="s">
        <v>302</v>
      </c>
      <c r="B228" t="s">
        <v>303</v>
      </c>
      <c r="C228" t="s">
        <v>92</v>
      </c>
      <c r="D228" t="s">
        <v>1278</v>
      </c>
      <c r="E228" t="s">
        <v>92</v>
      </c>
    </row>
    <row r="229" spans="1:5" x14ac:dyDescent="0.25">
      <c r="A229" t="s">
        <v>1411</v>
      </c>
      <c r="B229" t="s">
        <v>1412</v>
      </c>
      <c r="C229" t="s">
        <v>92</v>
      </c>
      <c r="D229" t="s">
        <v>1278</v>
      </c>
      <c r="E229" t="s">
        <v>92</v>
      </c>
    </row>
    <row r="230" spans="1:5" x14ac:dyDescent="0.25">
      <c r="A230" t="s">
        <v>572</v>
      </c>
      <c r="B230" t="s">
        <v>573</v>
      </c>
      <c r="C230" t="s">
        <v>92</v>
      </c>
      <c r="D230" t="s">
        <v>1278</v>
      </c>
      <c r="E230" t="s">
        <v>92</v>
      </c>
    </row>
    <row r="231" spans="1:5" x14ac:dyDescent="0.25">
      <c r="A231" t="s">
        <v>574</v>
      </c>
      <c r="B231" t="s">
        <v>575</v>
      </c>
      <c r="C231" t="s">
        <v>657</v>
      </c>
      <c r="D231" t="s">
        <v>1441</v>
      </c>
      <c r="E231" t="s">
        <v>1521</v>
      </c>
    </row>
    <row r="232" spans="1:5" x14ac:dyDescent="0.25">
      <c r="A232" t="s">
        <v>211</v>
      </c>
      <c r="B232" t="s">
        <v>212</v>
      </c>
      <c r="C232" t="s">
        <v>92</v>
      </c>
      <c r="D232" t="s">
        <v>1278</v>
      </c>
      <c r="E232" t="s">
        <v>92</v>
      </c>
    </row>
    <row r="233" spans="1:5" x14ac:dyDescent="0.25">
      <c r="A233" t="s">
        <v>576</v>
      </c>
      <c r="B233" t="s">
        <v>577</v>
      </c>
      <c r="C233" t="s">
        <v>657</v>
      </c>
      <c r="D233" t="s">
        <v>1441</v>
      </c>
      <c r="E233" t="s">
        <v>1522</v>
      </c>
    </row>
    <row r="234" spans="1:5" x14ac:dyDescent="0.25">
      <c r="A234" t="s">
        <v>86</v>
      </c>
      <c r="B234" t="s">
        <v>54</v>
      </c>
      <c r="C234" t="s">
        <v>657</v>
      </c>
      <c r="D234" t="s">
        <v>1441</v>
      </c>
      <c r="E234" t="s">
        <v>92</v>
      </c>
    </row>
    <row r="235" spans="1:5" x14ac:dyDescent="0.25">
      <c r="A235" t="s">
        <v>85</v>
      </c>
      <c r="B235" t="s">
        <v>50</v>
      </c>
      <c r="C235" t="s">
        <v>92</v>
      </c>
      <c r="D235" t="s">
        <v>1278</v>
      </c>
      <c r="E235" t="s">
        <v>92</v>
      </c>
    </row>
    <row r="236" spans="1:5" x14ac:dyDescent="0.25">
      <c r="A236" t="s">
        <v>62</v>
      </c>
      <c r="B236" t="s">
        <v>24</v>
      </c>
      <c r="C236" t="s">
        <v>92</v>
      </c>
      <c r="D236" t="s">
        <v>1278</v>
      </c>
      <c r="E236" t="s">
        <v>92</v>
      </c>
    </row>
    <row r="237" spans="1:5" x14ac:dyDescent="0.25">
      <c r="A237" t="s">
        <v>304</v>
      </c>
      <c r="B237" t="s">
        <v>305</v>
      </c>
      <c r="C237" t="s">
        <v>92</v>
      </c>
      <c r="D237" t="s">
        <v>1278</v>
      </c>
      <c r="E237" t="s">
        <v>92</v>
      </c>
    </row>
    <row r="238" spans="1:5" x14ac:dyDescent="0.25">
      <c r="A238" t="s">
        <v>578</v>
      </c>
      <c r="B238" t="s">
        <v>579</v>
      </c>
      <c r="C238" t="s">
        <v>92</v>
      </c>
      <c r="D238" t="s">
        <v>1278</v>
      </c>
      <c r="E238" t="s">
        <v>92</v>
      </c>
    </row>
    <row r="239" spans="1:5" x14ac:dyDescent="0.25">
      <c r="A239" t="s">
        <v>580</v>
      </c>
      <c r="B239" t="s">
        <v>581</v>
      </c>
      <c r="C239" t="s">
        <v>657</v>
      </c>
      <c r="D239" t="s">
        <v>1441</v>
      </c>
      <c r="E239" t="s">
        <v>1523</v>
      </c>
    </row>
    <row r="240" spans="1:5" x14ac:dyDescent="0.25">
      <c r="A240" t="s">
        <v>582</v>
      </c>
      <c r="B240" t="s">
        <v>583</v>
      </c>
      <c r="C240" t="s">
        <v>92</v>
      </c>
      <c r="D240" t="s">
        <v>1278</v>
      </c>
      <c r="E240" t="s">
        <v>92</v>
      </c>
    </row>
    <row r="241" spans="1:5" x14ac:dyDescent="0.25">
      <c r="A241" t="s">
        <v>213</v>
      </c>
      <c r="B241" t="s">
        <v>214</v>
      </c>
      <c r="C241" t="s">
        <v>92</v>
      </c>
      <c r="D241" t="s">
        <v>1278</v>
      </c>
      <c r="E241" t="s">
        <v>92</v>
      </c>
    </row>
    <row r="242" spans="1:5" x14ac:dyDescent="0.25">
      <c r="A242" t="s">
        <v>584</v>
      </c>
      <c r="B242" t="s">
        <v>585</v>
      </c>
      <c r="C242" t="s">
        <v>657</v>
      </c>
      <c r="D242" t="s">
        <v>1441</v>
      </c>
      <c r="E242" t="s">
        <v>1524</v>
      </c>
    </row>
    <row r="243" spans="1:5" x14ac:dyDescent="0.25">
      <c r="A243" t="s">
        <v>215</v>
      </c>
      <c r="B243" t="s">
        <v>216</v>
      </c>
      <c r="C243" t="s">
        <v>92</v>
      </c>
      <c r="D243" t="s">
        <v>1278</v>
      </c>
      <c r="E243" t="s">
        <v>92</v>
      </c>
    </row>
    <row r="244" spans="1:5" x14ac:dyDescent="0.25">
      <c r="A244" t="s">
        <v>306</v>
      </c>
      <c r="B244" t="s">
        <v>307</v>
      </c>
      <c r="C244" t="s">
        <v>92</v>
      </c>
      <c r="D244" t="s">
        <v>1278</v>
      </c>
      <c r="E244" t="s">
        <v>92</v>
      </c>
    </row>
    <row r="245" spans="1:5" x14ac:dyDescent="0.25">
      <c r="A245" t="s">
        <v>217</v>
      </c>
      <c r="B245" t="s">
        <v>218</v>
      </c>
      <c r="C245" t="s">
        <v>92</v>
      </c>
      <c r="D245" t="s">
        <v>1278</v>
      </c>
      <c r="E245" t="s">
        <v>92</v>
      </c>
    </row>
    <row r="246" spans="1:5" x14ac:dyDescent="0.25">
      <c r="A246" t="s">
        <v>219</v>
      </c>
      <c r="B246" t="s">
        <v>220</v>
      </c>
      <c r="C246" t="s">
        <v>92</v>
      </c>
      <c r="D246" t="s">
        <v>1278</v>
      </c>
      <c r="E246" t="s">
        <v>92</v>
      </c>
    </row>
    <row r="247" spans="1:5" x14ac:dyDescent="0.25">
      <c r="A247" t="s">
        <v>221</v>
      </c>
      <c r="B247" t="s">
        <v>222</v>
      </c>
      <c r="C247" t="s">
        <v>92</v>
      </c>
      <c r="D247" t="s">
        <v>1278</v>
      </c>
      <c r="E247" t="s">
        <v>92</v>
      </c>
    </row>
    <row r="248" spans="1:5" x14ac:dyDescent="0.25">
      <c r="A248" t="s">
        <v>586</v>
      </c>
      <c r="B248" t="s">
        <v>587</v>
      </c>
      <c r="C248" t="s">
        <v>657</v>
      </c>
      <c r="D248" t="s">
        <v>1441</v>
      </c>
      <c r="E248" t="s">
        <v>1525</v>
      </c>
    </row>
    <row r="249" spans="1:5" x14ac:dyDescent="0.25">
      <c r="A249" t="s">
        <v>588</v>
      </c>
      <c r="B249" t="s">
        <v>589</v>
      </c>
      <c r="C249" t="s">
        <v>657</v>
      </c>
      <c r="D249" t="s">
        <v>1441</v>
      </c>
      <c r="E249" t="s">
        <v>1526</v>
      </c>
    </row>
    <row r="250" spans="1:5" x14ac:dyDescent="0.25">
      <c r="A250" t="s">
        <v>223</v>
      </c>
      <c r="B250" t="s">
        <v>224</v>
      </c>
      <c r="C250" t="s">
        <v>92</v>
      </c>
      <c r="D250" t="s">
        <v>1278</v>
      </c>
      <c r="E250" t="s">
        <v>92</v>
      </c>
    </row>
    <row r="251" spans="1:5" x14ac:dyDescent="0.25">
      <c r="A251" t="s">
        <v>225</v>
      </c>
      <c r="B251" t="s">
        <v>226</v>
      </c>
      <c r="C251" t="s">
        <v>92</v>
      </c>
      <c r="D251" t="s">
        <v>1278</v>
      </c>
      <c r="E251" t="s">
        <v>92</v>
      </c>
    </row>
    <row r="252" spans="1:5" x14ac:dyDescent="0.25">
      <c r="A252" t="s">
        <v>590</v>
      </c>
      <c r="B252" t="s">
        <v>591</v>
      </c>
      <c r="C252" t="s">
        <v>657</v>
      </c>
      <c r="D252" t="s">
        <v>1441</v>
      </c>
      <c r="E252" t="s">
        <v>1527</v>
      </c>
    </row>
    <row r="253" spans="1:5" x14ac:dyDescent="0.25">
      <c r="A253" t="s">
        <v>64</v>
      </c>
      <c r="B253" t="s">
        <v>32</v>
      </c>
      <c r="C253" t="s">
        <v>657</v>
      </c>
      <c r="D253" t="s">
        <v>1441</v>
      </c>
      <c r="E253" t="s">
        <v>1596</v>
      </c>
    </row>
    <row r="254" spans="1:5" x14ac:dyDescent="0.25">
      <c r="A254" t="s">
        <v>82</v>
      </c>
      <c r="B254" t="s">
        <v>37</v>
      </c>
      <c r="C254" t="s">
        <v>92</v>
      </c>
      <c r="D254" t="s">
        <v>1278</v>
      </c>
      <c r="E254" t="s">
        <v>92</v>
      </c>
    </row>
    <row r="255" spans="1:5" x14ac:dyDescent="0.25">
      <c r="A255" t="s">
        <v>592</v>
      </c>
      <c r="B255" t="s">
        <v>593</v>
      </c>
      <c r="C255" t="s">
        <v>657</v>
      </c>
      <c r="D255" t="s">
        <v>1441</v>
      </c>
      <c r="E255" t="s">
        <v>1528</v>
      </c>
    </row>
    <row r="256" spans="1:5" x14ac:dyDescent="0.25">
      <c r="A256" t="s">
        <v>594</v>
      </c>
      <c r="B256" t="s">
        <v>595</v>
      </c>
      <c r="C256" t="s">
        <v>92</v>
      </c>
      <c r="D256" t="s">
        <v>1278</v>
      </c>
      <c r="E256" t="s">
        <v>92</v>
      </c>
    </row>
    <row r="257" spans="1:5" x14ac:dyDescent="0.25">
      <c r="A257" t="s">
        <v>227</v>
      </c>
      <c r="B257" t="s">
        <v>228</v>
      </c>
      <c r="C257" t="s">
        <v>92</v>
      </c>
      <c r="D257" t="s">
        <v>1278</v>
      </c>
      <c r="E257" t="s">
        <v>92</v>
      </c>
    </row>
    <row r="258" spans="1:5" x14ac:dyDescent="0.25">
      <c r="A258" t="s">
        <v>229</v>
      </c>
      <c r="B258" t="s">
        <v>230</v>
      </c>
      <c r="C258" t="s">
        <v>92</v>
      </c>
      <c r="D258" t="s">
        <v>1278</v>
      </c>
      <c r="E258" t="s">
        <v>92</v>
      </c>
    </row>
    <row r="259" spans="1:5" x14ac:dyDescent="0.25">
      <c r="A259" t="s">
        <v>596</v>
      </c>
      <c r="B259" t="s">
        <v>597</v>
      </c>
      <c r="C259" t="s">
        <v>657</v>
      </c>
      <c r="D259" t="s">
        <v>1441</v>
      </c>
      <c r="E259" t="s">
        <v>1529</v>
      </c>
    </row>
    <row r="260" spans="1:5" x14ac:dyDescent="0.25">
      <c r="A260" t="s">
        <v>231</v>
      </c>
      <c r="B260" t="s">
        <v>232</v>
      </c>
      <c r="C260" t="s">
        <v>92</v>
      </c>
      <c r="D260" t="s">
        <v>1278</v>
      </c>
      <c r="E260" t="s">
        <v>92</v>
      </c>
    </row>
    <row r="261" spans="1:5" x14ac:dyDescent="0.25">
      <c r="A261" t="s">
        <v>233</v>
      </c>
      <c r="B261" t="s">
        <v>234</v>
      </c>
      <c r="C261" t="s">
        <v>92</v>
      </c>
      <c r="D261" t="s">
        <v>1278</v>
      </c>
      <c r="E261" t="s">
        <v>92</v>
      </c>
    </row>
    <row r="262" spans="1:5" x14ac:dyDescent="0.25">
      <c r="A262" t="s">
        <v>598</v>
      </c>
      <c r="B262" t="s">
        <v>599</v>
      </c>
      <c r="C262" t="s">
        <v>92</v>
      </c>
      <c r="D262" t="s">
        <v>1278</v>
      </c>
      <c r="E262" t="s">
        <v>92</v>
      </c>
    </row>
    <row r="263" spans="1:5" x14ac:dyDescent="0.25">
      <c r="A263" t="s">
        <v>600</v>
      </c>
      <c r="B263" t="s">
        <v>601</v>
      </c>
      <c r="C263" t="s">
        <v>657</v>
      </c>
      <c r="D263" t="s">
        <v>1441</v>
      </c>
      <c r="E263" t="s">
        <v>1530</v>
      </c>
    </row>
    <row r="264" spans="1:5" x14ac:dyDescent="0.25">
      <c r="A264" t="s">
        <v>235</v>
      </c>
      <c r="B264" t="s">
        <v>236</v>
      </c>
      <c r="C264" t="s">
        <v>92</v>
      </c>
      <c r="D264" t="s">
        <v>1278</v>
      </c>
      <c r="E264" t="s">
        <v>92</v>
      </c>
    </row>
    <row r="265" spans="1:5" x14ac:dyDescent="0.25">
      <c r="A265" t="s">
        <v>602</v>
      </c>
      <c r="B265" t="s">
        <v>603</v>
      </c>
      <c r="C265" t="s">
        <v>657</v>
      </c>
      <c r="D265" t="s">
        <v>1441</v>
      </c>
      <c r="E265" t="s">
        <v>1494</v>
      </c>
    </row>
    <row r="266" spans="1:5" x14ac:dyDescent="0.25">
      <c r="A266" t="s">
        <v>76</v>
      </c>
      <c r="B266" t="s">
        <v>27</v>
      </c>
      <c r="C266" t="s">
        <v>657</v>
      </c>
      <c r="D266" t="s">
        <v>1441</v>
      </c>
      <c r="E266" t="s">
        <v>1595</v>
      </c>
    </row>
    <row r="267" spans="1:5" x14ac:dyDescent="0.25">
      <c r="A267" t="s">
        <v>84</v>
      </c>
      <c r="B267" t="s">
        <v>42</v>
      </c>
      <c r="C267" t="s">
        <v>92</v>
      </c>
      <c r="D267" t="s">
        <v>1278</v>
      </c>
      <c r="E267" t="s">
        <v>92</v>
      </c>
    </row>
    <row r="268" spans="1:5" x14ac:dyDescent="0.25">
      <c r="A268" t="s">
        <v>77</v>
      </c>
      <c r="B268" t="s">
        <v>29</v>
      </c>
      <c r="C268" t="s">
        <v>92</v>
      </c>
      <c r="D268" t="s">
        <v>1278</v>
      </c>
      <c r="E268" t="s">
        <v>92</v>
      </c>
    </row>
    <row r="269" spans="1:5" x14ac:dyDescent="0.25">
      <c r="A269" t="s">
        <v>237</v>
      </c>
      <c r="B269" t="s">
        <v>238</v>
      </c>
      <c r="C269" t="s">
        <v>92</v>
      </c>
      <c r="D269" t="s">
        <v>1278</v>
      </c>
      <c r="E269" t="s">
        <v>92</v>
      </c>
    </row>
    <row r="270" spans="1:5" x14ac:dyDescent="0.25">
      <c r="A270" t="s">
        <v>604</v>
      </c>
      <c r="B270" t="s">
        <v>605</v>
      </c>
      <c r="C270" t="s">
        <v>657</v>
      </c>
      <c r="D270" t="s">
        <v>1441</v>
      </c>
      <c r="E270" t="s">
        <v>1531</v>
      </c>
    </row>
    <row r="271" spans="1:5" x14ac:dyDescent="0.25">
      <c r="A271" t="s">
        <v>70</v>
      </c>
      <c r="B271" t="s">
        <v>12</v>
      </c>
      <c r="C271" t="s">
        <v>657</v>
      </c>
      <c r="D271" t="s">
        <v>1441</v>
      </c>
      <c r="E271" t="s">
        <v>1588</v>
      </c>
    </row>
    <row r="272" spans="1:5" x14ac:dyDescent="0.25">
      <c r="A272" t="s">
        <v>65</v>
      </c>
      <c r="B272" t="s">
        <v>39</v>
      </c>
      <c r="C272" t="s">
        <v>92</v>
      </c>
      <c r="D272" t="s">
        <v>1278</v>
      </c>
      <c r="E272" t="s">
        <v>92</v>
      </c>
    </row>
    <row r="273" spans="1:5" x14ac:dyDescent="0.25">
      <c r="A273" t="s">
        <v>606</v>
      </c>
      <c r="B273" t="s">
        <v>607</v>
      </c>
      <c r="C273" t="s">
        <v>657</v>
      </c>
      <c r="D273" t="s">
        <v>1441</v>
      </c>
      <c r="E273" t="s">
        <v>1532</v>
      </c>
    </row>
    <row r="274" spans="1:5" x14ac:dyDescent="0.25">
      <c r="A274" t="s">
        <v>239</v>
      </c>
      <c r="B274" t="s">
        <v>240</v>
      </c>
      <c r="C274" t="s">
        <v>92</v>
      </c>
      <c r="D274" t="s">
        <v>1278</v>
      </c>
      <c r="E274" t="s">
        <v>92</v>
      </c>
    </row>
    <row r="275" spans="1:5" x14ac:dyDescent="0.25">
      <c r="A275" t="s">
        <v>241</v>
      </c>
      <c r="B275" t="s">
        <v>242</v>
      </c>
      <c r="C275" t="s">
        <v>657</v>
      </c>
      <c r="D275" t="s">
        <v>1441</v>
      </c>
      <c r="E275" t="s">
        <v>1533</v>
      </c>
    </row>
    <row r="276" spans="1:5" x14ac:dyDescent="0.25">
      <c r="A276" t="s">
        <v>308</v>
      </c>
      <c r="B276" t="s">
        <v>309</v>
      </c>
      <c r="C276" t="s">
        <v>92</v>
      </c>
      <c r="D276" t="s">
        <v>1278</v>
      </c>
      <c r="E276" t="s">
        <v>92</v>
      </c>
    </row>
    <row r="277" spans="1:5" x14ac:dyDescent="0.25">
      <c r="A277" t="s">
        <v>243</v>
      </c>
      <c r="B277" t="s">
        <v>244</v>
      </c>
      <c r="C277" t="s">
        <v>92</v>
      </c>
      <c r="D277" t="s">
        <v>1278</v>
      </c>
      <c r="E277" t="s">
        <v>92</v>
      </c>
    </row>
    <row r="278" spans="1:5" x14ac:dyDescent="0.25">
      <c r="A278" t="s">
        <v>245</v>
      </c>
      <c r="B278" t="s">
        <v>246</v>
      </c>
      <c r="C278" t="s">
        <v>92</v>
      </c>
      <c r="D278" t="s">
        <v>1278</v>
      </c>
      <c r="E278" t="s">
        <v>92</v>
      </c>
    </row>
    <row r="279" spans="1:5" x14ac:dyDescent="0.25">
      <c r="A279" t="s">
        <v>608</v>
      </c>
      <c r="B279" t="s">
        <v>609</v>
      </c>
      <c r="C279" t="s">
        <v>657</v>
      </c>
      <c r="D279" t="s">
        <v>1441</v>
      </c>
      <c r="E279" t="s">
        <v>1534</v>
      </c>
    </row>
    <row r="280" spans="1:5" x14ac:dyDescent="0.25">
      <c r="A280" t="s">
        <v>610</v>
      </c>
      <c r="B280" t="s">
        <v>611</v>
      </c>
      <c r="C280" t="s">
        <v>657</v>
      </c>
      <c r="D280" t="s">
        <v>1441</v>
      </c>
      <c r="E280" t="s">
        <v>1535</v>
      </c>
    </row>
    <row r="281" spans="1:5" x14ac:dyDescent="0.25">
      <c r="A281" t="s">
        <v>247</v>
      </c>
      <c r="B281" t="s">
        <v>248</v>
      </c>
      <c r="C281" t="s">
        <v>92</v>
      </c>
      <c r="D281" t="s">
        <v>1278</v>
      </c>
      <c r="E281" t="s">
        <v>92</v>
      </c>
    </row>
    <row r="282" spans="1:5" x14ac:dyDescent="0.25">
      <c r="A282" t="s">
        <v>249</v>
      </c>
      <c r="B282" t="s">
        <v>250</v>
      </c>
      <c r="C282" t="s">
        <v>92</v>
      </c>
      <c r="D282" t="s">
        <v>1278</v>
      </c>
      <c r="E282" t="s">
        <v>92</v>
      </c>
    </row>
    <row r="283" spans="1:5" x14ac:dyDescent="0.25">
      <c r="A283" t="s">
        <v>612</v>
      </c>
      <c r="B283" t="s">
        <v>613</v>
      </c>
      <c r="C283" t="s">
        <v>657</v>
      </c>
      <c r="D283" t="s">
        <v>1441</v>
      </c>
      <c r="E283" t="s">
        <v>1536</v>
      </c>
    </row>
    <row r="284" spans="1:5" x14ac:dyDescent="0.25">
      <c r="A284" t="s">
        <v>63</v>
      </c>
      <c r="B284" t="s">
        <v>45</v>
      </c>
      <c r="C284" t="s">
        <v>657</v>
      </c>
      <c r="D284" t="s">
        <v>1441</v>
      </c>
      <c r="E284" t="s">
        <v>1597</v>
      </c>
    </row>
    <row r="285" spans="1:5" x14ac:dyDescent="0.25">
      <c r="A285" t="s">
        <v>251</v>
      </c>
      <c r="B285" t="s">
        <v>252</v>
      </c>
      <c r="C285" t="s">
        <v>92</v>
      </c>
      <c r="D285" t="s">
        <v>1278</v>
      </c>
      <c r="E285" t="s">
        <v>92</v>
      </c>
    </row>
    <row r="286" spans="1:5" x14ac:dyDescent="0.25">
      <c r="A286" t="s">
        <v>614</v>
      </c>
      <c r="B286" t="s">
        <v>615</v>
      </c>
      <c r="C286" t="s">
        <v>657</v>
      </c>
      <c r="D286" t="s">
        <v>1441</v>
      </c>
      <c r="E286" t="s">
        <v>1537</v>
      </c>
    </row>
    <row r="287" spans="1:5" x14ac:dyDescent="0.25">
      <c r="A287" t="s">
        <v>253</v>
      </c>
      <c r="B287" t="s">
        <v>254</v>
      </c>
      <c r="C287" t="s">
        <v>92</v>
      </c>
      <c r="D287" t="s">
        <v>1278</v>
      </c>
      <c r="E287" t="s">
        <v>92</v>
      </c>
    </row>
    <row r="288" spans="1:5" x14ac:dyDescent="0.25">
      <c r="A288" t="s">
        <v>616</v>
      </c>
      <c r="B288" t="s">
        <v>617</v>
      </c>
      <c r="C288" t="s">
        <v>657</v>
      </c>
      <c r="D288" t="s">
        <v>1441</v>
      </c>
      <c r="E288" t="s">
        <v>1538</v>
      </c>
    </row>
    <row r="289" spans="1:5" x14ac:dyDescent="0.25">
      <c r="A289" t="s">
        <v>66</v>
      </c>
      <c r="B289" t="s">
        <v>51</v>
      </c>
      <c r="C289" t="s">
        <v>92</v>
      </c>
      <c r="D289" t="s">
        <v>1278</v>
      </c>
      <c r="E289" t="s">
        <v>92</v>
      </c>
    </row>
    <row r="290" spans="1:5" x14ac:dyDescent="0.25">
      <c r="A290" t="s">
        <v>255</v>
      </c>
      <c r="B290" t="s">
        <v>256</v>
      </c>
      <c r="C290" t="s">
        <v>92</v>
      </c>
      <c r="D290" t="s">
        <v>1278</v>
      </c>
      <c r="E290" t="s">
        <v>92</v>
      </c>
    </row>
    <row r="291" spans="1:5" x14ac:dyDescent="0.25">
      <c r="A291" t="s">
        <v>618</v>
      </c>
      <c r="B291" t="s">
        <v>619</v>
      </c>
      <c r="C291" t="s">
        <v>657</v>
      </c>
      <c r="D291" t="s">
        <v>1441</v>
      </c>
      <c r="E291" t="s">
        <v>1539</v>
      </c>
    </row>
    <row r="292" spans="1:5" x14ac:dyDescent="0.25">
      <c r="A292" t="s">
        <v>620</v>
      </c>
      <c r="B292" t="s">
        <v>621</v>
      </c>
      <c r="C292" t="s">
        <v>657</v>
      </c>
      <c r="D292" t="s">
        <v>1441</v>
      </c>
      <c r="E292" t="s">
        <v>1540</v>
      </c>
    </row>
    <row r="293" spans="1:5" x14ac:dyDescent="0.25">
      <c r="A293" t="s">
        <v>622</v>
      </c>
      <c r="B293" t="s">
        <v>623</v>
      </c>
      <c r="C293" t="s">
        <v>92</v>
      </c>
      <c r="D293" t="s">
        <v>1278</v>
      </c>
      <c r="E293" t="s">
        <v>92</v>
      </c>
    </row>
    <row r="294" spans="1:5" x14ac:dyDescent="0.25">
      <c r="A294" t="s">
        <v>624</v>
      </c>
      <c r="B294" t="s">
        <v>1407</v>
      </c>
      <c r="C294" t="s">
        <v>92</v>
      </c>
      <c r="D294" t="s">
        <v>1278</v>
      </c>
      <c r="E294" t="s">
        <v>92</v>
      </c>
    </row>
    <row r="295" spans="1:5" x14ac:dyDescent="0.25">
      <c r="A295" t="s">
        <v>625</v>
      </c>
      <c r="B295" t="s">
        <v>626</v>
      </c>
      <c r="C295" t="s">
        <v>657</v>
      </c>
      <c r="D295" t="s">
        <v>1441</v>
      </c>
      <c r="E295" t="s">
        <v>1541</v>
      </c>
    </row>
    <row r="296" spans="1:5" x14ac:dyDescent="0.25">
      <c r="A296" t="s">
        <v>627</v>
      </c>
      <c r="B296" t="s">
        <v>628</v>
      </c>
      <c r="C296" t="s">
        <v>657</v>
      </c>
      <c r="D296" t="s">
        <v>1441</v>
      </c>
      <c r="E296" t="s">
        <v>1542</v>
      </c>
    </row>
    <row r="297" spans="1:5" x14ac:dyDescent="0.25">
      <c r="A297" t="s">
        <v>257</v>
      </c>
      <c r="B297" t="s">
        <v>258</v>
      </c>
      <c r="C297" t="s">
        <v>92</v>
      </c>
      <c r="D297" t="s">
        <v>1278</v>
      </c>
      <c r="E297" t="s">
        <v>92</v>
      </c>
    </row>
    <row r="298" spans="1:5" x14ac:dyDescent="0.25">
      <c r="A298" t="s">
        <v>629</v>
      </c>
      <c r="B298" t="s">
        <v>630</v>
      </c>
      <c r="C298" t="s">
        <v>92</v>
      </c>
      <c r="D298" t="s">
        <v>1278</v>
      </c>
      <c r="E298" t="s">
        <v>92</v>
      </c>
    </row>
    <row r="299" spans="1:5" x14ac:dyDescent="0.25">
      <c r="A299" t="s">
        <v>631</v>
      </c>
      <c r="B299" t="s">
        <v>632</v>
      </c>
      <c r="C299" t="s">
        <v>92</v>
      </c>
      <c r="D299" t="s">
        <v>1278</v>
      </c>
      <c r="E299" t="s">
        <v>92</v>
      </c>
    </row>
    <row r="300" spans="1:5" x14ac:dyDescent="0.25">
      <c r="A300" t="s">
        <v>633</v>
      </c>
      <c r="B300" t="s">
        <v>634</v>
      </c>
      <c r="C300" t="s">
        <v>657</v>
      </c>
      <c r="D300" t="s">
        <v>1441</v>
      </c>
      <c r="E300" t="s">
        <v>1543</v>
      </c>
    </row>
    <row r="301" spans="1:5" x14ac:dyDescent="0.25">
      <c r="A301" t="s">
        <v>67</v>
      </c>
      <c r="B301" t="s">
        <v>1397</v>
      </c>
      <c r="C301" t="s">
        <v>92</v>
      </c>
      <c r="D301" t="s">
        <v>1278</v>
      </c>
      <c r="E301" t="s">
        <v>92</v>
      </c>
    </row>
    <row r="302" spans="1:5" x14ac:dyDescent="0.25">
      <c r="A302" t="s">
        <v>310</v>
      </c>
      <c r="B302" t="s">
        <v>1393</v>
      </c>
      <c r="C302" t="s">
        <v>92</v>
      </c>
      <c r="D302" t="s">
        <v>1278</v>
      </c>
      <c r="E302" t="s">
        <v>92</v>
      </c>
    </row>
    <row r="303" spans="1:5" x14ac:dyDescent="0.25">
      <c r="A303" t="s">
        <v>259</v>
      </c>
      <c r="B303" t="s">
        <v>1392</v>
      </c>
      <c r="C303" t="s">
        <v>92</v>
      </c>
      <c r="D303" t="s">
        <v>1278</v>
      </c>
      <c r="E303" t="s">
        <v>92</v>
      </c>
    </row>
    <row r="304" spans="1:5" x14ac:dyDescent="0.25">
      <c r="A304" t="s">
        <v>71</v>
      </c>
      <c r="B304" t="s">
        <v>1389</v>
      </c>
      <c r="C304" t="s">
        <v>92</v>
      </c>
      <c r="D304" t="s">
        <v>1278</v>
      </c>
      <c r="E304" t="s">
        <v>92</v>
      </c>
    </row>
    <row r="305" spans="1:5" x14ac:dyDescent="0.25">
      <c r="A305" t="s">
        <v>635</v>
      </c>
      <c r="B305" t="s">
        <v>636</v>
      </c>
      <c r="C305" t="s">
        <v>92</v>
      </c>
      <c r="D305" t="s">
        <v>1278</v>
      </c>
      <c r="E305" t="s">
        <v>92</v>
      </c>
    </row>
    <row r="306" spans="1:5" x14ac:dyDescent="0.25">
      <c r="A306" t="s">
        <v>260</v>
      </c>
      <c r="B306" t="s">
        <v>261</v>
      </c>
      <c r="C306" t="s">
        <v>92</v>
      </c>
      <c r="D306" t="s">
        <v>1278</v>
      </c>
      <c r="E306" t="s">
        <v>92</v>
      </c>
    </row>
    <row r="307" spans="1:5" x14ac:dyDescent="0.25">
      <c r="A307" t="s">
        <v>311</v>
      </c>
      <c r="B307" t="s">
        <v>312</v>
      </c>
      <c r="C307" t="s">
        <v>92</v>
      </c>
      <c r="D307" t="s">
        <v>1278</v>
      </c>
      <c r="E307" t="s">
        <v>92</v>
      </c>
    </row>
    <row r="308" spans="1:5" x14ac:dyDescent="0.25">
      <c r="A308" t="s">
        <v>73</v>
      </c>
      <c r="B308" t="s">
        <v>1404</v>
      </c>
      <c r="C308" t="s">
        <v>657</v>
      </c>
      <c r="D308" t="s">
        <v>1441</v>
      </c>
      <c r="E308" t="s">
        <v>1589</v>
      </c>
    </row>
    <row r="309" spans="1:5" x14ac:dyDescent="0.25">
      <c r="A309" t="s">
        <v>262</v>
      </c>
      <c r="B309" t="s">
        <v>263</v>
      </c>
      <c r="C309" t="s">
        <v>92</v>
      </c>
      <c r="D309" t="s">
        <v>1278</v>
      </c>
      <c r="E309" t="s">
        <v>92</v>
      </c>
    </row>
    <row r="310" spans="1:5" x14ac:dyDescent="0.25">
      <c r="A310" t="s">
        <v>637</v>
      </c>
      <c r="B310" t="s">
        <v>638</v>
      </c>
      <c r="C310" t="s">
        <v>92</v>
      </c>
      <c r="D310" t="s">
        <v>1278</v>
      </c>
      <c r="E310" t="s">
        <v>92</v>
      </c>
    </row>
    <row r="311" spans="1:5" x14ac:dyDescent="0.25">
      <c r="A311" t="s">
        <v>639</v>
      </c>
      <c r="B311" t="s">
        <v>640</v>
      </c>
      <c r="C311" t="s">
        <v>92</v>
      </c>
      <c r="D311" t="s">
        <v>1278</v>
      </c>
      <c r="E311" t="s">
        <v>92</v>
      </c>
    </row>
    <row r="312" spans="1:5" x14ac:dyDescent="0.25">
      <c r="A312" t="s">
        <v>641</v>
      </c>
      <c r="B312" t="s">
        <v>642</v>
      </c>
      <c r="C312" t="s">
        <v>92</v>
      </c>
      <c r="D312" t="s">
        <v>1278</v>
      </c>
      <c r="E312" t="s">
        <v>92</v>
      </c>
    </row>
    <row r="313" spans="1:5" x14ac:dyDescent="0.25">
      <c r="A313" t="s">
        <v>643</v>
      </c>
      <c r="B313" t="s">
        <v>644</v>
      </c>
      <c r="C313" t="s">
        <v>92</v>
      </c>
      <c r="D313" t="s">
        <v>1278</v>
      </c>
      <c r="E313" t="s">
        <v>92</v>
      </c>
    </row>
    <row r="314" spans="1:5" x14ac:dyDescent="0.25">
      <c r="A314" t="s">
        <v>645</v>
      </c>
      <c r="B314" t="s">
        <v>646</v>
      </c>
      <c r="C314" t="s">
        <v>657</v>
      </c>
      <c r="D314" t="s">
        <v>1441</v>
      </c>
      <c r="E314" t="s">
        <v>1529</v>
      </c>
    </row>
    <row r="315" spans="1:5" x14ac:dyDescent="0.25">
      <c r="A315" t="s">
        <v>647</v>
      </c>
      <c r="B315" t="s">
        <v>648</v>
      </c>
      <c r="C315" t="s">
        <v>92</v>
      </c>
      <c r="D315" t="s">
        <v>1278</v>
      </c>
      <c r="E315" t="s">
        <v>92</v>
      </c>
    </row>
    <row r="316" spans="1:5" x14ac:dyDescent="0.25">
      <c r="A316" t="s">
        <v>649</v>
      </c>
      <c r="B316" t="s">
        <v>650</v>
      </c>
      <c r="C316" t="s">
        <v>657</v>
      </c>
      <c r="D316" t="s">
        <v>1441</v>
      </c>
      <c r="E316" t="s">
        <v>1544</v>
      </c>
    </row>
    <row r="317" spans="1:5" x14ac:dyDescent="0.25">
      <c r="A317" t="s">
        <v>651</v>
      </c>
      <c r="B317" t="s">
        <v>652</v>
      </c>
      <c r="C317" t="s">
        <v>92</v>
      </c>
      <c r="D317" t="s">
        <v>1278</v>
      </c>
      <c r="E317" t="s">
        <v>92</v>
      </c>
    </row>
    <row r="318" spans="1:5" x14ac:dyDescent="0.25">
      <c r="A318" t="s">
        <v>653</v>
      </c>
      <c r="B318" t="s">
        <v>654</v>
      </c>
      <c r="C318" t="s">
        <v>92</v>
      </c>
      <c r="D318" t="s">
        <v>1278</v>
      </c>
      <c r="E318" t="s">
        <v>92</v>
      </c>
    </row>
    <row r="319" spans="1:5" x14ac:dyDescent="0.25">
      <c r="D319" t="s">
        <v>1278</v>
      </c>
    </row>
  </sheetData>
  <sheetProtection algorithmName="SHA-512" hashValue="0vcw28svHihkxuvWgTWvrRgFDAqJ87ryo0e69VP5JuD2OEAfVmxnZLNZ/dsb7DGwmkVsWnsvjquR15k0v1ILcQ==" saltValue="gwx8sKuJDREpRrjhOjbfKA==" spinCount="100000" sheet="1" objects="1" scenarios="1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C2383-2AEC-469C-A5AF-4DD061F0E81C}">
  <sheetPr codeName="Sheet2">
    <tabColor rgb="FFFFFF00"/>
  </sheetPr>
  <dimension ref="A1:W23"/>
  <sheetViews>
    <sheetView workbookViewId="0"/>
  </sheetViews>
  <sheetFormatPr defaultRowHeight="15" x14ac:dyDescent="0.25"/>
  <cols>
    <col min="1" max="1" width="45.7109375" customWidth="1"/>
    <col min="2" max="2" width="74.7109375" bestFit="1" customWidth="1"/>
    <col min="3" max="3" width="13.85546875" bestFit="1" customWidth="1"/>
    <col min="4" max="4" width="16.28515625" bestFit="1" customWidth="1"/>
    <col min="5" max="5" width="26.85546875" bestFit="1" customWidth="1"/>
    <col min="6" max="6" width="20.42578125" bestFit="1" customWidth="1"/>
    <col min="7" max="7" width="15" bestFit="1" customWidth="1"/>
    <col min="8" max="8" width="20.42578125" bestFit="1" customWidth="1"/>
    <col min="9" max="10" width="62.140625" bestFit="1" customWidth="1"/>
    <col min="11" max="11" width="38.85546875" bestFit="1" customWidth="1"/>
    <col min="12" max="12" width="32.42578125" bestFit="1" customWidth="1"/>
    <col min="13" max="13" width="52.7109375" bestFit="1" customWidth="1"/>
    <col min="14" max="14" width="20.42578125" bestFit="1" customWidth="1"/>
    <col min="15" max="19" width="62.140625" bestFit="1" customWidth="1"/>
    <col min="20" max="20" width="16.28515625" bestFit="1" customWidth="1"/>
    <col min="21" max="21" width="16.85546875" bestFit="1" customWidth="1"/>
    <col min="22" max="22" width="20.42578125" bestFit="1" customWidth="1"/>
    <col min="23" max="23" width="15" bestFit="1" customWidth="1"/>
    <col min="24" max="24" width="20.42578125" bestFit="1" customWidth="1"/>
    <col min="25" max="26" width="62.140625" bestFit="1" customWidth="1"/>
  </cols>
  <sheetData>
    <row r="1" spans="1:23" x14ac:dyDescent="0.25">
      <c r="B1" t="s">
        <v>1279</v>
      </c>
      <c r="C1" t="s">
        <v>1279</v>
      </c>
      <c r="D1" t="s">
        <v>1398</v>
      </c>
      <c r="E1" t="s">
        <v>1399</v>
      </c>
      <c r="F1" t="s">
        <v>1400</v>
      </c>
      <c r="G1" t="s">
        <v>1401</v>
      </c>
      <c r="H1" t="s">
        <v>1264</v>
      </c>
      <c r="I1" t="s">
        <v>1265</v>
      </c>
    </row>
    <row r="2" spans="1:23" x14ac:dyDescent="0.25">
      <c r="B2" t="s">
        <v>1437</v>
      </c>
      <c r="C2" t="s">
        <v>661</v>
      </c>
      <c r="D2" t="s">
        <v>1432</v>
      </c>
      <c r="E2" t="s">
        <v>1433</v>
      </c>
      <c r="F2" t="s">
        <v>1434</v>
      </c>
      <c r="G2" t="s">
        <v>1435</v>
      </c>
      <c r="H2" t="s">
        <v>1436</v>
      </c>
      <c r="I2">
        <v>220381228</v>
      </c>
    </row>
    <row r="3" spans="1:23" ht="15.75" thickBot="1" x14ac:dyDescent="0.3"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</row>
    <row r="4" spans="1:23" x14ac:dyDescent="0.25">
      <c r="A4" s="53" t="s">
        <v>1266</v>
      </c>
      <c r="B4" s="65" t="str" cm="1">
        <f t="array" ref="B4">Assumptions[TOTAL LEA GRANTS]</f>
        <v>307278423</v>
      </c>
      <c r="C4" s="60"/>
      <c r="D4" s="60"/>
      <c r="E4" s="60"/>
      <c r="F4" s="60"/>
      <c r="G4" s="60"/>
      <c r="H4" s="60"/>
      <c r="I4" s="60"/>
      <c r="J4" s="60"/>
      <c r="K4" s="60"/>
    </row>
    <row r="5" spans="1:23" x14ac:dyDescent="0.25">
      <c r="A5" s="54" t="s">
        <v>1267</v>
      </c>
      <c r="B5" s="66"/>
      <c r="C5" s="61"/>
      <c r="D5" s="61"/>
      <c r="E5" s="61"/>
      <c r="F5" s="61"/>
      <c r="G5" s="61"/>
      <c r="H5" s="61"/>
      <c r="I5" s="61"/>
      <c r="J5" s="61"/>
      <c r="K5" s="61"/>
    </row>
    <row r="6" spans="1:23" x14ac:dyDescent="0.25">
      <c r="A6" s="55" t="s">
        <v>1268</v>
      </c>
      <c r="B6" s="66">
        <f>B4+B5</f>
        <v>307278423</v>
      </c>
      <c r="C6" s="60"/>
      <c r="D6" s="60"/>
      <c r="E6" s="60"/>
      <c r="F6" s="60"/>
      <c r="G6" s="60"/>
      <c r="H6" s="60"/>
      <c r="I6" s="60"/>
      <c r="J6" s="60"/>
      <c r="K6" s="60"/>
    </row>
    <row r="7" spans="1:23" x14ac:dyDescent="0.25">
      <c r="A7" s="56"/>
      <c r="B7" s="66"/>
      <c r="C7" s="2"/>
      <c r="D7" s="2"/>
      <c r="E7" s="2"/>
      <c r="F7" s="2"/>
      <c r="G7" s="2"/>
      <c r="H7" s="2"/>
      <c r="I7" s="2"/>
      <c r="J7" s="2"/>
      <c r="K7" s="2"/>
    </row>
    <row r="8" spans="1:23" x14ac:dyDescent="0.25">
      <c r="A8" s="56" t="s">
        <v>1269</v>
      </c>
      <c r="B8" s="66">
        <v>0</v>
      </c>
      <c r="C8" s="2"/>
      <c r="D8" s="2"/>
      <c r="E8" s="2"/>
      <c r="F8" s="2"/>
      <c r="G8" s="2"/>
      <c r="H8" s="2"/>
      <c r="I8" s="2"/>
      <c r="J8" s="2"/>
      <c r="K8" s="2"/>
    </row>
    <row r="9" spans="1:23" x14ac:dyDescent="0.25">
      <c r="A9" s="56" t="s">
        <v>1340</v>
      </c>
      <c r="B9" s="66">
        <f>'State Reservations'!$I$3</f>
        <v>307143553.31405026</v>
      </c>
      <c r="C9" s="2"/>
      <c r="D9" s="2"/>
      <c r="E9" s="2"/>
      <c r="F9" s="2"/>
      <c r="G9" s="2"/>
      <c r="H9" s="2"/>
      <c r="I9" s="2"/>
      <c r="J9" s="2"/>
      <c r="K9" s="2"/>
    </row>
    <row r="10" spans="1:23" x14ac:dyDescent="0.25">
      <c r="A10" s="56" t="s">
        <v>1270</v>
      </c>
      <c r="B10" s="66">
        <f>(7%*B6)*-1</f>
        <v>-21509489.610000003</v>
      </c>
      <c r="C10" s="2"/>
      <c r="D10" s="2"/>
      <c r="E10" s="2"/>
      <c r="F10" s="2"/>
      <c r="G10" s="2"/>
      <c r="H10" s="2"/>
      <c r="I10" s="2"/>
      <c r="J10" s="2"/>
      <c r="K10" s="2"/>
    </row>
    <row r="11" spans="1:23" x14ac:dyDescent="0.25">
      <c r="A11" s="56" t="s">
        <v>1363</v>
      </c>
      <c r="B11" s="67">
        <f>'State Reservations'!$I$1-'State Reservations'!$I$3</f>
        <v>134869.68594974279</v>
      </c>
      <c r="C11" s="2"/>
      <c r="D11" s="2"/>
      <c r="E11" s="2"/>
      <c r="F11" s="2"/>
      <c r="G11" s="2"/>
      <c r="H11" s="2"/>
      <c r="I11" s="2"/>
      <c r="J11" s="2"/>
      <c r="K11" s="2"/>
      <c r="M11" s="62"/>
    </row>
    <row r="12" spans="1:23" x14ac:dyDescent="0.25">
      <c r="A12" s="56" t="s">
        <v>1372</v>
      </c>
      <c r="B12" s="66">
        <f>B10+B11</f>
        <v>-21374619.92405026</v>
      </c>
      <c r="C12" s="2"/>
      <c r="D12" s="2"/>
      <c r="E12" s="2"/>
      <c r="F12" s="2"/>
      <c r="G12" s="2"/>
      <c r="H12" s="2"/>
      <c r="I12" s="2"/>
      <c r="J12" s="2"/>
      <c r="K12" s="2"/>
    </row>
    <row r="13" spans="1:23" x14ac:dyDescent="0.25">
      <c r="A13" s="56"/>
      <c r="B13" s="66"/>
      <c r="C13" s="2"/>
      <c r="D13" s="2"/>
      <c r="E13" s="2"/>
      <c r="F13" s="2"/>
      <c r="G13" s="2"/>
      <c r="H13" s="2"/>
      <c r="I13" s="2"/>
      <c r="J13" s="2"/>
      <c r="K13" s="2"/>
    </row>
    <row r="14" spans="1:23" x14ac:dyDescent="0.25">
      <c r="A14" s="56" t="s">
        <v>1271</v>
      </c>
      <c r="B14" s="68">
        <f>B12/B9</f>
        <v>-6.9591628062578903E-2</v>
      </c>
      <c r="C14" s="2"/>
      <c r="D14" s="2"/>
      <c r="E14" s="2"/>
      <c r="F14" s="2"/>
      <c r="G14" s="2"/>
      <c r="H14" s="2"/>
      <c r="I14" s="2"/>
      <c r="J14" s="2"/>
      <c r="K14" s="2"/>
    </row>
    <row r="15" spans="1:23" x14ac:dyDescent="0.25">
      <c r="A15" s="56"/>
      <c r="B15" s="69"/>
      <c r="C15" s="2"/>
      <c r="D15" s="2"/>
      <c r="E15" s="2"/>
      <c r="F15" s="2"/>
      <c r="G15" s="2"/>
      <c r="H15" s="2"/>
      <c r="I15" s="2"/>
      <c r="J15" s="2"/>
      <c r="K15" s="2"/>
    </row>
    <row r="16" spans="1:23" x14ac:dyDescent="0.25">
      <c r="A16" s="57" t="s">
        <v>1272</v>
      </c>
      <c r="B16" s="66"/>
      <c r="C16" s="63"/>
      <c r="D16" s="63"/>
      <c r="E16" s="63"/>
      <c r="F16" s="63"/>
      <c r="G16" s="63"/>
      <c r="H16" s="63"/>
      <c r="I16" s="63"/>
      <c r="J16" s="63"/>
      <c r="K16" s="63"/>
    </row>
    <row r="17" spans="1:13" x14ac:dyDescent="0.25">
      <c r="A17" s="58" t="s">
        <v>1273</v>
      </c>
      <c r="B17" s="66">
        <f>B6+B10</f>
        <v>285768933.38999999</v>
      </c>
      <c r="C17" s="7"/>
      <c r="D17" s="7"/>
      <c r="E17" s="7"/>
      <c r="F17" s="7"/>
      <c r="G17" s="7"/>
      <c r="H17" s="7"/>
      <c r="I17" s="7"/>
      <c r="J17" s="7"/>
      <c r="K17" s="7"/>
      <c r="M17" s="44"/>
    </row>
    <row r="18" spans="1:13" x14ac:dyDescent="0.25">
      <c r="A18" s="59" t="s">
        <v>1274</v>
      </c>
      <c r="B18" s="66" cm="1">
        <f t="array" ref="B18">Assumptions[Rev Fin  T-I State Adm  1004(b).TITLE I, PART A TOTAL LEA GRANTS]</f>
        <v>220381228</v>
      </c>
      <c r="C18" s="64"/>
      <c r="D18" s="64"/>
      <c r="E18" s="64"/>
      <c r="F18" s="64"/>
      <c r="G18" s="64"/>
      <c r="H18" s="64"/>
      <c r="I18" s="64"/>
      <c r="J18" s="64"/>
      <c r="K18" s="64"/>
    </row>
    <row r="19" spans="1:13" x14ac:dyDescent="0.25">
      <c r="A19" s="56" t="s">
        <v>1275</v>
      </c>
      <c r="B19" s="66">
        <f>ROUND((B18*1%),0)*-1</f>
        <v>-2203812</v>
      </c>
      <c r="C19" s="2"/>
      <c r="D19" s="2"/>
      <c r="E19" s="2"/>
      <c r="F19" s="2"/>
      <c r="G19" s="2"/>
      <c r="H19" s="2"/>
      <c r="I19" s="2"/>
      <c r="J19" s="2"/>
      <c r="K19" s="2"/>
    </row>
    <row r="20" spans="1:13" x14ac:dyDescent="0.25">
      <c r="A20" s="56"/>
      <c r="B20" s="66"/>
      <c r="C20" s="2"/>
      <c r="D20" s="2"/>
      <c r="E20" s="2"/>
      <c r="F20" s="2"/>
      <c r="G20" s="2"/>
      <c r="H20" s="2"/>
      <c r="I20" s="2"/>
      <c r="J20" s="2"/>
      <c r="K20" s="2"/>
    </row>
    <row r="21" spans="1:13" x14ac:dyDescent="0.25">
      <c r="A21" s="56" t="s">
        <v>664</v>
      </c>
      <c r="B21" s="66"/>
      <c r="C21" s="2"/>
      <c r="D21" s="2"/>
      <c r="E21" s="2"/>
      <c r="F21" s="2"/>
      <c r="G21" s="2"/>
      <c r="H21" s="2"/>
      <c r="I21" s="2"/>
      <c r="J21" s="2"/>
      <c r="K21" s="2"/>
    </row>
    <row r="22" spans="1:13" x14ac:dyDescent="0.25">
      <c r="A22" s="56" t="s">
        <v>1276</v>
      </c>
      <c r="B22" s="66">
        <f>'State Reservations'!AD3*-1</f>
        <v>0</v>
      </c>
      <c r="C22" s="2"/>
      <c r="D22" s="2"/>
      <c r="E22" s="2"/>
      <c r="F22" s="2"/>
      <c r="G22" s="2"/>
      <c r="H22" s="2"/>
      <c r="I22" s="2"/>
      <c r="J22" s="2"/>
      <c r="K22" s="2"/>
    </row>
    <row r="23" spans="1:13" ht="15.75" thickBot="1" x14ac:dyDescent="0.3">
      <c r="A23" s="10" t="s">
        <v>1277</v>
      </c>
      <c r="B23" s="70">
        <f>B17+B19+B22</f>
        <v>283565121.38999999</v>
      </c>
      <c r="C23" s="61"/>
      <c r="D23" s="61"/>
      <c r="E23" s="61"/>
      <c r="F23" s="61"/>
      <c r="G23" s="61"/>
      <c r="H23" s="61"/>
      <c r="I23" s="61"/>
      <c r="J23" s="61"/>
      <c r="K23" s="61"/>
      <c r="M23" s="44"/>
    </row>
  </sheetData>
  <sheetProtection algorithmName="SHA-512" hashValue="16x74dQDs+wadp4D+cXoUXjgqy4jU5KYLTN430n9QHOrCist+100BL3MQMj0s+j0CXEapjckrzGdqA9pPlvYJg==" saltValue="SY8IGDuGwsgomuWvLMe17A==" spinCount="100000" sheet="1" objects="1" scenarios="1"/>
  <phoneticPr fontId="2" type="noConversion"/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E85DC-62F1-4FC0-9717-51C5497BC9D0}">
  <dimension ref="A1:AG320"/>
  <sheetViews>
    <sheetView workbookViewId="0">
      <selection activeCell="W4" sqref="W4"/>
    </sheetView>
  </sheetViews>
  <sheetFormatPr defaultRowHeight="15" x14ac:dyDescent="0.25"/>
  <cols>
    <col min="2" max="2" width="23.5703125" customWidth="1"/>
    <col min="4" max="4" width="20.7109375" customWidth="1"/>
    <col min="5" max="5" width="16.7109375" customWidth="1"/>
    <col min="6" max="7" width="15" customWidth="1"/>
    <col min="8" max="8" width="19" customWidth="1"/>
    <col min="9" max="9" width="24.5703125" customWidth="1"/>
    <col min="10" max="10" width="17.42578125" customWidth="1"/>
    <col min="11" max="11" width="24.140625" customWidth="1"/>
    <col min="12" max="12" width="13.85546875" customWidth="1"/>
    <col min="13" max="13" width="13.140625" customWidth="1"/>
    <col min="14" max="14" width="14.140625" customWidth="1"/>
    <col min="15" max="15" width="14" customWidth="1"/>
    <col min="16" max="16" width="13.7109375" customWidth="1"/>
    <col min="17" max="17" width="14" customWidth="1"/>
    <col min="18" max="18" width="15.140625" customWidth="1"/>
    <col min="19" max="19" width="11.7109375" customWidth="1"/>
    <col min="20" max="20" width="13.85546875" customWidth="1"/>
    <col min="21" max="22" width="12" bestFit="1" customWidth="1"/>
    <col min="23" max="24" width="15.5703125" customWidth="1"/>
    <col min="25" max="25" width="20" customWidth="1"/>
    <col min="26" max="26" width="17" customWidth="1"/>
    <col min="28" max="28" width="16" customWidth="1"/>
    <col min="30" max="30" width="13.28515625" bestFit="1" customWidth="1"/>
    <col min="31" max="31" width="35.5703125" customWidth="1"/>
    <col min="32" max="32" width="15.28515625" bestFit="1" customWidth="1"/>
  </cols>
  <sheetData>
    <row r="1" spans="1:33" x14ac:dyDescent="0.25">
      <c r="G1" s="44"/>
      <c r="H1" s="44"/>
      <c r="I1" s="12">
        <f>'Assumptions '!B6</f>
        <v>307278423</v>
      </c>
      <c r="J1" s="42"/>
      <c r="K1" s="43">
        <f>'Assumptions '!B14*-1</f>
        <v>6.9591628062578903E-2</v>
      </c>
      <c r="L1" s="82" t="s">
        <v>1280</v>
      </c>
      <c r="M1" s="82"/>
      <c r="N1" s="82"/>
      <c r="O1" s="82" t="s">
        <v>1281</v>
      </c>
      <c r="P1" s="82"/>
      <c r="Q1" s="82"/>
      <c r="R1" s="82" t="s">
        <v>1282</v>
      </c>
      <c r="S1" s="82"/>
      <c r="T1" s="82"/>
      <c r="U1" s="82" t="s">
        <v>1283</v>
      </c>
      <c r="V1" s="82"/>
      <c r="W1" s="82"/>
      <c r="X1" s="45"/>
      <c r="Y1" s="13">
        <f>'Assumptions '!B19*-1</f>
        <v>2203812</v>
      </c>
      <c r="Z1" s="45"/>
      <c r="AA1" s="13">
        <v>0</v>
      </c>
      <c r="AE1" s="40">
        <f>'Assumptions '!B23</f>
        <v>283565121.38999999</v>
      </c>
      <c r="AF1" s="44" t="str">
        <f>IF(ROUND(AE3,2)=ROUND(AE1,2), "looks good", "Check model")</f>
        <v>looks good</v>
      </c>
    </row>
    <row r="2" spans="1:33" s="25" customFormat="1" ht="81.75" customHeight="1" x14ac:dyDescent="0.25">
      <c r="A2" s="15" t="s">
        <v>4</v>
      </c>
      <c r="B2" s="16" t="s">
        <v>1284</v>
      </c>
      <c r="C2" s="14" t="s">
        <v>0</v>
      </c>
      <c r="D2" s="17" t="s">
        <v>1285</v>
      </c>
      <c r="E2" s="17" t="s">
        <v>1286</v>
      </c>
      <c r="F2" s="18" t="s">
        <v>1287</v>
      </c>
      <c r="G2" s="18" t="s">
        <v>1288</v>
      </c>
      <c r="H2" s="18" t="s">
        <v>1289</v>
      </c>
      <c r="I2" s="18" t="s">
        <v>1290</v>
      </c>
      <c r="J2" s="19" t="s">
        <v>1285</v>
      </c>
      <c r="K2" s="18" t="s">
        <v>1371</v>
      </c>
      <c r="L2" s="20" t="s">
        <v>1291</v>
      </c>
      <c r="M2" s="21" t="s">
        <v>662</v>
      </c>
      <c r="N2" s="22" t="s">
        <v>663</v>
      </c>
      <c r="O2" s="20" t="s">
        <v>1291</v>
      </c>
      <c r="P2" s="21" t="s">
        <v>662</v>
      </c>
      <c r="Q2" s="22" t="s">
        <v>663</v>
      </c>
      <c r="R2" s="20" t="s">
        <v>1291</v>
      </c>
      <c r="S2" s="21" t="s">
        <v>662</v>
      </c>
      <c r="T2" s="22" t="s">
        <v>663</v>
      </c>
      <c r="U2" s="20" t="s">
        <v>1291</v>
      </c>
      <c r="V2" s="21" t="s">
        <v>662</v>
      </c>
      <c r="W2" s="22" t="s">
        <v>663</v>
      </c>
      <c r="X2" s="20" t="s">
        <v>1387</v>
      </c>
      <c r="Y2" s="23" t="s">
        <v>1292</v>
      </c>
      <c r="Z2" s="23" t="s">
        <v>1293</v>
      </c>
      <c r="AA2" s="23" t="s">
        <v>1294</v>
      </c>
      <c r="AB2" s="23" t="s">
        <v>1295</v>
      </c>
      <c r="AC2" s="23" t="s">
        <v>664</v>
      </c>
      <c r="AD2" s="23" t="s">
        <v>1296</v>
      </c>
      <c r="AE2" s="24" t="s">
        <v>1297</v>
      </c>
      <c r="AF2" s="46">
        <f>AE1-AE3</f>
        <v>0</v>
      </c>
      <c r="AG2" s="25" t="s">
        <v>4</v>
      </c>
    </row>
    <row r="3" spans="1:33" x14ac:dyDescent="0.25">
      <c r="A3" s="5"/>
      <c r="B3" s="6"/>
      <c r="C3" s="1"/>
      <c r="E3" s="26">
        <f>SUM(E4:E320)</f>
        <v>118918797.34962943</v>
      </c>
      <c r="F3" s="26">
        <f>SUM(F4:F320)</f>
        <v>15101195.288284769</v>
      </c>
      <c r="G3" s="26">
        <f>SUM(G4:G320)</f>
        <v>72822505.465616852</v>
      </c>
      <c r="H3" s="26">
        <f>SUM(H4:H320)</f>
        <v>100301055.21051909</v>
      </c>
      <c r="I3" s="26">
        <f>IF(SUM(I4:I320)&gt;I1, "BAD", SUM(I4:I320))</f>
        <v>307143553.31405026</v>
      </c>
      <c r="K3" s="26" cm="1">
        <f t="array" ref="K3">SUM(IF(ISERROR(K$4:K$320),0,K$4:K$320))</f>
        <v>285768933.38999993</v>
      </c>
      <c r="L3" s="26" cm="1">
        <f t="array" ref="L3">SUM(IF(ISERROR(L$4:L$320),0,L$4:L$320))</f>
        <v>7861263.8760908954</v>
      </c>
      <c r="M3" s="26" cm="1">
        <f t="array" ref="M3">SUM(IF(ISERROR(M$4:M$320),0,M$4:M$320))</f>
        <v>156017950.05118001</v>
      </c>
      <c r="N3" s="26" cm="1">
        <f t="array" ref="N3">SUM(IF(ISERROR(N$4:N$320),0,N$4:N$320))</f>
        <v>285768933.3900001</v>
      </c>
      <c r="O3" s="26" cm="1">
        <f t="array" ref="O3">SUM(IF(ISERROR(O$4:O$320),0,O$4:O$320))</f>
        <v>1135466.1461415931</v>
      </c>
      <c r="P3" s="26" cm="1">
        <f t="array" ref="P3">SUM(IF(ISERROR(P$4:P$320),0,P$4:P$320))</f>
        <v>119273089.42727856</v>
      </c>
      <c r="Q3" s="26" cm="1">
        <f t="array" ref="Q3">SUM(IF(ISERROR(Q$4:Q$320),0,Q$4:Q$320))</f>
        <v>285768933.3900001</v>
      </c>
      <c r="R3" s="27" cm="1">
        <f t="array" ref="R3">SUM(IF(ISERROR(R$4:R$320),0,R$4:R$320))</f>
        <v>0</v>
      </c>
      <c r="S3" s="26" cm="1">
        <f t="array" ref="S3">SUM(IF(ISERROR(S$4:S$320),0,S$4:S$320))</f>
        <v>119273089.42727856</v>
      </c>
      <c r="T3" s="26" cm="1">
        <f t="array" ref="T3">SUM(IF(ISERROR(T$4:T$320),0,T$4:T$320))</f>
        <v>285768933.3900001</v>
      </c>
      <c r="U3" s="26" cm="1">
        <f t="array" ref="U3">SUM(IF(ISERROR(U$4:U$320),0,U$4:U$320))</f>
        <v>1135466.1461415931</v>
      </c>
      <c r="V3" s="26" cm="1">
        <f t="array" ref="V3">SUM(IF(ISERROR(V$4:V$320),0,V$4:V$320))</f>
        <v>119273089.42727856</v>
      </c>
      <c r="W3" s="26" cm="1">
        <f t="array" ref="W3">SUM(IF(ISERROR(W$4:W$320),0,W$4:W$320))</f>
        <v>285768933.3900001</v>
      </c>
      <c r="X3" s="26" cm="1">
        <f t="array" ref="X3">SUM(IF(ISERROR(X$4:X$320),0,X$4:X$320))</f>
        <v>21374619.924050242</v>
      </c>
      <c r="Y3" s="41" cm="1">
        <f t="array" ref="Y3">SUM(IF(ISERROR(Y$4:Y$320),0,Y$4:Y$320))</f>
        <v>2203811.9999999986</v>
      </c>
      <c r="Z3" s="26" cm="1">
        <f t="array" ref="Z3">SUM(IF(ISERROR(Z$4:Z$320),0,Z$4:Z$320))</f>
        <v>283565121.39000005</v>
      </c>
      <c r="AD3" s="28">
        <f>SUM(AD4:AD320)</f>
        <v>0</v>
      </c>
      <c r="AE3" s="50">
        <f>SUM($AE$4:$AE$320)</f>
        <v>283565121.39000005</v>
      </c>
      <c r="AF3" s="52"/>
    </row>
    <row r="4" spans="1:33" x14ac:dyDescent="0.25">
      <c r="A4" s="7" t="s">
        <v>313</v>
      </c>
      <c r="B4" s="2" t="s">
        <v>666</v>
      </c>
      <c r="C4" s="4" t="s">
        <v>665</v>
      </c>
      <c r="D4">
        <f>_xlfn.IFNA(VLOOKUP(A4,'Prior Year data'!$A$1:$T$317,12,FALSE),0)</f>
        <v>1488763.6166806188</v>
      </c>
      <c r="E4">
        <f>VLOOKUP(A4,'Basic HH'!$B$1:$Y$321,23,FALSE)</f>
        <v>713048.77462766541</v>
      </c>
      <c r="F4">
        <f>VLOOKUP(A4,'Conc. HH'!$B$1:$Y$321,23,FALSE)</f>
        <v>187444.52597315577</v>
      </c>
      <c r="G4">
        <f>VLOOKUP(A4,'Targeted HH'!$B$1:$Y$321,23,FALSE)</f>
        <v>446513.47640977893</v>
      </c>
      <c r="H4">
        <f>VLOOKUP(A4,'EFIG HH'!$B$1:$Y$321,23,FALSE)</f>
        <v>615646.74240324274</v>
      </c>
      <c r="I4">
        <f t="shared" ref="I4:I67" si="0">SUM(E4:H4)</f>
        <v>1962653.5194138428</v>
      </c>
      <c r="J4">
        <f t="shared" ref="J4:J67" si="1">IF(D4=0,I4,D4)</f>
        <v>1488763.6166806188</v>
      </c>
      <c r="K4" s="44">
        <f t="shared" ref="K4:K67" si="2">I4*(1-$K$1)</f>
        <v>1826069.2656750833</v>
      </c>
      <c r="L4">
        <f t="shared" ref="L4" si="3">IF(K4&lt;J4,MIN(J4,I4)-K4,0)</f>
        <v>0</v>
      </c>
      <c r="M4">
        <f t="shared" ref="M4" si="4">IF(L4=0,K4,0)</f>
        <v>1826069.2656750833</v>
      </c>
      <c r="N4">
        <f t="shared" ref="N4" si="5">M4-(M4/$M$3*$L$3)+IF(L4&gt;0,K4+L4)</f>
        <v>1734059.260744354</v>
      </c>
      <c r="O4">
        <f t="shared" ref="O4" si="6">IF(L4=0,IF(N4&lt;J4,MIN(I4,J4)-N4,0),0)</f>
        <v>0</v>
      </c>
      <c r="P4">
        <f t="shared" ref="P4" si="7">IF(O4+L4=0,N4,0)</f>
        <v>1734059.260744354</v>
      </c>
      <c r="Q4">
        <f t="shared" ref="Q4" si="8">IF(J4&gt;0,N4,IF(O4&gt;0,O4+N4,P4-(P4/$P$3*$O$3)))</f>
        <v>1734059.260744354</v>
      </c>
      <c r="R4">
        <f t="shared" ref="R4" si="9">IF(O4=0, IF(Q4&lt;J4,MIN(I4,J4)-Q4,0),0)</f>
        <v>0</v>
      </c>
      <c r="S4">
        <f t="shared" ref="S4" si="10">IF(L4+O4+R4=0,N4,0)</f>
        <v>1734059.260744354</v>
      </c>
      <c r="T4">
        <f t="shared" ref="T4" si="11">IF(J4&gt;0,Q4,IF(R4&gt;0,Q4+N4,S4-(S4/$S$3*$R$3)))</f>
        <v>1734059.260744354</v>
      </c>
      <c r="U4">
        <f t="shared" ref="U4" si="12">IF(R4=0,IF(T4&lt;J4,MIN(I4,J4)-T4,0),0)</f>
        <v>0</v>
      </c>
      <c r="V4">
        <f t="shared" ref="V4" si="13">IF(U4+R4+O4+L4=0,T4,0)</f>
        <v>1734059.260744354</v>
      </c>
      <c r="W4">
        <f t="shared" ref="W4" si="14">IF(J4&gt;0,T4,IF(T4&gt;0,U4+T4,U4-(U4/$U$3*$T$3)))</f>
        <v>1734059.260744354</v>
      </c>
      <c r="X4" s="44">
        <f t="shared" ref="X4:X67" si="15">I4-W4</f>
        <v>228594.25866948883</v>
      </c>
      <c r="Y4" s="28">
        <f t="shared" ref="Y4:Y67" si="16">W4/$W$3*$Y$1</f>
        <v>13372.834346286792</v>
      </c>
      <c r="Z4" s="28">
        <f t="shared" ref="Z4:Z67" si="17">W4-Y4</f>
        <v>1720686.4263980673</v>
      </c>
      <c r="AA4">
        <f t="shared" ref="AA4:AA67" si="18">Z4/$Z$3*$AA$1</f>
        <v>0</v>
      </c>
      <c r="AB4" s="28">
        <f t="shared" ref="AB4:AB67" si="19">Z4-AA4</f>
        <v>1720686.4263980673</v>
      </c>
      <c r="AD4" s="28">
        <f t="shared" ref="AD4:AD67" si="20">IF(AC4&gt;0,AC4*AB4,0)</f>
        <v>0</v>
      </c>
      <c r="AE4" s="28">
        <f t="shared" ref="AE4:AE67" si="21">AB4-AD4</f>
        <v>1720686.4263980673</v>
      </c>
      <c r="AF4" s="51"/>
      <c r="AG4" t="str">
        <f>A4</f>
        <v>5300030</v>
      </c>
    </row>
    <row r="5" spans="1:33" x14ac:dyDescent="0.25">
      <c r="A5" s="7" t="s">
        <v>264</v>
      </c>
      <c r="B5" s="2" t="s">
        <v>668</v>
      </c>
      <c r="C5" s="4" t="s">
        <v>667</v>
      </c>
      <c r="D5">
        <f>_xlfn.IFNA(VLOOKUP(A5,'Prior Year data'!$A$1:$T$317,12,FALSE),0)</f>
        <v>77985.074412203234</v>
      </c>
      <c r="E5">
        <f>VLOOKUP(A5,'Basic HH'!$B$1:$Y$321,23,FALSE)</f>
        <v>33545.11726233887</v>
      </c>
      <c r="F5">
        <f>VLOOKUP(A5,'Conc. HH'!$B$1:$Y$321,23,FALSE)</f>
        <v>0</v>
      </c>
      <c r="G5">
        <f>VLOOKUP(A5,'Targeted HH'!$B$1:$Y$321,23,FALSE)</f>
        <v>16052.255740045452</v>
      </c>
      <c r="H5">
        <f>VLOOKUP(A5,'EFIG HH'!$B$1:$Y$321,23,FALSE)</f>
        <v>22132.633115676112</v>
      </c>
      <c r="I5">
        <f t="shared" si="0"/>
        <v>71730.006118060439</v>
      </c>
      <c r="J5">
        <f t="shared" si="1"/>
        <v>77985.074412203234</v>
      </c>
      <c r="K5" s="44">
        <f t="shared" si="2"/>
        <v>66738.198211365874</v>
      </c>
      <c r="L5">
        <f t="shared" ref="L5:L67" si="22">IF(K5&lt;J5,MIN(J5,I5)-K5,0)</f>
        <v>4991.8079066945647</v>
      </c>
      <c r="M5">
        <f t="shared" ref="M5:M67" si="23">IF(L5=0,K5,0)</f>
        <v>0</v>
      </c>
      <c r="N5">
        <f t="shared" ref="N5:N67" si="24">M5-(M5/$M$3*$L$3)+IF(L5&gt;0,K5+L5)</f>
        <v>71730.006118060439</v>
      </c>
      <c r="O5">
        <f t="shared" ref="O5:O16" si="25">IF(L5=0,IF(N5&lt;J5,MIN(I5,J5)-N5,0),0)</f>
        <v>0</v>
      </c>
      <c r="P5">
        <f t="shared" ref="P5:P16" si="26">IF(O5+L5=0,N5,0)</f>
        <v>0</v>
      </c>
      <c r="Q5">
        <f t="shared" ref="Q5:Q16" si="27">IF(J5&gt;0,N5,IF(O5&gt;0,O5+N5,P5-(P5/$P$3*$O$3)))</f>
        <v>71730.006118060439</v>
      </c>
      <c r="R5">
        <f t="shared" ref="R5:R16" si="28">IF(O5=0, IF(Q5&lt;J5,MIN(I5,J5)-Q5,0),0)</f>
        <v>0</v>
      </c>
      <c r="S5">
        <f t="shared" ref="S5:S16" si="29">IF(L5+O5+R5=0,N5,0)</f>
        <v>0</v>
      </c>
      <c r="T5">
        <f t="shared" ref="T5:T16" si="30">IF(J5&gt;0,Q5,IF(R5&gt;0,Q5+N5,S5-(S5/$S$3*$R$3)))</f>
        <v>71730.006118060439</v>
      </c>
      <c r="U5">
        <f t="shared" ref="U5:U16" si="31">IF(R5=0,IF(T5&lt;J5,MIN(I5,J5)-T5,0),0)</f>
        <v>0</v>
      </c>
      <c r="V5">
        <f t="shared" ref="V5:V16" si="32">IF(U5+R5+O5+L5=0,T5,0)</f>
        <v>0</v>
      </c>
      <c r="W5">
        <f t="shared" ref="W5:W16" si="33">IF(J5&gt;0,T5,IF(T5&gt;0,U5+T5,U5-(U5/$U$3*$T$3)))</f>
        <v>71730.006118060439</v>
      </c>
      <c r="X5" s="44">
        <f t="shared" si="15"/>
        <v>0</v>
      </c>
      <c r="Y5" s="28">
        <f t="shared" si="16"/>
        <v>553.1722653256985</v>
      </c>
      <c r="Z5" s="28">
        <f t="shared" si="17"/>
        <v>71176.833852734737</v>
      </c>
      <c r="AA5">
        <f t="shared" si="18"/>
        <v>0</v>
      </c>
      <c r="AB5" s="28">
        <f t="shared" si="19"/>
        <v>71176.833852734737</v>
      </c>
      <c r="AD5" s="28">
        <f t="shared" si="20"/>
        <v>0</v>
      </c>
      <c r="AE5" s="28">
        <f t="shared" si="21"/>
        <v>71176.833852734737</v>
      </c>
      <c r="AF5" s="51"/>
      <c r="AG5" t="str">
        <f t="shared" ref="AG5:AG68" si="34">A5</f>
        <v>5300060</v>
      </c>
    </row>
    <row r="6" spans="1:33" x14ac:dyDescent="0.25">
      <c r="A6" s="7" t="s">
        <v>266</v>
      </c>
      <c r="B6" s="2" t="s">
        <v>670</v>
      </c>
      <c r="C6" s="4" t="s">
        <v>669</v>
      </c>
      <c r="D6">
        <f>_xlfn.IFNA(VLOOKUP(A6,'Prior Year data'!$A$1:$T$317,12,FALSE),0)</f>
        <v>0</v>
      </c>
      <c r="E6">
        <f>VLOOKUP(A6,'Basic HH'!$B$1:$Y$321,23,FALSE)</f>
        <v>0</v>
      </c>
      <c r="F6">
        <f>VLOOKUP(A6,'Conc. HH'!$B$1:$Y$321,23,FALSE)</f>
        <v>0</v>
      </c>
      <c r="G6">
        <f>VLOOKUP(A6,'Targeted HH'!$B$1:$Y$321,23,FALSE)</f>
        <v>0</v>
      </c>
      <c r="H6">
        <f>VLOOKUP(A6,'EFIG HH'!$B$1:$Y$321,23,FALSE)</f>
        <v>0</v>
      </c>
      <c r="I6">
        <f t="shared" si="0"/>
        <v>0</v>
      </c>
      <c r="J6">
        <f t="shared" si="1"/>
        <v>0</v>
      </c>
      <c r="K6" s="44">
        <f t="shared" si="2"/>
        <v>0</v>
      </c>
      <c r="L6">
        <f t="shared" si="22"/>
        <v>0</v>
      </c>
      <c r="M6">
        <f t="shared" si="23"/>
        <v>0</v>
      </c>
      <c r="N6" s="49">
        <f t="shared" si="24"/>
        <v>0</v>
      </c>
      <c r="O6">
        <f t="shared" si="25"/>
        <v>0</v>
      </c>
      <c r="P6">
        <f t="shared" si="26"/>
        <v>0</v>
      </c>
      <c r="Q6">
        <f t="shared" si="27"/>
        <v>0</v>
      </c>
      <c r="R6">
        <f t="shared" si="28"/>
        <v>0</v>
      </c>
      <c r="S6">
        <f t="shared" si="29"/>
        <v>0</v>
      </c>
      <c r="T6">
        <f t="shared" si="30"/>
        <v>0</v>
      </c>
      <c r="U6">
        <f t="shared" si="31"/>
        <v>0</v>
      </c>
      <c r="V6">
        <f t="shared" si="32"/>
        <v>0</v>
      </c>
      <c r="W6">
        <f t="shared" si="33"/>
        <v>0</v>
      </c>
      <c r="X6" s="44">
        <f t="shared" si="15"/>
        <v>0</v>
      </c>
      <c r="Y6" s="28">
        <f t="shared" si="16"/>
        <v>0</v>
      </c>
      <c r="Z6" s="28">
        <f t="shared" si="17"/>
        <v>0</v>
      </c>
      <c r="AA6">
        <f t="shared" si="18"/>
        <v>0</v>
      </c>
      <c r="AB6" s="28">
        <f t="shared" si="19"/>
        <v>0</v>
      </c>
      <c r="AD6" s="28">
        <f t="shared" si="20"/>
        <v>0</v>
      </c>
      <c r="AE6" s="28">
        <f t="shared" si="21"/>
        <v>0</v>
      </c>
      <c r="AF6" s="51"/>
      <c r="AG6" t="str">
        <f t="shared" si="34"/>
        <v>5300090</v>
      </c>
    </row>
    <row r="7" spans="1:33" x14ac:dyDescent="0.25">
      <c r="A7" s="7" t="s">
        <v>93</v>
      </c>
      <c r="B7" s="2" t="s">
        <v>672</v>
      </c>
      <c r="C7" s="4" t="s">
        <v>671</v>
      </c>
      <c r="D7">
        <f>_xlfn.IFNA(VLOOKUP(A7,'Prior Year data'!$A$1:$T$317,12,FALSE),0)</f>
        <v>443268.4706631907</v>
      </c>
      <c r="E7">
        <f>VLOOKUP(A7,'Basic HH'!$B$1:$Y$321,23,FALSE)</f>
        <v>225354.37750596888</v>
      </c>
      <c r="F7">
        <f>VLOOKUP(A7,'Conc. HH'!$B$1:$Y$321,23,FALSE)</f>
        <v>0</v>
      </c>
      <c r="G7">
        <f>VLOOKUP(A7,'Targeted HH'!$B$1:$Y$321,23,FALSE)</f>
        <v>107838.23086902329</v>
      </c>
      <c r="H7">
        <f>VLOOKUP(A7,'EFIG HH'!$B$1:$Y$321,23,FALSE)</f>
        <v>148685.8942642856</v>
      </c>
      <c r="I7">
        <f t="shared" si="0"/>
        <v>481878.50263927772</v>
      </c>
      <c r="J7">
        <f t="shared" si="1"/>
        <v>443268.4706631907</v>
      </c>
      <c r="K7" s="44">
        <f t="shared" si="2"/>
        <v>448343.79311225266</v>
      </c>
      <c r="L7">
        <f t="shared" si="22"/>
        <v>0</v>
      </c>
      <c r="M7">
        <f t="shared" si="23"/>
        <v>448343.79311225266</v>
      </c>
      <c r="N7">
        <f t="shared" si="24"/>
        <v>425753.1305397299</v>
      </c>
      <c r="O7">
        <f t="shared" si="25"/>
        <v>17515.340123460803</v>
      </c>
      <c r="P7">
        <f t="shared" si="26"/>
        <v>0</v>
      </c>
      <c r="Q7">
        <f t="shared" si="27"/>
        <v>425753.1305397299</v>
      </c>
      <c r="R7">
        <f t="shared" si="28"/>
        <v>0</v>
      </c>
      <c r="S7">
        <f t="shared" si="29"/>
        <v>0</v>
      </c>
      <c r="T7">
        <f t="shared" si="30"/>
        <v>425753.1305397299</v>
      </c>
      <c r="U7">
        <f t="shared" si="31"/>
        <v>17515.340123460803</v>
      </c>
      <c r="V7">
        <f t="shared" si="32"/>
        <v>0</v>
      </c>
      <c r="W7">
        <f t="shared" si="33"/>
        <v>425753.1305397299</v>
      </c>
      <c r="X7" s="44">
        <f t="shared" si="15"/>
        <v>56125.372099547822</v>
      </c>
      <c r="Y7" s="28">
        <f t="shared" si="16"/>
        <v>3283.3515070741291</v>
      </c>
      <c r="Z7" s="28">
        <f t="shared" si="17"/>
        <v>422469.77903265576</v>
      </c>
      <c r="AA7">
        <f t="shared" si="18"/>
        <v>0</v>
      </c>
      <c r="AB7" s="28">
        <f t="shared" si="19"/>
        <v>422469.77903265576</v>
      </c>
      <c r="AD7" s="28">
        <f t="shared" si="20"/>
        <v>0</v>
      </c>
      <c r="AE7" s="28">
        <f t="shared" si="21"/>
        <v>422469.77903265576</v>
      </c>
      <c r="AF7" s="51"/>
      <c r="AG7" t="str">
        <f t="shared" si="34"/>
        <v>5300150</v>
      </c>
    </row>
    <row r="8" spans="1:33" x14ac:dyDescent="0.25">
      <c r="A8" s="7" t="s">
        <v>95</v>
      </c>
      <c r="B8" s="2" t="s">
        <v>674</v>
      </c>
      <c r="C8" s="4" t="s">
        <v>673</v>
      </c>
      <c r="D8">
        <f>_xlfn.IFNA(VLOOKUP(A8,'Prior Year data'!$A$1:$T$317,12,FALSE),0)</f>
        <v>748015.54424413445</v>
      </c>
      <c r="E8">
        <f>VLOOKUP(A8,'Basic HH'!$B$1:$Y$321,23,FALSE)</f>
        <v>494575.4468165352</v>
      </c>
      <c r="F8">
        <f>VLOOKUP(A8,'Conc. HH'!$B$1:$Y$321,23,FALSE)</f>
        <v>0</v>
      </c>
      <c r="G8">
        <f>VLOOKUP(A8,'Targeted HH'!$B$1:$Y$321,23,FALSE)</f>
        <v>236667.87309041363</v>
      </c>
      <c r="H8">
        <f>VLOOKUP(A8,'EFIG HH'!$B$1:$Y$321,23,FALSE)</f>
        <v>326314.46260291699</v>
      </c>
      <c r="I8">
        <f t="shared" si="0"/>
        <v>1057557.7825098657</v>
      </c>
      <c r="J8">
        <f t="shared" si="1"/>
        <v>748015.54424413445</v>
      </c>
      <c r="K8" s="44">
        <f t="shared" si="2"/>
        <v>983960.61465475347</v>
      </c>
      <c r="L8">
        <f t="shared" si="22"/>
        <v>0</v>
      </c>
      <c r="M8">
        <f t="shared" si="23"/>
        <v>983960.61465475347</v>
      </c>
      <c r="N8">
        <f t="shared" si="24"/>
        <v>934381.87045933132</v>
      </c>
      <c r="O8">
        <f t="shared" si="25"/>
        <v>0</v>
      </c>
      <c r="P8">
        <f t="shared" si="26"/>
        <v>934381.87045933132</v>
      </c>
      <c r="Q8">
        <f t="shared" si="27"/>
        <v>934381.87045933132</v>
      </c>
      <c r="R8">
        <f t="shared" si="28"/>
        <v>0</v>
      </c>
      <c r="S8">
        <f t="shared" si="29"/>
        <v>934381.87045933132</v>
      </c>
      <c r="T8">
        <f t="shared" si="30"/>
        <v>934381.87045933132</v>
      </c>
      <c r="U8">
        <f t="shared" si="31"/>
        <v>0</v>
      </c>
      <c r="V8">
        <f t="shared" si="32"/>
        <v>934381.87045933132</v>
      </c>
      <c r="W8">
        <f t="shared" si="33"/>
        <v>934381.87045933132</v>
      </c>
      <c r="X8" s="44">
        <f t="shared" si="15"/>
        <v>123175.91205053439</v>
      </c>
      <c r="Y8" s="28">
        <f t="shared" si="16"/>
        <v>7205.8286891894086</v>
      </c>
      <c r="Z8" s="28">
        <f t="shared" si="17"/>
        <v>927176.04177014192</v>
      </c>
      <c r="AA8">
        <f t="shared" si="18"/>
        <v>0</v>
      </c>
      <c r="AB8" s="28">
        <f t="shared" si="19"/>
        <v>927176.04177014192</v>
      </c>
      <c r="AD8" s="28">
        <f t="shared" si="20"/>
        <v>0</v>
      </c>
      <c r="AE8" s="28">
        <f t="shared" si="21"/>
        <v>927176.04177014192</v>
      </c>
      <c r="AF8" s="51"/>
      <c r="AG8" t="str">
        <f t="shared" si="34"/>
        <v>5300240</v>
      </c>
    </row>
    <row r="9" spans="1:33" x14ac:dyDescent="0.25">
      <c r="A9" s="7" t="s">
        <v>314</v>
      </c>
      <c r="B9" s="2" t="s">
        <v>676</v>
      </c>
      <c r="C9" s="4" t="s">
        <v>675</v>
      </c>
      <c r="D9">
        <f>_xlfn.IFNA(VLOOKUP(A9,'Prior Year data'!$A$1:$T$317,12,FALSE),0)</f>
        <v>98504.1045918202</v>
      </c>
      <c r="E9">
        <f>VLOOKUP(A9,'Basic HH'!$B$1:$Y$321,23,FALSE)</f>
        <v>43950.743131969139</v>
      </c>
      <c r="F9">
        <f>VLOOKUP(A9,'Conc. HH'!$B$1:$Y$321,23,FALSE)</f>
        <v>0</v>
      </c>
      <c r="G9">
        <f>VLOOKUP(A9,'Targeted HH'!$B$1:$Y$321,23,FALSE)</f>
        <v>21364.210085989966</v>
      </c>
      <c r="H9">
        <f>VLOOKUP(A9,'EFIG HH'!$B$1:$Y$321,23,FALSE)</f>
        <v>29459.828465911669</v>
      </c>
      <c r="I9">
        <f t="shared" si="0"/>
        <v>94774.781683870766</v>
      </c>
      <c r="J9">
        <f t="shared" si="1"/>
        <v>98504.1045918202</v>
      </c>
      <c r="K9" s="44">
        <f t="shared" si="2"/>
        <v>88179.250327214715</v>
      </c>
      <c r="L9">
        <f t="shared" si="22"/>
        <v>6595.5313566560508</v>
      </c>
      <c r="M9">
        <f t="shared" si="23"/>
        <v>0</v>
      </c>
      <c r="N9">
        <f t="shared" si="24"/>
        <v>94774.781683870766</v>
      </c>
      <c r="O9">
        <f t="shared" si="25"/>
        <v>0</v>
      </c>
      <c r="P9">
        <f t="shared" si="26"/>
        <v>0</v>
      </c>
      <c r="Q9">
        <f t="shared" si="27"/>
        <v>94774.781683870766</v>
      </c>
      <c r="R9">
        <f t="shared" si="28"/>
        <v>0</v>
      </c>
      <c r="S9">
        <f t="shared" si="29"/>
        <v>0</v>
      </c>
      <c r="T9">
        <f t="shared" si="30"/>
        <v>94774.781683870766</v>
      </c>
      <c r="U9">
        <f t="shared" si="31"/>
        <v>0</v>
      </c>
      <c r="V9">
        <f t="shared" si="32"/>
        <v>0</v>
      </c>
      <c r="W9">
        <f t="shared" si="33"/>
        <v>94774.781683870766</v>
      </c>
      <c r="X9" s="44">
        <f t="shared" si="15"/>
        <v>0</v>
      </c>
      <c r="Y9" s="28">
        <f t="shared" si="16"/>
        <v>730.89050896672245</v>
      </c>
      <c r="Z9" s="28">
        <f t="shared" si="17"/>
        <v>94043.891174904042</v>
      </c>
      <c r="AA9">
        <f t="shared" si="18"/>
        <v>0</v>
      </c>
      <c r="AB9" s="28">
        <f t="shared" si="19"/>
        <v>94043.891174904042</v>
      </c>
      <c r="AD9" s="28">
        <f t="shared" si="20"/>
        <v>0</v>
      </c>
      <c r="AE9" s="28">
        <f t="shared" si="21"/>
        <v>94043.891174904042</v>
      </c>
      <c r="AF9" s="51"/>
      <c r="AG9" t="str">
        <f t="shared" si="34"/>
        <v>5300280</v>
      </c>
    </row>
    <row r="10" spans="1:33" x14ac:dyDescent="0.25">
      <c r="A10" s="7" t="s">
        <v>316</v>
      </c>
      <c r="B10" s="2" t="s">
        <v>678</v>
      </c>
      <c r="C10" s="4" t="s">
        <v>677</v>
      </c>
      <c r="D10">
        <f>_xlfn.IFNA(VLOOKUP(A10,'Prior Year data'!$A$1:$T$317,12,FALSE),0)</f>
        <v>6019160.810362963</v>
      </c>
      <c r="E10">
        <f>VLOOKUP(A10,'Basic HH'!$B$1:$Y$321,23,FALSE)</f>
        <v>2553729.5679970286</v>
      </c>
      <c r="F10">
        <f>VLOOKUP(A10,'Conc. HH'!$B$1:$Y$321,23,FALSE)</f>
        <v>671318.2118387206</v>
      </c>
      <c r="G10">
        <f>VLOOKUP(A10,'Targeted HH'!$B$1:$Y$321,23,FALSE)</f>
        <v>1836336.8970310967</v>
      </c>
      <c r="H10">
        <f>VLOOKUP(A10,'EFIG HH'!$B$1:$Y$321,23,FALSE)</f>
        <v>2531916.4780920255</v>
      </c>
      <c r="I10">
        <f t="shared" si="0"/>
        <v>7593301.1549588721</v>
      </c>
      <c r="J10">
        <f t="shared" si="1"/>
        <v>6019160.810362963</v>
      </c>
      <c r="K10" s="44">
        <f t="shared" si="2"/>
        <v>7064870.9652158236</v>
      </c>
      <c r="L10">
        <f t="shared" si="22"/>
        <v>0</v>
      </c>
      <c r="M10">
        <f t="shared" si="23"/>
        <v>7064870.9652158236</v>
      </c>
      <c r="N10">
        <f t="shared" si="24"/>
        <v>6708893.8812336558</v>
      </c>
      <c r="O10">
        <f t="shared" si="25"/>
        <v>0</v>
      </c>
      <c r="P10">
        <f t="shared" si="26"/>
        <v>6708893.8812336558</v>
      </c>
      <c r="Q10">
        <f t="shared" si="27"/>
        <v>6708893.8812336558</v>
      </c>
      <c r="R10">
        <f t="shared" si="28"/>
        <v>0</v>
      </c>
      <c r="S10">
        <f t="shared" si="29"/>
        <v>6708893.8812336558</v>
      </c>
      <c r="T10">
        <f t="shared" si="30"/>
        <v>6708893.8812336558</v>
      </c>
      <c r="U10">
        <f t="shared" si="31"/>
        <v>0</v>
      </c>
      <c r="V10">
        <f t="shared" si="32"/>
        <v>6708893.8812336558</v>
      </c>
      <c r="W10">
        <f t="shared" si="33"/>
        <v>6708893.8812336558</v>
      </c>
      <c r="X10" s="44">
        <f t="shared" si="15"/>
        <v>884407.27372521628</v>
      </c>
      <c r="Y10" s="28">
        <f t="shared" si="16"/>
        <v>51738.097164016923</v>
      </c>
      <c r="Z10" s="28">
        <f t="shared" si="17"/>
        <v>6657155.7840696387</v>
      </c>
      <c r="AA10">
        <f t="shared" si="18"/>
        <v>0</v>
      </c>
      <c r="AB10" s="28">
        <f t="shared" si="19"/>
        <v>6657155.7840696387</v>
      </c>
      <c r="AD10" s="28">
        <f t="shared" si="20"/>
        <v>0</v>
      </c>
      <c r="AE10" s="28">
        <f t="shared" si="21"/>
        <v>6657155.7840696387</v>
      </c>
      <c r="AF10" s="51"/>
      <c r="AG10" t="str">
        <f t="shared" si="34"/>
        <v>5300300</v>
      </c>
    </row>
    <row r="11" spans="1:33" x14ac:dyDescent="0.25">
      <c r="A11" s="7" t="s">
        <v>97</v>
      </c>
      <c r="B11" s="2" t="s">
        <v>680</v>
      </c>
      <c r="C11" s="4" t="s">
        <v>679</v>
      </c>
      <c r="D11">
        <f>_xlfn.IFNA(VLOOKUP(A11,'Prior Year data'!$A$1:$T$317,12,FALSE),0)</f>
        <v>114194.48287721067</v>
      </c>
      <c r="E11">
        <f>VLOOKUP(A11,'Basic HH'!$B$1:$Y$321,23,FALSE)</f>
        <v>122138.63208338778</v>
      </c>
      <c r="F11">
        <f>VLOOKUP(A11,'Conc. HH'!$B$1:$Y$321,23,FALSE)</f>
        <v>0</v>
      </c>
      <c r="G11">
        <f>VLOOKUP(A11,'Targeted HH'!$B$1:$Y$321,23,FALSE)</f>
        <v>0</v>
      </c>
      <c r="H11">
        <f>VLOOKUP(A11,'EFIG HH'!$B$1:$Y$321,23,FALSE)</f>
        <v>0</v>
      </c>
      <c r="I11">
        <f t="shared" si="0"/>
        <v>122138.63208338778</v>
      </c>
      <c r="J11">
        <f t="shared" si="1"/>
        <v>114194.48287721067</v>
      </c>
      <c r="K11" s="44">
        <f t="shared" si="2"/>
        <v>113638.80582736849</v>
      </c>
      <c r="L11">
        <f t="shared" si="22"/>
        <v>555.6770498421829</v>
      </c>
      <c r="M11">
        <f t="shared" si="23"/>
        <v>0</v>
      </c>
      <c r="N11">
        <f t="shared" si="24"/>
        <v>114194.48287721067</v>
      </c>
      <c r="O11">
        <f t="shared" si="25"/>
        <v>0</v>
      </c>
      <c r="P11">
        <f t="shared" si="26"/>
        <v>0</v>
      </c>
      <c r="Q11">
        <f t="shared" si="27"/>
        <v>114194.48287721067</v>
      </c>
      <c r="R11">
        <f t="shared" si="28"/>
        <v>0</v>
      </c>
      <c r="S11">
        <f t="shared" si="29"/>
        <v>0</v>
      </c>
      <c r="T11">
        <f t="shared" si="30"/>
        <v>114194.48287721067</v>
      </c>
      <c r="U11">
        <f t="shared" si="31"/>
        <v>0</v>
      </c>
      <c r="V11">
        <f t="shared" si="32"/>
        <v>0</v>
      </c>
      <c r="W11">
        <f t="shared" si="33"/>
        <v>114194.48287721067</v>
      </c>
      <c r="X11" s="44">
        <f t="shared" si="15"/>
        <v>7944.1492061771132</v>
      </c>
      <c r="Y11" s="28">
        <f t="shared" si="16"/>
        <v>880.65266127139432</v>
      </c>
      <c r="Z11" s="28">
        <f t="shared" si="17"/>
        <v>113313.83021593928</v>
      </c>
      <c r="AA11">
        <f t="shared" si="18"/>
        <v>0</v>
      </c>
      <c r="AB11" s="28">
        <f t="shared" si="19"/>
        <v>113313.83021593928</v>
      </c>
      <c r="AD11" s="28">
        <f t="shared" si="20"/>
        <v>0</v>
      </c>
      <c r="AE11" s="28">
        <f t="shared" si="21"/>
        <v>113313.83021593928</v>
      </c>
      <c r="AF11" s="51"/>
      <c r="AG11" t="str">
        <f t="shared" si="34"/>
        <v>5300330</v>
      </c>
    </row>
    <row r="12" spans="1:33" x14ac:dyDescent="0.25">
      <c r="A12" s="7" t="s">
        <v>99</v>
      </c>
      <c r="B12" s="2" t="s">
        <v>682</v>
      </c>
      <c r="C12" s="4" t="s">
        <v>681</v>
      </c>
      <c r="D12">
        <f>_xlfn.IFNA(VLOOKUP(A12,'Prior Year data'!$A$1:$T$317,12,FALSE),0)</f>
        <v>1916487.172334651</v>
      </c>
      <c r="E12">
        <f>VLOOKUP(A12,'Basic HH'!$B$1:$Y$321,23,FALSE)</f>
        <v>774631.84770095581</v>
      </c>
      <c r="F12">
        <f>VLOOKUP(A12,'Conc. HH'!$B$1:$Y$321,23,FALSE)</f>
        <v>0</v>
      </c>
      <c r="G12">
        <f>VLOOKUP(A12,'Targeted HH'!$B$1:$Y$321,23,FALSE)</f>
        <v>449482.95126227324</v>
      </c>
      <c r="H12">
        <f>VLOOKUP(A12,'EFIG HH'!$B$1:$Y$321,23,FALSE)</f>
        <v>619807.17233359464</v>
      </c>
      <c r="I12">
        <f t="shared" si="0"/>
        <v>1843921.9712968238</v>
      </c>
      <c r="J12">
        <f t="shared" si="1"/>
        <v>1916487.172334651</v>
      </c>
      <c r="K12" s="44">
        <f t="shared" si="2"/>
        <v>1715600.439293918</v>
      </c>
      <c r="L12">
        <f t="shared" si="22"/>
        <v>128321.53200290585</v>
      </c>
      <c r="M12">
        <f t="shared" si="23"/>
        <v>0</v>
      </c>
      <c r="N12">
        <f t="shared" si="24"/>
        <v>1843921.9712968238</v>
      </c>
      <c r="O12">
        <f t="shared" si="25"/>
        <v>0</v>
      </c>
      <c r="P12">
        <f t="shared" si="26"/>
        <v>0</v>
      </c>
      <c r="Q12">
        <f t="shared" si="27"/>
        <v>1843921.9712968238</v>
      </c>
      <c r="R12">
        <f t="shared" si="28"/>
        <v>0</v>
      </c>
      <c r="S12">
        <f t="shared" si="29"/>
        <v>0</v>
      </c>
      <c r="T12">
        <f t="shared" si="30"/>
        <v>1843921.9712968238</v>
      </c>
      <c r="U12">
        <f t="shared" si="31"/>
        <v>0</v>
      </c>
      <c r="V12">
        <f t="shared" si="32"/>
        <v>0</v>
      </c>
      <c r="W12">
        <f t="shared" si="33"/>
        <v>1843921.9712968238</v>
      </c>
      <c r="X12" s="44">
        <f t="shared" si="15"/>
        <v>0</v>
      </c>
      <c r="Y12" s="28">
        <f t="shared" si="16"/>
        <v>14220.080955622152</v>
      </c>
      <c r="Z12" s="28">
        <f t="shared" si="17"/>
        <v>1829701.8903412016</v>
      </c>
      <c r="AA12">
        <f t="shared" si="18"/>
        <v>0</v>
      </c>
      <c r="AB12" s="28">
        <f t="shared" si="19"/>
        <v>1829701.8903412016</v>
      </c>
      <c r="AD12" s="28">
        <f t="shared" si="20"/>
        <v>0</v>
      </c>
      <c r="AE12" s="28">
        <f t="shared" si="21"/>
        <v>1829701.8903412016</v>
      </c>
      <c r="AF12" s="51"/>
      <c r="AG12" t="str">
        <f t="shared" si="34"/>
        <v>5300380</v>
      </c>
    </row>
    <row r="13" spans="1:33" x14ac:dyDescent="0.25">
      <c r="A13" s="7" t="s">
        <v>101</v>
      </c>
      <c r="B13" s="2" t="s">
        <v>684</v>
      </c>
      <c r="C13" s="4" t="s">
        <v>683</v>
      </c>
      <c r="D13">
        <f>_xlfn.IFNA(VLOOKUP(A13,'Prior Year data'!$A$1:$T$317,12,FALSE),0)</f>
        <v>2855318.4568691906</v>
      </c>
      <c r="E13">
        <f>VLOOKUP(A13,'Basic HH'!$B$1:$Y$321,23,FALSE)</f>
        <v>1162037.2672158931</v>
      </c>
      <c r="F13">
        <f>VLOOKUP(A13,'Conc. HH'!$B$1:$Y$321,23,FALSE)</f>
        <v>0</v>
      </c>
      <c r="G13">
        <f>VLOOKUP(A13,'Targeted HH'!$B$1:$Y$321,23,FALSE)</f>
        <v>691893.38202606176</v>
      </c>
      <c r="H13">
        <f>VLOOKUP(A13,'EFIG HH'!$B$1:$Y$321,23,FALSE)</f>
        <v>953973.23762696283</v>
      </c>
      <c r="I13">
        <f t="shared" si="0"/>
        <v>2807903.8868689178</v>
      </c>
      <c r="J13">
        <f t="shared" si="1"/>
        <v>2855318.4568691906</v>
      </c>
      <c r="K13" s="44">
        <f t="shared" si="2"/>
        <v>2612497.2839384666</v>
      </c>
      <c r="L13">
        <f t="shared" si="22"/>
        <v>195406.60293045128</v>
      </c>
      <c r="M13">
        <f t="shared" si="23"/>
        <v>0</v>
      </c>
      <c r="N13">
        <f t="shared" si="24"/>
        <v>2807903.8868689178</v>
      </c>
      <c r="O13">
        <f t="shared" si="25"/>
        <v>0</v>
      </c>
      <c r="P13">
        <f t="shared" si="26"/>
        <v>0</v>
      </c>
      <c r="Q13">
        <f t="shared" si="27"/>
        <v>2807903.8868689178</v>
      </c>
      <c r="R13">
        <f t="shared" si="28"/>
        <v>0</v>
      </c>
      <c r="S13">
        <f t="shared" si="29"/>
        <v>0</v>
      </c>
      <c r="T13">
        <f t="shared" si="30"/>
        <v>2807903.8868689178</v>
      </c>
      <c r="U13">
        <f t="shared" si="31"/>
        <v>0</v>
      </c>
      <c r="V13">
        <f t="shared" si="32"/>
        <v>0</v>
      </c>
      <c r="W13">
        <f t="shared" si="33"/>
        <v>2807903.8868689178</v>
      </c>
      <c r="X13" s="44">
        <f t="shared" si="15"/>
        <v>0</v>
      </c>
      <c r="Y13" s="28">
        <f t="shared" si="16"/>
        <v>21654.181255186442</v>
      </c>
      <c r="Z13" s="28">
        <f t="shared" si="17"/>
        <v>2786249.7056137314</v>
      </c>
      <c r="AA13">
        <f t="shared" si="18"/>
        <v>0</v>
      </c>
      <c r="AB13" s="28">
        <f t="shared" si="19"/>
        <v>2786249.7056137314</v>
      </c>
      <c r="AD13" s="28">
        <f t="shared" si="20"/>
        <v>0</v>
      </c>
      <c r="AE13" s="28">
        <f t="shared" si="21"/>
        <v>2786249.7056137314</v>
      </c>
      <c r="AF13" s="51"/>
      <c r="AG13" t="str">
        <f t="shared" si="34"/>
        <v>5300390</v>
      </c>
    </row>
    <row r="14" spans="1:33" x14ac:dyDescent="0.25">
      <c r="A14" s="7" t="s">
        <v>59</v>
      </c>
      <c r="B14" s="2" t="s">
        <v>685</v>
      </c>
      <c r="C14" s="4" t="s">
        <v>14</v>
      </c>
      <c r="D14">
        <f>_xlfn.IFNA(VLOOKUP(A14,'Prior Year data'!$A$1:$T$317,12,FALSE),0)</f>
        <v>3226284.028935092</v>
      </c>
      <c r="E14">
        <f>VLOOKUP(A14,'Basic HH'!$B$1:$Y$321,23,FALSE)</f>
        <v>1235542.8849862607</v>
      </c>
      <c r="F14">
        <f>VLOOKUP(A14,'Conc. HH'!$B$1:$Y$321,23,FALSE)</f>
        <v>0</v>
      </c>
      <c r="G14">
        <f>VLOOKUP(A14,'Targeted HH'!$B$1:$Y$321,23,FALSE)</f>
        <v>786184.36302352557</v>
      </c>
      <c r="H14">
        <f>VLOOKUP(A14,'EFIG HH'!$B$1:$Y$321,23,FALSE)</f>
        <v>1084108.0672350661</v>
      </c>
      <c r="I14">
        <f t="shared" si="0"/>
        <v>3105835.3152448526</v>
      </c>
      <c r="J14">
        <f t="shared" si="1"/>
        <v>3226284.028935092</v>
      </c>
      <c r="K14" s="44">
        <f t="shared" si="2"/>
        <v>2889695.1791627104</v>
      </c>
      <c r="L14">
        <f t="shared" si="22"/>
        <v>216140.13608214213</v>
      </c>
      <c r="M14">
        <f t="shared" si="23"/>
        <v>0</v>
      </c>
      <c r="N14">
        <f t="shared" si="24"/>
        <v>3105835.3152448526</v>
      </c>
      <c r="O14">
        <f t="shared" si="25"/>
        <v>0</v>
      </c>
      <c r="P14">
        <f t="shared" si="26"/>
        <v>0</v>
      </c>
      <c r="Q14">
        <f t="shared" si="27"/>
        <v>3105835.3152448526</v>
      </c>
      <c r="R14">
        <f t="shared" si="28"/>
        <v>0</v>
      </c>
      <c r="S14">
        <f t="shared" si="29"/>
        <v>0</v>
      </c>
      <c r="T14">
        <f t="shared" si="30"/>
        <v>3105835.3152448526</v>
      </c>
      <c r="U14">
        <f t="shared" si="31"/>
        <v>0</v>
      </c>
      <c r="V14">
        <f t="shared" si="32"/>
        <v>0</v>
      </c>
      <c r="W14">
        <f t="shared" si="33"/>
        <v>3105835.3152448526</v>
      </c>
      <c r="X14" s="44">
        <f t="shared" si="15"/>
        <v>0</v>
      </c>
      <c r="Y14" s="28">
        <f t="shared" si="16"/>
        <v>23951.7887986067</v>
      </c>
      <c r="Z14" s="28">
        <f t="shared" si="17"/>
        <v>3081883.5264462461</v>
      </c>
      <c r="AA14">
        <f t="shared" si="18"/>
        <v>0</v>
      </c>
      <c r="AB14" s="28">
        <f t="shared" si="19"/>
        <v>3081883.5264462461</v>
      </c>
      <c r="AD14" s="28">
        <f t="shared" si="20"/>
        <v>0</v>
      </c>
      <c r="AE14" s="28">
        <f t="shared" si="21"/>
        <v>3081883.5264462461</v>
      </c>
      <c r="AF14" s="51"/>
      <c r="AG14" t="str">
        <f t="shared" si="34"/>
        <v>5300420</v>
      </c>
    </row>
    <row r="15" spans="1:33" x14ac:dyDescent="0.25">
      <c r="A15" s="7" t="s">
        <v>103</v>
      </c>
      <c r="B15" s="2" t="s">
        <v>687</v>
      </c>
      <c r="C15" s="4" t="s">
        <v>686</v>
      </c>
      <c r="D15">
        <f>_xlfn.IFNA(VLOOKUP(A15,'Prior Year data'!$A$1:$T$317,12,FALSE),0)</f>
        <v>0</v>
      </c>
      <c r="E15">
        <f>VLOOKUP(A15,'Basic HH'!$B$1:$Y$321,23,FALSE)</f>
        <v>0</v>
      </c>
      <c r="F15">
        <f>VLOOKUP(A15,'Conc. HH'!$B$1:$Y$321,23,FALSE)</f>
        <v>0</v>
      </c>
      <c r="G15">
        <f>VLOOKUP(A15,'Targeted HH'!$B$1:$Y$321,23,FALSE)</f>
        <v>0</v>
      </c>
      <c r="H15">
        <f>VLOOKUP(A15,'EFIG HH'!$B$1:$Y$321,23,FALSE)</f>
        <v>0</v>
      </c>
      <c r="I15">
        <f t="shared" si="0"/>
        <v>0</v>
      </c>
      <c r="J15">
        <f t="shared" si="1"/>
        <v>0</v>
      </c>
      <c r="K15" s="44">
        <f t="shared" si="2"/>
        <v>0</v>
      </c>
      <c r="L15">
        <f t="shared" si="22"/>
        <v>0</v>
      </c>
      <c r="M15">
        <f t="shared" si="23"/>
        <v>0</v>
      </c>
      <c r="N15">
        <f t="shared" si="24"/>
        <v>0</v>
      </c>
      <c r="O15">
        <f t="shared" si="25"/>
        <v>0</v>
      </c>
      <c r="P15">
        <f t="shared" si="26"/>
        <v>0</v>
      </c>
      <c r="Q15">
        <f t="shared" si="27"/>
        <v>0</v>
      </c>
      <c r="R15">
        <f t="shared" si="28"/>
        <v>0</v>
      </c>
      <c r="S15">
        <f t="shared" si="29"/>
        <v>0</v>
      </c>
      <c r="T15">
        <f t="shared" si="30"/>
        <v>0</v>
      </c>
      <c r="U15">
        <f t="shared" si="31"/>
        <v>0</v>
      </c>
      <c r="V15">
        <f t="shared" si="32"/>
        <v>0</v>
      </c>
      <c r="W15">
        <f t="shared" si="33"/>
        <v>0</v>
      </c>
      <c r="X15" s="44">
        <f t="shared" si="15"/>
        <v>0</v>
      </c>
      <c r="Y15" s="28">
        <f t="shared" si="16"/>
        <v>0</v>
      </c>
      <c r="Z15" s="28">
        <f t="shared" si="17"/>
        <v>0</v>
      </c>
      <c r="AA15">
        <f t="shared" si="18"/>
        <v>0</v>
      </c>
      <c r="AB15" s="28">
        <f t="shared" si="19"/>
        <v>0</v>
      </c>
      <c r="AD15" s="28">
        <f t="shared" si="20"/>
        <v>0</v>
      </c>
      <c r="AE15" s="28">
        <f t="shared" si="21"/>
        <v>0</v>
      </c>
      <c r="AF15" s="51"/>
      <c r="AG15" t="str">
        <f t="shared" si="34"/>
        <v>5300450</v>
      </c>
    </row>
    <row r="16" spans="1:33" x14ac:dyDescent="0.25">
      <c r="A16" s="7" t="s">
        <v>268</v>
      </c>
      <c r="B16" s="2" t="s">
        <v>689</v>
      </c>
      <c r="C16" s="4" t="s">
        <v>688</v>
      </c>
      <c r="D16">
        <f>_xlfn.IFNA(VLOOKUP(A16,'Prior Year data'!$A$1:$T$317,12,FALSE),0)</f>
        <v>4319027.8985339506</v>
      </c>
      <c r="E16">
        <f>VLOOKUP(A16,'Basic HH'!$B$1:$Y$321,23,FALSE)</f>
        <v>1994644.2802913822</v>
      </c>
      <c r="F16">
        <f>VLOOKUP(A16,'Conc. HH'!$B$1:$Y$321,23,FALSE)</f>
        <v>0</v>
      </c>
      <c r="G16">
        <f>VLOOKUP(A16,'Targeted HH'!$B$1:$Y$321,23,FALSE)</f>
        <v>1301261.7056962487</v>
      </c>
      <c r="H16">
        <f>VLOOKUP(A16,'EFIG HH'!$B$1:$Y$321,23,FALSE)</f>
        <v>1794162.0409028211</v>
      </c>
      <c r="I16">
        <f t="shared" si="0"/>
        <v>5090068.026890452</v>
      </c>
      <c r="J16">
        <f t="shared" si="1"/>
        <v>4319027.8985339506</v>
      </c>
      <c r="K16" s="44">
        <f t="shared" si="2"/>
        <v>4735841.9059498664</v>
      </c>
      <c r="L16">
        <f t="shared" si="22"/>
        <v>0</v>
      </c>
      <c r="M16">
        <f t="shared" si="23"/>
        <v>4735841.9059498664</v>
      </c>
      <c r="N16">
        <f t="shared" si="24"/>
        <v>4497217.4214856857</v>
      </c>
      <c r="O16">
        <f t="shared" si="25"/>
        <v>0</v>
      </c>
      <c r="P16">
        <f t="shared" si="26"/>
        <v>4497217.4214856857</v>
      </c>
      <c r="Q16">
        <f t="shared" si="27"/>
        <v>4497217.4214856857</v>
      </c>
      <c r="R16">
        <f t="shared" si="28"/>
        <v>0</v>
      </c>
      <c r="S16">
        <f t="shared" si="29"/>
        <v>4497217.4214856857</v>
      </c>
      <c r="T16">
        <f t="shared" si="30"/>
        <v>4497217.4214856857</v>
      </c>
      <c r="U16">
        <f t="shared" si="31"/>
        <v>0</v>
      </c>
      <c r="V16">
        <f t="shared" si="32"/>
        <v>4497217.4214856857</v>
      </c>
      <c r="W16">
        <f t="shared" si="33"/>
        <v>4497217.4214856857</v>
      </c>
      <c r="X16" s="44">
        <f t="shared" si="15"/>
        <v>592850.60540476628</v>
      </c>
      <c r="Y16" s="28">
        <f t="shared" si="16"/>
        <v>34681.942513860493</v>
      </c>
      <c r="Z16" s="28">
        <f t="shared" si="17"/>
        <v>4462535.478971825</v>
      </c>
      <c r="AA16">
        <f t="shared" si="18"/>
        <v>0</v>
      </c>
      <c r="AB16" s="28">
        <f t="shared" si="19"/>
        <v>4462535.478971825</v>
      </c>
      <c r="AD16" s="28">
        <f t="shared" si="20"/>
        <v>0</v>
      </c>
      <c r="AE16" s="28">
        <f t="shared" si="21"/>
        <v>4462535.478971825</v>
      </c>
      <c r="AF16" s="51"/>
      <c r="AG16" t="str">
        <f t="shared" si="34"/>
        <v>5300480</v>
      </c>
    </row>
    <row r="17" spans="1:33" x14ac:dyDescent="0.25">
      <c r="A17" s="7" t="s">
        <v>318</v>
      </c>
      <c r="B17" s="2" t="s">
        <v>691</v>
      </c>
      <c r="C17" s="4" t="s">
        <v>690</v>
      </c>
      <c r="D17">
        <f>_xlfn.IFNA(VLOOKUP(A17,'Prior Year data'!$A$1:$T$317,12,FALSE),0)</f>
        <v>27553.880280457906</v>
      </c>
      <c r="E17">
        <f>VLOOKUP(A17,'Basic HH'!$B$1:$Y$321,23,FALSE)</f>
        <v>10906.893975764393</v>
      </c>
      <c r="F17">
        <f>VLOOKUP(A17,'Conc. HH'!$B$1:$Y$321,23,FALSE)</f>
        <v>2856.5758939464172</v>
      </c>
      <c r="G17">
        <f>VLOOKUP(A17,'Targeted HH'!$B$1:$Y$321,23,FALSE)</f>
        <v>6015.3466569807933</v>
      </c>
      <c r="H17">
        <f>VLOOKUP(A17,'EFIG HH'!$B$1:$Y$321,23,FALSE)</f>
        <v>8294.7639984994967</v>
      </c>
      <c r="I17">
        <f t="shared" si="0"/>
        <v>28073.580525191101</v>
      </c>
      <c r="J17">
        <f t="shared" si="1"/>
        <v>27553.880280457906</v>
      </c>
      <c r="K17" s="44">
        <f t="shared" si="2"/>
        <v>26119.894350897142</v>
      </c>
      <c r="L17">
        <f t="shared" si="22"/>
        <v>1433.9859295607639</v>
      </c>
      <c r="M17">
        <f t="shared" si="23"/>
        <v>0</v>
      </c>
      <c r="N17">
        <f t="shared" si="24"/>
        <v>27553.880280457906</v>
      </c>
      <c r="O17">
        <f t="shared" ref="O17:O80" si="35">IF(L17=0,IF(N17&lt;J17,MIN(I17,J17)-N17,0),0)</f>
        <v>0</v>
      </c>
      <c r="P17">
        <f t="shared" ref="P17:P80" si="36">IF(O17+L17=0,N17,0)</f>
        <v>0</v>
      </c>
      <c r="Q17">
        <f t="shared" ref="Q17:Q80" si="37">IF(J17&gt;0,N17,IF(O17&gt;0,O17+N17,P17-(P17/$P$3*$O$3)))</f>
        <v>27553.880280457906</v>
      </c>
      <c r="R17">
        <f t="shared" ref="R17:R80" si="38">IF(O17=0, IF(Q17&lt;J17,MIN(I17,J17)-Q17,0),0)</f>
        <v>0</v>
      </c>
      <c r="S17">
        <f t="shared" ref="S17:S80" si="39">IF(L17+O17+R17=0,N17,0)</f>
        <v>0</v>
      </c>
      <c r="T17">
        <f t="shared" ref="T17:T80" si="40">IF(J17&gt;0,Q17,IF(R17&gt;0,Q17+N17,S17-(S17/$S$3*$R$3)))</f>
        <v>27553.880280457906</v>
      </c>
      <c r="U17">
        <f t="shared" ref="U17:U80" si="41">IF(R17=0,IF(T17&lt;J17,MIN(I17,J17)-T17,0),0)</f>
        <v>0</v>
      </c>
      <c r="V17">
        <f t="shared" ref="V17:V80" si="42">IF(U17+R17+O17+L17=0,T17,0)</f>
        <v>0</v>
      </c>
      <c r="W17">
        <f t="shared" ref="W17:W80" si="43">IF(J17&gt;0,T17,IF(T17&gt;0,U17+T17,U17-(U17/$U$3*$T$3)))</f>
        <v>27553.880280457906</v>
      </c>
      <c r="X17" s="44">
        <f t="shared" si="15"/>
        <v>519.70024473319427</v>
      </c>
      <c r="Y17" s="28">
        <f t="shared" si="16"/>
        <v>212.49185937844635</v>
      </c>
      <c r="Z17" s="28">
        <f t="shared" si="17"/>
        <v>27341.38842107946</v>
      </c>
      <c r="AA17">
        <f t="shared" si="18"/>
        <v>0</v>
      </c>
      <c r="AB17" s="28">
        <f t="shared" si="19"/>
        <v>27341.38842107946</v>
      </c>
      <c r="AD17" s="28">
        <f t="shared" si="20"/>
        <v>0</v>
      </c>
      <c r="AE17" s="28">
        <f t="shared" si="21"/>
        <v>27341.38842107946</v>
      </c>
      <c r="AF17" s="51"/>
      <c r="AG17" t="str">
        <f t="shared" si="34"/>
        <v>5300510</v>
      </c>
    </row>
    <row r="18" spans="1:33" x14ac:dyDescent="0.25">
      <c r="A18" s="7" t="s">
        <v>320</v>
      </c>
      <c r="B18" s="2" t="s">
        <v>693</v>
      </c>
      <c r="C18" s="4" t="s">
        <v>692</v>
      </c>
      <c r="D18">
        <f>_xlfn.IFNA(VLOOKUP(A18,'Prior Year data'!$A$1:$T$317,12,FALSE),0)</f>
        <v>671349.14198817173</v>
      </c>
      <c r="E18">
        <f>VLOOKUP(A18,'Basic HH'!$B$1:$Y$321,23,FALSE)</f>
        <v>267138.11059899989</v>
      </c>
      <c r="F18">
        <f>VLOOKUP(A18,'Conc. HH'!$B$1:$Y$321,23,FALSE)</f>
        <v>69964.94958025057</v>
      </c>
      <c r="G18">
        <f>VLOOKUP(A18,'Targeted HH'!$B$1:$Y$321,23,FALSE)</f>
        <v>129854.33942890776</v>
      </c>
      <c r="H18">
        <f>VLOOKUP(A18,'EFIG HH'!$B$1:$Y$321,23,FALSE)</f>
        <v>179060.51989436932</v>
      </c>
      <c r="I18">
        <f t="shared" si="0"/>
        <v>646017.91950252745</v>
      </c>
      <c r="J18">
        <f t="shared" si="1"/>
        <v>671349.14198817173</v>
      </c>
      <c r="K18" s="44">
        <f t="shared" si="2"/>
        <v>601060.48072674649</v>
      </c>
      <c r="L18">
        <f t="shared" si="22"/>
        <v>44957.43877578096</v>
      </c>
      <c r="M18">
        <f t="shared" si="23"/>
        <v>0</v>
      </c>
      <c r="N18">
        <f t="shared" si="24"/>
        <v>646017.91950252745</v>
      </c>
      <c r="O18">
        <f t="shared" si="35"/>
        <v>0</v>
      </c>
      <c r="P18">
        <f t="shared" si="36"/>
        <v>0</v>
      </c>
      <c r="Q18">
        <f t="shared" si="37"/>
        <v>646017.91950252745</v>
      </c>
      <c r="R18">
        <f t="shared" si="38"/>
        <v>0</v>
      </c>
      <c r="S18">
        <f t="shared" si="39"/>
        <v>0</v>
      </c>
      <c r="T18">
        <f t="shared" si="40"/>
        <v>646017.91950252745</v>
      </c>
      <c r="U18">
        <f t="shared" si="41"/>
        <v>0</v>
      </c>
      <c r="V18">
        <f t="shared" si="42"/>
        <v>0</v>
      </c>
      <c r="W18">
        <f t="shared" si="43"/>
        <v>646017.91950252745</v>
      </c>
      <c r="X18" s="44">
        <f t="shared" si="15"/>
        <v>0</v>
      </c>
      <c r="Y18" s="28">
        <f t="shared" si="16"/>
        <v>4982.0042589154427</v>
      </c>
      <c r="Z18" s="28">
        <f t="shared" si="17"/>
        <v>641035.91524361202</v>
      </c>
      <c r="AA18">
        <f t="shared" si="18"/>
        <v>0</v>
      </c>
      <c r="AB18" s="28">
        <f t="shared" si="19"/>
        <v>641035.91524361202</v>
      </c>
      <c r="AD18" s="28">
        <f t="shared" si="20"/>
        <v>0</v>
      </c>
      <c r="AE18" s="28">
        <f t="shared" si="21"/>
        <v>641035.91524361202</v>
      </c>
      <c r="AF18" s="51"/>
      <c r="AG18" t="str">
        <f t="shared" si="34"/>
        <v>5300570</v>
      </c>
    </row>
    <row r="19" spans="1:33" x14ac:dyDescent="0.25">
      <c r="A19" s="7" t="s">
        <v>322</v>
      </c>
      <c r="B19" s="2" t="s">
        <v>695</v>
      </c>
      <c r="C19" s="4" t="s">
        <v>694</v>
      </c>
      <c r="D19">
        <f>_xlfn.IFNA(VLOOKUP(A19,'Prior Year data'!$A$1:$T$317,12,FALSE),0)</f>
        <v>48618.061335827726</v>
      </c>
      <c r="E19">
        <f>VLOOKUP(A19,'Basic HH'!$B$1:$Y$321,23,FALSE)</f>
        <v>25803.936355645303</v>
      </c>
      <c r="F19">
        <f>VLOOKUP(A19,'Conc. HH'!$B$1:$Y$321,23,FALSE)</f>
        <v>3831.1206422324799</v>
      </c>
      <c r="G19">
        <f>VLOOKUP(A19,'Targeted HH'!$B$1:$Y$321,23,FALSE)</f>
        <v>12347.889030804188</v>
      </c>
      <c r="H19">
        <f>VLOOKUP(A19,'EFIG HH'!$B$1:$Y$321,23,FALSE)</f>
        <v>17025.102396673934</v>
      </c>
      <c r="I19">
        <f t="shared" si="0"/>
        <v>59008.048425355897</v>
      </c>
      <c r="J19">
        <f t="shared" si="1"/>
        <v>48618.061335827726</v>
      </c>
      <c r="K19" s="44">
        <f t="shared" si="2"/>
        <v>54901.582266639882</v>
      </c>
      <c r="L19">
        <f t="shared" si="22"/>
        <v>0</v>
      </c>
      <c r="M19">
        <f t="shared" si="23"/>
        <v>54901.582266639882</v>
      </c>
      <c r="N19">
        <f t="shared" si="24"/>
        <v>52135.260665366513</v>
      </c>
      <c r="O19">
        <f t="shared" si="35"/>
        <v>0</v>
      </c>
      <c r="P19">
        <f t="shared" si="36"/>
        <v>52135.260665366513</v>
      </c>
      <c r="Q19">
        <f t="shared" si="37"/>
        <v>52135.260665366513</v>
      </c>
      <c r="R19">
        <f t="shared" si="38"/>
        <v>0</v>
      </c>
      <c r="S19">
        <f t="shared" si="39"/>
        <v>52135.260665366513</v>
      </c>
      <c r="T19">
        <f t="shared" si="40"/>
        <v>52135.260665366513</v>
      </c>
      <c r="U19">
        <f t="shared" si="41"/>
        <v>0</v>
      </c>
      <c r="V19">
        <f t="shared" si="42"/>
        <v>52135.260665366513</v>
      </c>
      <c r="W19">
        <f t="shared" si="43"/>
        <v>52135.260665366513</v>
      </c>
      <c r="X19" s="44">
        <f t="shared" si="15"/>
        <v>6872.7877599893836</v>
      </c>
      <c r="Y19" s="28">
        <f t="shared" si="16"/>
        <v>402.06019497808461</v>
      </c>
      <c r="Z19" s="28">
        <f t="shared" si="17"/>
        <v>51733.20047038843</v>
      </c>
      <c r="AA19">
        <f t="shared" si="18"/>
        <v>0</v>
      </c>
      <c r="AB19" s="28">
        <f t="shared" si="19"/>
        <v>51733.20047038843</v>
      </c>
      <c r="AD19" s="28">
        <f t="shared" si="20"/>
        <v>0</v>
      </c>
      <c r="AE19" s="28">
        <f t="shared" si="21"/>
        <v>51733.20047038843</v>
      </c>
      <c r="AF19" s="51"/>
      <c r="AG19" t="str">
        <f t="shared" si="34"/>
        <v>5300630</v>
      </c>
    </row>
    <row r="20" spans="1:33" x14ac:dyDescent="0.25">
      <c r="A20" s="7" t="s">
        <v>58</v>
      </c>
      <c r="B20" s="2" t="s">
        <v>696</v>
      </c>
      <c r="C20" s="4" t="s">
        <v>10</v>
      </c>
      <c r="D20">
        <f>_xlfn.IFNA(VLOOKUP(A20,'Prior Year data'!$A$1:$T$317,12,FALSE),0)</f>
        <v>1594584.509282483</v>
      </c>
      <c r="E20">
        <f>VLOOKUP(A20,'Basic HH'!$B$1:$Y$321,23,FALSE)</f>
        <v>816192.94943075255</v>
      </c>
      <c r="F20">
        <f>VLOOKUP(A20,'Conc. HH'!$B$1:$Y$321,23,FALSE)</f>
        <v>214558.81554325231</v>
      </c>
      <c r="G20">
        <f>VLOOKUP(A20,'Targeted HH'!$B$1:$Y$321,23,FALSE)</f>
        <v>457583.94985716394</v>
      </c>
      <c r="H20">
        <f>VLOOKUP(A20,'EFIG HH'!$B$1:$Y$321,23,FALSE)</f>
        <v>630910.56146990287</v>
      </c>
      <c r="I20">
        <f t="shared" si="0"/>
        <v>2119246.2763010715</v>
      </c>
      <c r="J20">
        <f t="shared" si="1"/>
        <v>1594584.509282483</v>
      </c>
      <c r="K20" s="44">
        <f t="shared" si="2"/>
        <v>1971764.4776677219</v>
      </c>
      <c r="L20">
        <f t="shared" si="22"/>
        <v>0</v>
      </c>
      <c r="M20">
        <f t="shared" si="23"/>
        <v>1971764.4776677219</v>
      </c>
      <c r="N20">
        <f t="shared" si="24"/>
        <v>1872413.3398315711</v>
      </c>
      <c r="O20">
        <f t="shared" si="35"/>
        <v>0</v>
      </c>
      <c r="P20">
        <f t="shared" si="36"/>
        <v>1872413.3398315711</v>
      </c>
      <c r="Q20">
        <f t="shared" si="37"/>
        <v>1872413.3398315711</v>
      </c>
      <c r="R20">
        <f t="shared" si="38"/>
        <v>0</v>
      </c>
      <c r="S20">
        <f t="shared" si="39"/>
        <v>1872413.3398315711</v>
      </c>
      <c r="T20">
        <f t="shared" si="40"/>
        <v>1872413.3398315711</v>
      </c>
      <c r="U20">
        <f t="shared" si="41"/>
        <v>0</v>
      </c>
      <c r="V20">
        <f t="shared" si="42"/>
        <v>1872413.3398315711</v>
      </c>
      <c r="W20">
        <f t="shared" si="43"/>
        <v>1872413.3398315711</v>
      </c>
      <c r="X20" s="44">
        <f t="shared" si="15"/>
        <v>246832.93646950042</v>
      </c>
      <c r="Y20" s="28">
        <f t="shared" si="16"/>
        <v>14439.802599708661</v>
      </c>
      <c r="Z20" s="28">
        <f t="shared" si="17"/>
        <v>1857973.5372318625</v>
      </c>
      <c r="AA20">
        <f t="shared" si="18"/>
        <v>0</v>
      </c>
      <c r="AB20" s="28">
        <f t="shared" si="19"/>
        <v>1857973.5372318625</v>
      </c>
      <c r="AD20" s="28">
        <f t="shared" si="20"/>
        <v>0</v>
      </c>
      <c r="AE20" s="28">
        <f t="shared" si="21"/>
        <v>1857973.5372318625</v>
      </c>
      <c r="AF20" s="51"/>
      <c r="AG20" t="str">
        <f t="shared" si="34"/>
        <v>5300660</v>
      </c>
    </row>
    <row r="21" spans="1:33" x14ac:dyDescent="0.25">
      <c r="A21" s="7" t="s">
        <v>324</v>
      </c>
      <c r="B21" s="2" t="s">
        <v>698</v>
      </c>
      <c r="C21" s="4" t="s">
        <v>697</v>
      </c>
      <c r="D21">
        <f>_xlfn.IFNA(VLOOKUP(A21,'Prior Year data'!$A$1:$T$317,12,FALSE),0)</f>
        <v>636334.50325094745</v>
      </c>
      <c r="E21">
        <f>VLOOKUP(A21,'Basic HH'!$B$1:$Y$321,23,FALSE)</f>
        <v>208567.25116782496</v>
      </c>
      <c r="F21">
        <f>VLOOKUP(A21,'Conc. HH'!$B$1:$Y$321,23,FALSE)</f>
        <v>54229.157445164499</v>
      </c>
      <c r="G21">
        <f>VLOOKUP(A21,'Targeted HH'!$B$1:$Y$321,23,FALSE)</f>
        <v>136576.44027378573</v>
      </c>
      <c r="H21">
        <f>VLOOKUP(A21,'EFIG HH'!$B$1:$Y$321,23,FALSE)</f>
        <v>184971.87213735111</v>
      </c>
      <c r="I21">
        <f t="shared" si="0"/>
        <v>584344.72102412628</v>
      </c>
      <c r="J21">
        <f t="shared" si="1"/>
        <v>636334.50325094745</v>
      </c>
      <c r="K21" s="44">
        <f t="shared" si="2"/>
        <v>543679.22053828381</v>
      </c>
      <c r="L21">
        <f t="shared" si="22"/>
        <v>40665.500485842465</v>
      </c>
      <c r="M21">
        <f t="shared" si="23"/>
        <v>0</v>
      </c>
      <c r="N21">
        <f t="shared" si="24"/>
        <v>584344.72102412628</v>
      </c>
      <c r="O21">
        <f t="shared" si="35"/>
        <v>0</v>
      </c>
      <c r="P21">
        <f t="shared" si="36"/>
        <v>0</v>
      </c>
      <c r="Q21">
        <f t="shared" si="37"/>
        <v>584344.72102412628</v>
      </c>
      <c r="R21">
        <f t="shared" si="38"/>
        <v>0</v>
      </c>
      <c r="S21">
        <f t="shared" si="39"/>
        <v>0</v>
      </c>
      <c r="T21">
        <f t="shared" si="40"/>
        <v>584344.72102412628</v>
      </c>
      <c r="U21">
        <f t="shared" si="41"/>
        <v>0</v>
      </c>
      <c r="V21">
        <f t="shared" si="42"/>
        <v>0</v>
      </c>
      <c r="W21">
        <f t="shared" si="43"/>
        <v>584344.72102412628</v>
      </c>
      <c r="X21" s="44">
        <f t="shared" si="15"/>
        <v>0</v>
      </c>
      <c r="Y21" s="28">
        <f t="shared" si="16"/>
        <v>4506.3887563037852</v>
      </c>
      <c r="Z21" s="28">
        <f t="shared" si="17"/>
        <v>579838.33226782246</v>
      </c>
      <c r="AA21">
        <f t="shared" si="18"/>
        <v>0</v>
      </c>
      <c r="AB21" s="28">
        <f t="shared" si="19"/>
        <v>579838.33226782246</v>
      </c>
      <c r="AD21" s="28">
        <f t="shared" si="20"/>
        <v>0</v>
      </c>
      <c r="AE21" s="28">
        <f t="shared" si="21"/>
        <v>579838.33226782246</v>
      </c>
      <c r="AF21" s="51"/>
      <c r="AG21" t="str">
        <f t="shared" si="34"/>
        <v>5300690</v>
      </c>
    </row>
    <row r="22" spans="1:33" x14ac:dyDescent="0.25">
      <c r="A22" s="7" t="s">
        <v>326</v>
      </c>
      <c r="B22" s="2" t="s">
        <v>700</v>
      </c>
      <c r="C22" s="4" t="s">
        <v>699</v>
      </c>
      <c r="D22">
        <f>_xlfn.IFNA(VLOOKUP(A22,'Prior Year data'!$A$1:$T$317,12,FALSE),0)</f>
        <v>445972.91680634004</v>
      </c>
      <c r="E22">
        <f>VLOOKUP(A22,'Basic HH'!$B$1:$Y$321,23,FALSE)</f>
        <v>152217.50260669328</v>
      </c>
      <c r="F22">
        <f>VLOOKUP(A22,'Conc. HH'!$B$1:$Y$321,23,FALSE)</f>
        <v>39577.771047698981</v>
      </c>
      <c r="G22">
        <f>VLOOKUP(A22,'Targeted HH'!$B$1:$Y$321,23,FALSE)</f>
        <v>110322.09072156889</v>
      </c>
      <c r="H22">
        <f>VLOOKUP(A22,'EFIG HH'!$B$1:$Y$321,23,FALSE)</f>
        <v>152126.84464236131</v>
      </c>
      <c r="I22">
        <f t="shared" si="0"/>
        <v>454244.20901832241</v>
      </c>
      <c r="J22">
        <f t="shared" si="1"/>
        <v>445972.91680634004</v>
      </c>
      <c r="K22" s="44">
        <f t="shared" si="2"/>
        <v>422632.61497473897</v>
      </c>
      <c r="L22">
        <f t="shared" si="22"/>
        <v>23340.301831601071</v>
      </c>
      <c r="M22">
        <f t="shared" si="23"/>
        <v>0</v>
      </c>
      <c r="N22">
        <f t="shared" si="24"/>
        <v>445972.91680634004</v>
      </c>
      <c r="O22">
        <f t="shared" si="35"/>
        <v>0</v>
      </c>
      <c r="P22">
        <f t="shared" si="36"/>
        <v>0</v>
      </c>
      <c r="Q22">
        <f t="shared" si="37"/>
        <v>445972.91680634004</v>
      </c>
      <c r="R22">
        <f t="shared" si="38"/>
        <v>0</v>
      </c>
      <c r="S22">
        <f t="shared" si="39"/>
        <v>0</v>
      </c>
      <c r="T22">
        <f t="shared" si="40"/>
        <v>445972.91680634004</v>
      </c>
      <c r="U22">
        <f t="shared" si="41"/>
        <v>0</v>
      </c>
      <c r="V22">
        <f t="shared" si="42"/>
        <v>0</v>
      </c>
      <c r="W22">
        <f t="shared" si="43"/>
        <v>445972.91680634004</v>
      </c>
      <c r="X22" s="44">
        <f t="shared" si="15"/>
        <v>8271.2922119823634</v>
      </c>
      <c r="Y22" s="28">
        <f t="shared" si="16"/>
        <v>3439.2838090328487</v>
      </c>
      <c r="Z22" s="28">
        <f t="shared" si="17"/>
        <v>442533.63299730717</v>
      </c>
      <c r="AA22">
        <f t="shared" si="18"/>
        <v>0</v>
      </c>
      <c r="AB22" s="28">
        <f t="shared" si="19"/>
        <v>442533.63299730717</v>
      </c>
      <c r="AD22" s="28">
        <f t="shared" si="20"/>
        <v>0</v>
      </c>
      <c r="AE22" s="28">
        <f t="shared" si="21"/>
        <v>442533.63299730717</v>
      </c>
      <c r="AF22" s="51"/>
      <c r="AG22" t="str">
        <f t="shared" si="34"/>
        <v>5300720</v>
      </c>
    </row>
    <row r="23" spans="1:33" x14ac:dyDescent="0.25">
      <c r="A23" s="7" t="s">
        <v>328</v>
      </c>
      <c r="B23" s="2" t="s">
        <v>702</v>
      </c>
      <c r="C23" s="4" t="s">
        <v>701</v>
      </c>
      <c r="D23">
        <f>_xlfn.IFNA(VLOOKUP(A23,'Prior Year data'!$A$1:$T$317,12,FALSE),0)</f>
        <v>67314.273917028942</v>
      </c>
      <c r="E23">
        <f>VLOOKUP(A23,'Basic HH'!$B$1:$Y$321,23,FALSE)</f>
        <v>23268.04048163072</v>
      </c>
      <c r="F23">
        <f>VLOOKUP(A23,'Conc. HH'!$B$1:$Y$321,23,FALSE)</f>
        <v>6104.9483730702123</v>
      </c>
      <c r="G23">
        <f>VLOOKUP(A23,'Targeted HH'!$B$1:$Y$321,23,FALSE)</f>
        <v>16486.539034044137</v>
      </c>
      <c r="H23">
        <f>VLOOKUP(A23,'EFIG HH'!$B$1:$Y$321,23,FALSE)</f>
        <v>22733.843656499121</v>
      </c>
      <c r="I23">
        <f t="shared" si="0"/>
        <v>68593.371545244183</v>
      </c>
      <c r="J23">
        <f t="shared" si="1"/>
        <v>67314.273917028942</v>
      </c>
      <c r="K23" s="44">
        <f t="shared" si="2"/>
        <v>63819.84714510927</v>
      </c>
      <c r="L23">
        <f t="shared" si="22"/>
        <v>3494.4267719196723</v>
      </c>
      <c r="M23">
        <f t="shared" si="23"/>
        <v>0</v>
      </c>
      <c r="N23">
        <f t="shared" si="24"/>
        <v>67314.273917028942</v>
      </c>
      <c r="O23">
        <f t="shared" si="35"/>
        <v>0</v>
      </c>
      <c r="P23">
        <f t="shared" si="36"/>
        <v>0</v>
      </c>
      <c r="Q23">
        <f t="shared" si="37"/>
        <v>67314.273917028942</v>
      </c>
      <c r="R23">
        <f t="shared" si="38"/>
        <v>0</v>
      </c>
      <c r="S23">
        <f t="shared" si="39"/>
        <v>0</v>
      </c>
      <c r="T23">
        <f t="shared" si="40"/>
        <v>67314.273917028942</v>
      </c>
      <c r="U23">
        <f t="shared" si="41"/>
        <v>0</v>
      </c>
      <c r="V23">
        <f t="shared" si="42"/>
        <v>0</v>
      </c>
      <c r="W23">
        <f t="shared" si="43"/>
        <v>67314.273917028942</v>
      </c>
      <c r="X23" s="44">
        <f t="shared" si="15"/>
        <v>1279.0976282152405</v>
      </c>
      <c r="Y23" s="28">
        <f t="shared" si="16"/>
        <v>519.11872599244032</v>
      </c>
      <c r="Z23" s="28">
        <f t="shared" si="17"/>
        <v>66795.155191036509</v>
      </c>
      <c r="AA23">
        <f t="shared" si="18"/>
        <v>0</v>
      </c>
      <c r="AB23" s="28">
        <f t="shared" si="19"/>
        <v>66795.155191036509</v>
      </c>
      <c r="AD23" s="28">
        <f t="shared" si="20"/>
        <v>0</v>
      </c>
      <c r="AE23" s="28">
        <f t="shared" si="21"/>
        <v>66795.155191036509</v>
      </c>
      <c r="AF23" s="51"/>
      <c r="AG23" t="str">
        <f t="shared" si="34"/>
        <v>5300750</v>
      </c>
    </row>
    <row r="24" spans="1:33" x14ac:dyDescent="0.25">
      <c r="A24" s="7" t="s">
        <v>330</v>
      </c>
      <c r="B24" s="2" t="s">
        <v>704</v>
      </c>
      <c r="C24" s="4" t="s">
        <v>703</v>
      </c>
      <c r="D24">
        <f>_xlfn.IFNA(VLOOKUP(A24,'Prior Year data'!$A$1:$T$317,12,FALSE),0)</f>
        <v>1035638.2597707327</v>
      </c>
      <c r="E24">
        <f>VLOOKUP(A24,'Basic HH'!$B$1:$Y$321,23,FALSE)</f>
        <v>383870.28646256687</v>
      </c>
      <c r="F24">
        <f>VLOOKUP(A24,'Conc. HH'!$B$1:$Y$321,23,FALSE)</f>
        <v>97495.414964399009</v>
      </c>
      <c r="G24">
        <f>VLOOKUP(A24,'Targeted HH'!$B$1:$Y$321,23,FALSE)</f>
        <v>172892.90837407191</v>
      </c>
      <c r="H24">
        <f>VLOOKUP(A24,'EFIG HH'!$B$1:$Y$321,23,FALSE)</f>
        <v>232916.76880861406</v>
      </c>
      <c r="I24">
        <f t="shared" si="0"/>
        <v>887175.37860965193</v>
      </c>
      <c r="J24">
        <f t="shared" si="1"/>
        <v>1035638.2597707327</v>
      </c>
      <c r="K24" s="44">
        <f t="shared" si="2"/>
        <v>825435.3996351714</v>
      </c>
      <c r="L24">
        <f t="shared" si="22"/>
        <v>61739.978974480531</v>
      </c>
      <c r="M24">
        <f t="shared" si="23"/>
        <v>0</v>
      </c>
      <c r="N24">
        <f t="shared" si="24"/>
        <v>887175.37860965193</v>
      </c>
      <c r="O24">
        <f t="shared" si="35"/>
        <v>0</v>
      </c>
      <c r="P24">
        <f t="shared" si="36"/>
        <v>0</v>
      </c>
      <c r="Q24">
        <f t="shared" si="37"/>
        <v>887175.37860965193</v>
      </c>
      <c r="R24">
        <f t="shared" si="38"/>
        <v>0</v>
      </c>
      <c r="S24">
        <f t="shared" si="39"/>
        <v>0</v>
      </c>
      <c r="T24">
        <f t="shared" si="40"/>
        <v>887175.37860965193</v>
      </c>
      <c r="U24">
        <f t="shared" si="41"/>
        <v>0</v>
      </c>
      <c r="V24">
        <f t="shared" si="42"/>
        <v>0</v>
      </c>
      <c r="W24">
        <f t="shared" si="43"/>
        <v>887175.37860965193</v>
      </c>
      <c r="X24" s="44">
        <f t="shared" si="15"/>
        <v>0</v>
      </c>
      <c r="Y24" s="28">
        <f t="shared" si="16"/>
        <v>6841.7785036703053</v>
      </c>
      <c r="Z24" s="28">
        <f t="shared" si="17"/>
        <v>880333.60010598158</v>
      </c>
      <c r="AA24">
        <f t="shared" si="18"/>
        <v>0</v>
      </c>
      <c r="AB24" s="28">
        <f t="shared" si="19"/>
        <v>880333.60010598158</v>
      </c>
      <c r="AD24" s="28">
        <f t="shared" si="20"/>
        <v>0</v>
      </c>
      <c r="AE24" s="28">
        <f t="shared" si="21"/>
        <v>880333.60010598158</v>
      </c>
      <c r="AF24" s="51"/>
      <c r="AG24" t="str">
        <f t="shared" si="34"/>
        <v>5300780</v>
      </c>
    </row>
    <row r="25" spans="1:33" x14ac:dyDescent="0.25">
      <c r="A25" s="7" t="s">
        <v>105</v>
      </c>
      <c r="B25" s="2" t="s">
        <v>706</v>
      </c>
      <c r="C25" s="4" t="s">
        <v>705</v>
      </c>
      <c r="D25">
        <f>_xlfn.IFNA(VLOOKUP(A25,'Prior Year data'!$A$1:$T$317,12,FALSE),0)</f>
        <v>235526.12093424695</v>
      </c>
      <c r="E25">
        <f>VLOOKUP(A25,'Basic HH'!$B$1:$Y$321,23,FALSE)</f>
        <v>226621.01927421574</v>
      </c>
      <c r="F25">
        <f>VLOOKUP(A25,'Conc. HH'!$B$1:$Y$321,23,FALSE)</f>
        <v>0</v>
      </c>
      <c r="G25">
        <f>VLOOKUP(A25,'Targeted HH'!$B$1:$Y$321,23,FALSE)</f>
        <v>0</v>
      </c>
      <c r="H25">
        <f>VLOOKUP(A25,'EFIG HH'!$B$1:$Y$321,23,FALSE)</f>
        <v>0</v>
      </c>
      <c r="I25">
        <f t="shared" si="0"/>
        <v>226621.01927421574</v>
      </c>
      <c r="J25">
        <f t="shared" si="1"/>
        <v>235526.12093424695</v>
      </c>
      <c r="K25" s="44">
        <f t="shared" si="2"/>
        <v>210850.093589722</v>
      </c>
      <c r="L25">
        <f t="shared" si="22"/>
        <v>15770.925684493734</v>
      </c>
      <c r="M25">
        <f t="shared" si="23"/>
        <v>0</v>
      </c>
      <c r="N25">
        <f t="shared" si="24"/>
        <v>226621.01927421574</v>
      </c>
      <c r="O25">
        <f t="shared" si="35"/>
        <v>0</v>
      </c>
      <c r="P25">
        <f t="shared" si="36"/>
        <v>0</v>
      </c>
      <c r="Q25">
        <f t="shared" si="37"/>
        <v>226621.01927421574</v>
      </c>
      <c r="R25">
        <f t="shared" si="38"/>
        <v>0</v>
      </c>
      <c r="S25">
        <f t="shared" si="39"/>
        <v>0</v>
      </c>
      <c r="T25">
        <f t="shared" si="40"/>
        <v>226621.01927421574</v>
      </c>
      <c r="U25">
        <f t="shared" si="41"/>
        <v>0</v>
      </c>
      <c r="V25">
        <f t="shared" si="42"/>
        <v>0</v>
      </c>
      <c r="W25">
        <f t="shared" si="43"/>
        <v>226621.01927421574</v>
      </c>
      <c r="X25" s="44">
        <f t="shared" si="15"/>
        <v>0</v>
      </c>
      <c r="Y25" s="28">
        <f t="shared" si="16"/>
        <v>1747.671154467851</v>
      </c>
      <c r="Z25" s="28">
        <f t="shared" si="17"/>
        <v>224873.34811974788</v>
      </c>
      <c r="AA25">
        <f t="shared" si="18"/>
        <v>0</v>
      </c>
      <c r="AB25" s="28">
        <f t="shared" si="19"/>
        <v>224873.34811974788</v>
      </c>
      <c r="AD25" s="28">
        <f t="shared" si="20"/>
        <v>0</v>
      </c>
      <c r="AE25" s="28">
        <f t="shared" si="21"/>
        <v>224873.34811974788</v>
      </c>
      <c r="AF25" s="51"/>
      <c r="AG25" t="str">
        <f t="shared" si="34"/>
        <v>5300810</v>
      </c>
    </row>
    <row r="26" spans="1:33" x14ac:dyDescent="0.25">
      <c r="A26" s="7" t="s">
        <v>332</v>
      </c>
      <c r="B26" s="2" t="s">
        <v>708</v>
      </c>
      <c r="C26" s="4" t="s">
        <v>707</v>
      </c>
      <c r="D26">
        <f>_xlfn.IFNA(VLOOKUP(A26,'Prior Year data'!$A$1:$T$317,12,FALSE),0)</f>
        <v>258480.55597813337</v>
      </c>
      <c r="E26">
        <f>VLOOKUP(A26,'Basic HH'!$B$1:$Y$321,23,FALSE)</f>
        <v>98915.089363306979</v>
      </c>
      <c r="F26">
        <f>VLOOKUP(A26,'Conc. HH'!$B$1:$Y$321,23,FALSE)</f>
        <v>26002.557885299044</v>
      </c>
      <c r="G26">
        <f>VLOOKUP(A26,'Targeted HH'!$B$1:$Y$321,23,FALSE)</f>
        <v>59789.207769652916</v>
      </c>
      <c r="H26">
        <f>VLOOKUP(A26,'EFIG HH'!$B$1:$Y$321,23,FALSE)</f>
        <v>82445.351263503588</v>
      </c>
      <c r="I26">
        <f t="shared" si="0"/>
        <v>267152.20628176251</v>
      </c>
      <c r="J26">
        <f t="shared" si="1"/>
        <v>258480.55597813337</v>
      </c>
      <c r="K26" s="44">
        <f t="shared" si="2"/>
        <v>248560.64930610475</v>
      </c>
      <c r="L26">
        <f t="shared" si="22"/>
        <v>9919.906672028621</v>
      </c>
      <c r="M26">
        <f t="shared" si="23"/>
        <v>0</v>
      </c>
      <c r="N26">
        <f t="shared" si="24"/>
        <v>258480.55597813337</v>
      </c>
      <c r="O26">
        <f t="shared" si="35"/>
        <v>0</v>
      </c>
      <c r="P26">
        <f t="shared" si="36"/>
        <v>0</v>
      </c>
      <c r="Q26">
        <f t="shared" si="37"/>
        <v>258480.55597813337</v>
      </c>
      <c r="R26">
        <f t="shared" si="38"/>
        <v>0</v>
      </c>
      <c r="S26">
        <f t="shared" si="39"/>
        <v>0</v>
      </c>
      <c r="T26">
        <f t="shared" si="40"/>
        <v>258480.55597813337</v>
      </c>
      <c r="U26">
        <f t="shared" si="41"/>
        <v>0</v>
      </c>
      <c r="V26">
        <f t="shared" si="42"/>
        <v>0</v>
      </c>
      <c r="W26">
        <f t="shared" si="43"/>
        <v>258480.55597813337</v>
      </c>
      <c r="X26" s="44">
        <f t="shared" si="15"/>
        <v>8671.6503036291397</v>
      </c>
      <c r="Y26" s="28">
        <f t="shared" si="16"/>
        <v>1993.3676634257108</v>
      </c>
      <c r="Z26" s="28">
        <f t="shared" si="17"/>
        <v>256487.18831470766</v>
      </c>
      <c r="AA26">
        <f t="shared" si="18"/>
        <v>0</v>
      </c>
      <c r="AB26" s="28">
        <f t="shared" si="19"/>
        <v>256487.18831470766</v>
      </c>
      <c r="AD26" s="28">
        <f t="shared" si="20"/>
        <v>0</v>
      </c>
      <c r="AE26" s="28">
        <f t="shared" si="21"/>
        <v>256487.18831470766</v>
      </c>
      <c r="AF26" s="51"/>
      <c r="AG26" t="str">
        <f t="shared" si="34"/>
        <v>5300840</v>
      </c>
    </row>
    <row r="27" spans="1:33" x14ac:dyDescent="0.25">
      <c r="A27" s="7" t="s">
        <v>107</v>
      </c>
      <c r="B27" s="2" t="s">
        <v>710</v>
      </c>
      <c r="C27" s="4" t="s">
        <v>709</v>
      </c>
      <c r="D27">
        <f>_xlfn.IFNA(VLOOKUP(A27,'Prior Year data'!$A$1:$T$317,12,FALSE),0)</f>
        <v>29243.406050696609</v>
      </c>
      <c r="E27">
        <f>VLOOKUP(A27,'Basic HH'!$B$1:$Y$321,23,FALSE)</f>
        <v>0</v>
      </c>
      <c r="F27">
        <f>VLOOKUP(A27,'Conc. HH'!$B$1:$Y$321,23,FALSE)</f>
        <v>0</v>
      </c>
      <c r="G27">
        <f>VLOOKUP(A27,'Targeted HH'!$B$1:$Y$321,23,FALSE)</f>
        <v>0</v>
      </c>
      <c r="H27">
        <f>VLOOKUP(A27,'EFIG HH'!$B$1:$Y$321,23,FALSE)</f>
        <v>0</v>
      </c>
      <c r="I27">
        <f t="shared" si="0"/>
        <v>0</v>
      </c>
      <c r="J27">
        <f t="shared" si="1"/>
        <v>29243.406050696609</v>
      </c>
      <c r="K27" s="44">
        <f t="shared" si="2"/>
        <v>0</v>
      </c>
      <c r="L27">
        <f t="shared" si="22"/>
        <v>0</v>
      </c>
      <c r="M27">
        <f t="shared" si="23"/>
        <v>0</v>
      </c>
      <c r="N27">
        <f t="shared" si="24"/>
        <v>0</v>
      </c>
      <c r="O27">
        <f t="shared" si="35"/>
        <v>0</v>
      </c>
      <c r="P27">
        <f t="shared" si="36"/>
        <v>0</v>
      </c>
      <c r="Q27">
        <f t="shared" si="37"/>
        <v>0</v>
      </c>
      <c r="R27">
        <f t="shared" si="38"/>
        <v>0</v>
      </c>
      <c r="S27">
        <f t="shared" si="39"/>
        <v>0</v>
      </c>
      <c r="T27">
        <f t="shared" si="40"/>
        <v>0</v>
      </c>
      <c r="U27">
        <f t="shared" si="41"/>
        <v>0</v>
      </c>
      <c r="V27">
        <f t="shared" si="42"/>
        <v>0</v>
      </c>
      <c r="W27">
        <f t="shared" si="43"/>
        <v>0</v>
      </c>
      <c r="X27" s="44">
        <f t="shared" si="15"/>
        <v>0</v>
      </c>
      <c r="Y27" s="28">
        <f t="shared" si="16"/>
        <v>0</v>
      </c>
      <c r="Z27" s="28">
        <f t="shared" si="17"/>
        <v>0</v>
      </c>
      <c r="AA27">
        <f t="shared" si="18"/>
        <v>0</v>
      </c>
      <c r="AB27" s="28">
        <f t="shared" si="19"/>
        <v>0</v>
      </c>
      <c r="AD27" s="28">
        <f t="shared" si="20"/>
        <v>0</v>
      </c>
      <c r="AE27" s="28">
        <f t="shared" si="21"/>
        <v>0</v>
      </c>
      <c r="AF27" s="51"/>
      <c r="AG27" t="str">
        <f t="shared" si="34"/>
        <v>5300870</v>
      </c>
    </row>
    <row r="28" spans="1:33" x14ac:dyDescent="0.25">
      <c r="A28" s="7" t="s">
        <v>334</v>
      </c>
      <c r="B28" s="2" t="s">
        <v>712</v>
      </c>
      <c r="C28" s="4" t="s">
        <v>711</v>
      </c>
      <c r="D28">
        <f>_xlfn.IFNA(VLOOKUP(A28,'Prior Year data'!$A$1:$T$317,12,FALSE),0)</f>
        <v>337046.73612724518</v>
      </c>
      <c r="E28">
        <f>VLOOKUP(A28,'Basic HH'!$B$1:$Y$321,23,FALSE)</f>
        <v>152243.22449830725</v>
      </c>
      <c r="F28">
        <f>VLOOKUP(A28,'Conc. HH'!$B$1:$Y$321,23,FALSE)</f>
        <v>0</v>
      </c>
      <c r="G28">
        <f>VLOOKUP(A28,'Targeted HH'!$B$1:$Y$321,23,FALSE)</f>
        <v>72852.545281744722</v>
      </c>
      <c r="H28">
        <f>VLOOKUP(A28,'EFIG HH'!$B$1:$Y$321,23,FALSE)</f>
        <v>100448.10414037619</v>
      </c>
      <c r="I28">
        <f t="shared" si="0"/>
        <v>325543.87392042816</v>
      </c>
      <c r="J28">
        <f t="shared" si="1"/>
        <v>337046.73612724518</v>
      </c>
      <c r="K28" s="44">
        <f t="shared" si="2"/>
        <v>302888.74572850665</v>
      </c>
      <c r="L28">
        <f t="shared" si="22"/>
        <v>22655.128191921511</v>
      </c>
      <c r="M28">
        <f t="shared" si="23"/>
        <v>0</v>
      </c>
      <c r="N28">
        <f t="shared" si="24"/>
        <v>325543.87392042816</v>
      </c>
      <c r="O28">
        <f t="shared" si="35"/>
        <v>0</v>
      </c>
      <c r="P28">
        <f t="shared" si="36"/>
        <v>0</v>
      </c>
      <c r="Q28">
        <f t="shared" si="37"/>
        <v>325543.87392042816</v>
      </c>
      <c r="R28">
        <f t="shared" si="38"/>
        <v>0</v>
      </c>
      <c r="S28">
        <f t="shared" si="39"/>
        <v>0</v>
      </c>
      <c r="T28">
        <f t="shared" si="40"/>
        <v>325543.87392042816</v>
      </c>
      <c r="U28">
        <f t="shared" si="41"/>
        <v>0</v>
      </c>
      <c r="V28">
        <f t="shared" si="42"/>
        <v>0</v>
      </c>
      <c r="W28">
        <f t="shared" si="43"/>
        <v>325543.87392042816</v>
      </c>
      <c r="X28" s="44">
        <f t="shared" si="15"/>
        <v>0</v>
      </c>
      <c r="Y28" s="28">
        <f t="shared" si="16"/>
        <v>2510.551050324324</v>
      </c>
      <c r="Z28" s="28">
        <f t="shared" si="17"/>
        <v>323033.32287010382</v>
      </c>
      <c r="AA28">
        <f t="shared" si="18"/>
        <v>0</v>
      </c>
      <c r="AB28" s="28">
        <f t="shared" si="19"/>
        <v>323033.32287010382</v>
      </c>
      <c r="AD28" s="28">
        <f t="shared" si="20"/>
        <v>0</v>
      </c>
      <c r="AE28" s="28">
        <f t="shared" si="21"/>
        <v>323033.32287010382</v>
      </c>
      <c r="AF28" s="51"/>
      <c r="AG28" t="str">
        <f t="shared" si="34"/>
        <v>5300950</v>
      </c>
    </row>
    <row r="29" spans="1:33" x14ac:dyDescent="0.25">
      <c r="A29" s="7" t="s">
        <v>336</v>
      </c>
      <c r="B29" s="2" t="s">
        <v>714</v>
      </c>
      <c r="C29" s="4" t="s">
        <v>713</v>
      </c>
      <c r="D29">
        <f>_xlfn.IFNA(VLOOKUP(A29,'Prior Year data'!$A$1:$T$317,12,FALSE),0)</f>
        <v>373190.57625580492</v>
      </c>
      <c r="E29">
        <f>VLOOKUP(A29,'Basic HH'!$B$1:$Y$321,23,FALSE)</f>
        <v>145362.17480346854</v>
      </c>
      <c r="F29">
        <f>VLOOKUP(A29,'Conc. HH'!$B$1:$Y$321,23,FALSE)</f>
        <v>31177.395571271216</v>
      </c>
      <c r="G29">
        <f>VLOOKUP(A29,'Targeted HH'!$B$1:$Y$321,23,FALSE)</f>
        <v>69559.774873530288</v>
      </c>
      <c r="H29">
        <f>VLOOKUP(A29,'EFIG HH'!$B$1:$Y$321,23,FALSE)</f>
        <v>95908.076834596475</v>
      </c>
      <c r="I29">
        <f t="shared" si="0"/>
        <v>342007.42208286654</v>
      </c>
      <c r="J29">
        <f t="shared" si="1"/>
        <v>373190.57625580492</v>
      </c>
      <c r="K29" s="44">
        <f t="shared" si="2"/>
        <v>318206.56877063424</v>
      </c>
      <c r="L29">
        <f t="shared" si="22"/>
        <v>23800.853312232299</v>
      </c>
      <c r="M29">
        <f t="shared" si="23"/>
        <v>0</v>
      </c>
      <c r="N29">
        <f t="shared" si="24"/>
        <v>342007.42208286654</v>
      </c>
      <c r="O29">
        <f t="shared" si="35"/>
        <v>0</v>
      </c>
      <c r="P29">
        <f t="shared" si="36"/>
        <v>0</v>
      </c>
      <c r="Q29">
        <f t="shared" si="37"/>
        <v>342007.42208286654</v>
      </c>
      <c r="R29">
        <f t="shared" si="38"/>
        <v>0</v>
      </c>
      <c r="S29">
        <f t="shared" si="39"/>
        <v>0</v>
      </c>
      <c r="T29">
        <f t="shared" si="40"/>
        <v>342007.42208286654</v>
      </c>
      <c r="U29">
        <f t="shared" si="41"/>
        <v>0</v>
      </c>
      <c r="V29">
        <f t="shared" si="42"/>
        <v>0</v>
      </c>
      <c r="W29">
        <f t="shared" si="43"/>
        <v>342007.42208286654</v>
      </c>
      <c r="X29" s="44">
        <f t="shared" si="15"/>
        <v>0</v>
      </c>
      <c r="Y29" s="28">
        <f t="shared" si="16"/>
        <v>2637.5157436958161</v>
      </c>
      <c r="Z29" s="28">
        <f t="shared" si="17"/>
        <v>339369.9063391707</v>
      </c>
      <c r="AA29">
        <f t="shared" si="18"/>
        <v>0</v>
      </c>
      <c r="AB29" s="28">
        <f t="shared" si="19"/>
        <v>339369.9063391707</v>
      </c>
      <c r="AD29" s="28">
        <f t="shared" si="20"/>
        <v>0</v>
      </c>
      <c r="AE29" s="28">
        <f t="shared" si="21"/>
        <v>339369.9063391707</v>
      </c>
      <c r="AF29" s="51"/>
      <c r="AG29" t="str">
        <f t="shared" si="34"/>
        <v>5300960</v>
      </c>
    </row>
    <row r="30" spans="1:33" x14ac:dyDescent="0.25">
      <c r="A30" s="7" t="s">
        <v>109</v>
      </c>
      <c r="B30" s="2" t="s">
        <v>716</v>
      </c>
      <c r="C30" s="4" t="s">
        <v>715</v>
      </c>
      <c r="D30">
        <f>_xlfn.IFNA(VLOOKUP(A30,'Prior Year data'!$A$1:$T$317,12,FALSE),0)</f>
        <v>342609.84048479074</v>
      </c>
      <c r="E30">
        <f>VLOOKUP(A30,'Basic HH'!$B$1:$Y$321,23,FALSE)</f>
        <v>157404.01176943627</v>
      </c>
      <c r="F30">
        <f>VLOOKUP(A30,'Conc. HH'!$B$1:$Y$321,23,FALSE)</f>
        <v>0</v>
      </c>
      <c r="G30">
        <f>VLOOKUP(A30,'Targeted HH'!$B$1:$Y$321,23,FALSE)</f>
        <v>75322.123087905566</v>
      </c>
      <c r="H30">
        <f>VLOOKUP(A30,'EFIG HH'!$B$1:$Y$321,23,FALSE)</f>
        <v>103853.12461971099</v>
      </c>
      <c r="I30">
        <f t="shared" si="0"/>
        <v>336579.25947705284</v>
      </c>
      <c r="J30">
        <f t="shared" si="1"/>
        <v>342609.84048479074</v>
      </c>
      <c r="K30" s="44">
        <f t="shared" si="2"/>
        <v>313156.16083794757</v>
      </c>
      <c r="L30">
        <f t="shared" si="22"/>
        <v>23423.098639105272</v>
      </c>
      <c r="M30">
        <f t="shared" si="23"/>
        <v>0</v>
      </c>
      <c r="N30">
        <f t="shared" si="24"/>
        <v>336579.25947705284</v>
      </c>
      <c r="O30">
        <f t="shared" si="35"/>
        <v>0</v>
      </c>
      <c r="P30">
        <f t="shared" si="36"/>
        <v>0</v>
      </c>
      <c r="Q30">
        <f t="shared" si="37"/>
        <v>336579.25947705284</v>
      </c>
      <c r="R30">
        <f t="shared" si="38"/>
        <v>0</v>
      </c>
      <c r="S30">
        <f t="shared" si="39"/>
        <v>0</v>
      </c>
      <c r="T30">
        <f t="shared" si="40"/>
        <v>336579.25947705284</v>
      </c>
      <c r="U30">
        <f t="shared" si="41"/>
        <v>0</v>
      </c>
      <c r="V30">
        <f t="shared" si="42"/>
        <v>0</v>
      </c>
      <c r="W30">
        <f t="shared" si="43"/>
        <v>336579.25947705284</v>
      </c>
      <c r="X30" s="44">
        <f t="shared" si="15"/>
        <v>0</v>
      </c>
      <c r="Y30" s="28">
        <f t="shared" si="16"/>
        <v>2595.6544757590468</v>
      </c>
      <c r="Z30" s="28">
        <f t="shared" si="17"/>
        <v>333983.60500129376</v>
      </c>
      <c r="AA30">
        <f t="shared" si="18"/>
        <v>0</v>
      </c>
      <c r="AB30" s="28">
        <f t="shared" si="19"/>
        <v>333983.60500129376</v>
      </c>
      <c r="AD30" s="28">
        <f t="shared" si="20"/>
        <v>0</v>
      </c>
      <c r="AE30" s="28">
        <f t="shared" si="21"/>
        <v>333983.60500129376</v>
      </c>
      <c r="AF30" s="51"/>
      <c r="AG30" t="str">
        <f t="shared" si="34"/>
        <v>5300990</v>
      </c>
    </row>
    <row r="31" spans="1:33" x14ac:dyDescent="0.25">
      <c r="A31" s="7" t="s">
        <v>69</v>
      </c>
      <c r="B31" s="2" t="s">
        <v>717</v>
      </c>
      <c r="C31" s="4" t="s">
        <v>8</v>
      </c>
      <c r="D31">
        <f>_xlfn.IFNA(VLOOKUP(A31,'Prior Year data'!$A$1:$T$317,12,FALSE),0)</f>
        <v>107144.15371995827</v>
      </c>
      <c r="E31">
        <f>VLOOKUP(A31,'Basic HH'!$B$1:$Y$321,23,FALSE)</f>
        <v>73173.416237176556</v>
      </c>
      <c r="F31">
        <f>VLOOKUP(A31,'Conc. HH'!$B$1:$Y$321,23,FALSE)</f>
        <v>0</v>
      </c>
      <c r="G31">
        <f>VLOOKUP(A31,'Targeted HH'!$B$1:$Y$321,23,FALSE)</f>
        <v>41023.364450406036</v>
      </c>
      <c r="H31">
        <f>VLOOKUP(A31,'EFIG HH'!$B$1:$Y$321,23,FALSE)</f>
        <v>56562.46008381476</v>
      </c>
      <c r="I31">
        <f t="shared" si="0"/>
        <v>170759.24077139737</v>
      </c>
      <c r="J31">
        <f t="shared" si="1"/>
        <v>107144.15371995827</v>
      </c>
      <c r="K31" s="44">
        <f t="shared" si="2"/>
        <v>158875.82719938591</v>
      </c>
      <c r="L31">
        <f t="shared" si="22"/>
        <v>0</v>
      </c>
      <c r="M31">
        <f t="shared" si="23"/>
        <v>158875.82719938591</v>
      </c>
      <c r="N31">
        <f t="shared" si="24"/>
        <v>150870.56369773828</v>
      </c>
      <c r="O31">
        <f t="shared" si="35"/>
        <v>0</v>
      </c>
      <c r="P31">
        <f t="shared" si="36"/>
        <v>150870.56369773828</v>
      </c>
      <c r="Q31">
        <f t="shared" si="37"/>
        <v>150870.56369773828</v>
      </c>
      <c r="R31">
        <f t="shared" si="38"/>
        <v>0</v>
      </c>
      <c r="S31">
        <f t="shared" si="39"/>
        <v>150870.56369773828</v>
      </c>
      <c r="T31">
        <f t="shared" si="40"/>
        <v>150870.56369773828</v>
      </c>
      <c r="U31">
        <f t="shared" si="41"/>
        <v>0</v>
      </c>
      <c r="V31">
        <f t="shared" si="42"/>
        <v>150870.56369773828</v>
      </c>
      <c r="W31">
        <f t="shared" si="43"/>
        <v>150870.56369773828</v>
      </c>
      <c r="X31" s="44">
        <f t="shared" si="15"/>
        <v>19888.677073659084</v>
      </c>
      <c r="Y31" s="28">
        <f t="shared" si="16"/>
        <v>1163.4937177376007</v>
      </c>
      <c r="Z31" s="28">
        <f t="shared" si="17"/>
        <v>149707.06998000067</v>
      </c>
      <c r="AA31">
        <f t="shared" si="18"/>
        <v>0</v>
      </c>
      <c r="AB31" s="28">
        <f t="shared" si="19"/>
        <v>149707.06998000067</v>
      </c>
      <c r="AD31" s="28">
        <f t="shared" si="20"/>
        <v>0</v>
      </c>
      <c r="AE31" s="28">
        <f t="shared" si="21"/>
        <v>149707.06998000067</v>
      </c>
      <c r="AF31" s="51"/>
      <c r="AG31" t="str">
        <f t="shared" si="34"/>
        <v>5301000</v>
      </c>
    </row>
    <row r="32" spans="1:33" x14ac:dyDescent="0.25">
      <c r="A32" s="7" t="s">
        <v>338</v>
      </c>
      <c r="B32" s="2" t="s">
        <v>719</v>
      </c>
      <c r="C32" s="4" t="s">
        <v>718</v>
      </c>
      <c r="D32">
        <f>_xlfn.IFNA(VLOOKUP(A32,'Prior Year data'!$A$1:$T$317,12,FALSE),0)</f>
        <v>21693.442163138967</v>
      </c>
      <c r="E32">
        <f>VLOOKUP(A32,'Basic HH'!$B$1:$Y$321,23,FALSE)</f>
        <v>23223.542720080772</v>
      </c>
      <c r="F32">
        <f>VLOOKUP(A32,'Conc. HH'!$B$1:$Y$321,23,FALSE)</f>
        <v>6104.9483730702123</v>
      </c>
      <c r="G32">
        <f>VLOOKUP(A32,'Targeted HH'!$B$1:$Y$321,23,FALSE)</f>
        <v>16962.387770783454</v>
      </c>
      <c r="H32">
        <f>VLOOKUP(A32,'EFIG HH'!$B$1:$Y$321,23,FALSE)</f>
        <v>23387.510850578961</v>
      </c>
      <c r="I32">
        <f t="shared" si="0"/>
        <v>69678.389714513411</v>
      </c>
      <c r="J32">
        <f t="shared" si="1"/>
        <v>21693.442163138967</v>
      </c>
      <c r="K32" s="44">
        <f t="shared" si="2"/>
        <v>64829.357133501573</v>
      </c>
      <c r="L32">
        <f t="shared" si="22"/>
        <v>0</v>
      </c>
      <c r="M32">
        <f t="shared" si="23"/>
        <v>64829.357133501573</v>
      </c>
      <c r="N32">
        <f t="shared" si="24"/>
        <v>61562.805540068832</v>
      </c>
      <c r="O32">
        <f t="shared" si="35"/>
        <v>0</v>
      </c>
      <c r="P32">
        <f t="shared" si="36"/>
        <v>61562.805540068832</v>
      </c>
      <c r="Q32">
        <f t="shared" si="37"/>
        <v>61562.805540068832</v>
      </c>
      <c r="R32">
        <f t="shared" si="38"/>
        <v>0</v>
      </c>
      <c r="S32">
        <f t="shared" si="39"/>
        <v>61562.805540068832</v>
      </c>
      <c r="T32">
        <f t="shared" si="40"/>
        <v>61562.805540068832</v>
      </c>
      <c r="U32">
        <f t="shared" si="41"/>
        <v>0</v>
      </c>
      <c r="V32">
        <f t="shared" si="42"/>
        <v>61562.805540068832</v>
      </c>
      <c r="W32">
        <f t="shared" si="43"/>
        <v>61562.805540068832</v>
      </c>
      <c r="X32" s="44">
        <f t="shared" si="15"/>
        <v>8115.5841744445788</v>
      </c>
      <c r="Y32" s="28">
        <f t="shared" si="16"/>
        <v>474.76416695621742</v>
      </c>
      <c r="Z32" s="28">
        <f t="shared" si="17"/>
        <v>61088.041373112617</v>
      </c>
      <c r="AA32">
        <f t="shared" si="18"/>
        <v>0</v>
      </c>
      <c r="AB32" s="28">
        <f t="shared" si="19"/>
        <v>61088.041373112617</v>
      </c>
      <c r="AD32" s="28">
        <f t="shared" si="20"/>
        <v>0</v>
      </c>
      <c r="AE32" s="28">
        <f t="shared" si="21"/>
        <v>61088.041373112617</v>
      </c>
      <c r="AF32" s="51"/>
      <c r="AG32" t="str">
        <f t="shared" si="34"/>
        <v>5301050</v>
      </c>
    </row>
    <row r="33" spans="1:33" x14ac:dyDescent="0.25">
      <c r="A33" s="7" t="s">
        <v>111</v>
      </c>
      <c r="B33" s="2" t="s">
        <v>721</v>
      </c>
      <c r="C33" s="4" t="s">
        <v>720</v>
      </c>
      <c r="D33">
        <f>_xlfn.IFNA(VLOOKUP(A33,'Prior Year data'!$A$1:$T$317,12,FALSE),0)</f>
        <v>1561253.713321581</v>
      </c>
      <c r="E33">
        <f>VLOOKUP(A33,'Basic HH'!$B$1:$Y$321,23,FALSE)</f>
        <v>762076.25370339141</v>
      </c>
      <c r="F33">
        <f>VLOOKUP(A33,'Conc. HH'!$B$1:$Y$321,23,FALSE)</f>
        <v>0</v>
      </c>
      <c r="G33">
        <f>VLOOKUP(A33,'Targeted HH'!$B$1:$Y$321,23,FALSE)</f>
        <v>404804.96205986413</v>
      </c>
      <c r="H33">
        <f>VLOOKUP(A33,'EFIG HH'!$B$1:$Y$321,23,FALSE)</f>
        <v>558139.60690429364</v>
      </c>
      <c r="I33">
        <f t="shared" si="0"/>
        <v>1725020.8226675491</v>
      </c>
      <c r="J33">
        <f t="shared" si="1"/>
        <v>1561253.713321581</v>
      </c>
      <c r="K33" s="44">
        <f t="shared" si="2"/>
        <v>1604973.8151762651</v>
      </c>
      <c r="L33">
        <f t="shared" si="22"/>
        <v>0</v>
      </c>
      <c r="M33">
        <f t="shared" si="23"/>
        <v>1604973.8151762651</v>
      </c>
      <c r="N33">
        <f t="shared" si="24"/>
        <v>1524104.1288922315</v>
      </c>
      <c r="O33">
        <f t="shared" si="35"/>
        <v>37149.584429349517</v>
      </c>
      <c r="P33">
        <f t="shared" si="36"/>
        <v>0</v>
      </c>
      <c r="Q33">
        <f t="shared" si="37"/>
        <v>1524104.1288922315</v>
      </c>
      <c r="R33">
        <f t="shared" si="38"/>
        <v>0</v>
      </c>
      <c r="S33">
        <f t="shared" si="39"/>
        <v>0</v>
      </c>
      <c r="T33">
        <f t="shared" si="40"/>
        <v>1524104.1288922315</v>
      </c>
      <c r="U33">
        <f t="shared" si="41"/>
        <v>37149.584429349517</v>
      </c>
      <c r="V33">
        <f t="shared" si="42"/>
        <v>0</v>
      </c>
      <c r="W33">
        <f t="shared" si="43"/>
        <v>1524104.1288922315</v>
      </c>
      <c r="X33" s="44">
        <f t="shared" si="15"/>
        <v>200916.69377531763</v>
      </c>
      <c r="Y33" s="28">
        <f t="shared" si="16"/>
        <v>11753.688298644789</v>
      </c>
      <c r="Z33" s="28">
        <f t="shared" si="17"/>
        <v>1512350.4405935868</v>
      </c>
      <c r="AA33">
        <f t="shared" si="18"/>
        <v>0</v>
      </c>
      <c r="AB33" s="28">
        <f t="shared" si="19"/>
        <v>1512350.4405935868</v>
      </c>
      <c r="AD33" s="28">
        <f t="shared" si="20"/>
        <v>0</v>
      </c>
      <c r="AE33" s="28">
        <f t="shared" si="21"/>
        <v>1512350.4405935868</v>
      </c>
      <c r="AF33" s="51"/>
      <c r="AG33" t="str">
        <f t="shared" si="34"/>
        <v>5301080</v>
      </c>
    </row>
    <row r="34" spans="1:33" x14ac:dyDescent="0.25">
      <c r="A34" s="7" t="s">
        <v>270</v>
      </c>
      <c r="B34" s="2" t="s">
        <v>723</v>
      </c>
      <c r="C34" s="4" t="s">
        <v>722</v>
      </c>
      <c r="D34">
        <f>_xlfn.IFNA(VLOOKUP(A34,'Prior Year data'!$A$1:$T$317,12,FALSE),0)</f>
        <v>2933391.7445643712</v>
      </c>
      <c r="E34">
        <f>VLOOKUP(A34,'Basic HH'!$B$1:$Y$321,23,FALSE)</f>
        <v>1620487.2031345249</v>
      </c>
      <c r="F34">
        <f>VLOOKUP(A34,'Conc. HH'!$B$1:$Y$321,23,FALSE)</f>
        <v>0</v>
      </c>
      <c r="G34">
        <f>VLOOKUP(A34,'Targeted HH'!$B$1:$Y$321,23,FALSE)</f>
        <v>1020964.624696993</v>
      </c>
      <c r="H34">
        <f>VLOOKUP(A34,'EFIG HH'!$B$1:$Y$321,23,FALSE)</f>
        <v>1407692.216498323</v>
      </c>
      <c r="I34">
        <f t="shared" si="0"/>
        <v>4049144.0443298407</v>
      </c>
      <c r="J34">
        <f t="shared" si="1"/>
        <v>2933391.7445643712</v>
      </c>
      <c r="K34" s="44">
        <f t="shared" si="2"/>
        <v>3767357.5180250318</v>
      </c>
      <c r="L34">
        <f t="shared" si="22"/>
        <v>0</v>
      </c>
      <c r="M34">
        <f t="shared" si="23"/>
        <v>3767357.5180250318</v>
      </c>
      <c r="N34">
        <f t="shared" si="24"/>
        <v>3577531.9783672271</v>
      </c>
      <c r="O34">
        <f t="shared" si="35"/>
        <v>0</v>
      </c>
      <c r="P34">
        <f t="shared" si="36"/>
        <v>3577531.9783672271</v>
      </c>
      <c r="Q34">
        <f t="shared" si="37"/>
        <v>3577531.9783672271</v>
      </c>
      <c r="R34">
        <f t="shared" si="38"/>
        <v>0</v>
      </c>
      <c r="S34">
        <f t="shared" si="39"/>
        <v>3577531.9783672271</v>
      </c>
      <c r="T34">
        <f t="shared" si="40"/>
        <v>3577531.9783672271</v>
      </c>
      <c r="U34">
        <f t="shared" si="41"/>
        <v>0</v>
      </c>
      <c r="V34">
        <f t="shared" si="42"/>
        <v>3577531.9783672271</v>
      </c>
      <c r="W34">
        <f t="shared" si="43"/>
        <v>3577531.9783672271</v>
      </c>
      <c r="X34" s="44">
        <f t="shared" si="15"/>
        <v>471612.06596261356</v>
      </c>
      <c r="Y34" s="28">
        <f t="shared" si="16"/>
        <v>27589.450717337237</v>
      </c>
      <c r="Z34" s="28">
        <f t="shared" si="17"/>
        <v>3549942.5276498897</v>
      </c>
      <c r="AA34">
        <f t="shared" si="18"/>
        <v>0</v>
      </c>
      <c r="AB34" s="28">
        <f t="shared" si="19"/>
        <v>3549942.5276498897</v>
      </c>
      <c r="AD34" s="28">
        <f t="shared" si="20"/>
        <v>0</v>
      </c>
      <c r="AE34" s="28">
        <f t="shared" si="21"/>
        <v>3549942.5276498897</v>
      </c>
      <c r="AF34" s="51"/>
      <c r="AG34" t="str">
        <f t="shared" si="34"/>
        <v>5301110</v>
      </c>
    </row>
    <row r="35" spans="1:33" x14ac:dyDescent="0.25">
      <c r="A35" s="7" t="s">
        <v>340</v>
      </c>
      <c r="B35" s="2" t="s">
        <v>725</v>
      </c>
      <c r="C35" s="4" t="s">
        <v>724</v>
      </c>
      <c r="D35">
        <f>_xlfn.IFNA(VLOOKUP(A35,'Prior Year data'!$A$1:$T$317,12,FALSE),0)</f>
        <v>1536573.5631600239</v>
      </c>
      <c r="E35">
        <f>VLOOKUP(A35,'Basic HH'!$B$1:$Y$321,23,FALSE)</f>
        <v>659720.63949266472</v>
      </c>
      <c r="F35">
        <f>VLOOKUP(A35,'Conc. HH'!$B$1:$Y$321,23,FALSE)</f>
        <v>173425.75563499451</v>
      </c>
      <c r="G35">
        <f>VLOOKUP(A35,'Targeted HH'!$B$1:$Y$321,23,FALSE)</f>
        <v>346906.98634295637</v>
      </c>
      <c r="H35">
        <f>VLOOKUP(A35,'EFIG HH'!$B$1:$Y$321,23,FALSE)</f>
        <v>478310.66102687054</v>
      </c>
      <c r="I35">
        <f t="shared" si="0"/>
        <v>1658364.0424974861</v>
      </c>
      <c r="J35">
        <f t="shared" si="1"/>
        <v>1536573.5631600239</v>
      </c>
      <c r="K35" s="44">
        <f t="shared" si="2"/>
        <v>1542955.7888596463</v>
      </c>
      <c r="L35">
        <f t="shared" si="22"/>
        <v>0</v>
      </c>
      <c r="M35">
        <f t="shared" si="23"/>
        <v>1542955.7888596463</v>
      </c>
      <c r="N35">
        <f t="shared" si="24"/>
        <v>1465210.999869734</v>
      </c>
      <c r="O35">
        <f t="shared" si="35"/>
        <v>71362.563290289836</v>
      </c>
      <c r="P35">
        <f t="shared" si="36"/>
        <v>0</v>
      </c>
      <c r="Q35">
        <f t="shared" si="37"/>
        <v>1465210.999869734</v>
      </c>
      <c r="R35">
        <f t="shared" si="38"/>
        <v>0</v>
      </c>
      <c r="S35">
        <f t="shared" si="39"/>
        <v>0</v>
      </c>
      <c r="T35">
        <f t="shared" si="40"/>
        <v>1465210.999869734</v>
      </c>
      <c r="U35">
        <f t="shared" si="41"/>
        <v>71362.563290289836</v>
      </c>
      <c r="V35">
        <f t="shared" si="42"/>
        <v>0</v>
      </c>
      <c r="W35">
        <f t="shared" si="43"/>
        <v>1465210.999869734</v>
      </c>
      <c r="X35" s="44">
        <f t="shared" si="15"/>
        <v>193153.04262775206</v>
      </c>
      <c r="Y35" s="28">
        <f t="shared" si="16"/>
        <v>11299.51232185938</v>
      </c>
      <c r="Z35" s="28">
        <f t="shared" si="17"/>
        <v>1453911.4875478747</v>
      </c>
      <c r="AA35">
        <f t="shared" si="18"/>
        <v>0</v>
      </c>
      <c r="AB35" s="28">
        <f t="shared" si="19"/>
        <v>1453911.4875478747</v>
      </c>
      <c r="AD35" s="28">
        <f t="shared" si="20"/>
        <v>0</v>
      </c>
      <c r="AE35" s="28">
        <f t="shared" si="21"/>
        <v>1453911.4875478747</v>
      </c>
      <c r="AF35" s="51"/>
      <c r="AG35" t="str">
        <f t="shared" si="34"/>
        <v>5301140</v>
      </c>
    </row>
    <row r="36" spans="1:33" x14ac:dyDescent="0.25">
      <c r="A36" s="7" t="s">
        <v>342</v>
      </c>
      <c r="B36" s="2" t="s">
        <v>727</v>
      </c>
      <c r="C36" s="4" t="s">
        <v>726</v>
      </c>
      <c r="D36">
        <f>_xlfn.IFNA(VLOOKUP(A36,'Prior Year data'!$A$1:$T$317,12,FALSE),0)</f>
        <v>587855.3379336847</v>
      </c>
      <c r="E36">
        <f>VLOOKUP(A36,'Basic HH'!$B$1:$Y$321,23,FALSE)</f>
        <v>247222.93011732632</v>
      </c>
      <c r="F36">
        <f>VLOOKUP(A36,'Conc. HH'!$B$1:$Y$321,23,FALSE)</f>
        <v>0</v>
      </c>
      <c r="G36">
        <f>VLOOKUP(A36,'Targeted HH'!$B$1:$Y$321,23,FALSE)</f>
        <v>120173.68173369349</v>
      </c>
      <c r="H36">
        <f>VLOOKUP(A36,'EFIG HH'!$B$1:$Y$321,23,FALSE)</f>
        <v>165711.53512075311</v>
      </c>
      <c r="I36">
        <f t="shared" si="0"/>
        <v>533108.14697177289</v>
      </c>
      <c r="J36">
        <f t="shared" si="1"/>
        <v>587855.3379336847</v>
      </c>
      <c r="K36" s="44">
        <f t="shared" si="2"/>
        <v>496008.28309058264</v>
      </c>
      <c r="L36">
        <f t="shared" si="22"/>
        <v>37099.863881190249</v>
      </c>
      <c r="M36">
        <f t="shared" si="23"/>
        <v>0</v>
      </c>
      <c r="N36">
        <f t="shared" si="24"/>
        <v>533108.14697177289</v>
      </c>
      <c r="O36">
        <f t="shared" si="35"/>
        <v>0</v>
      </c>
      <c r="P36">
        <f t="shared" si="36"/>
        <v>0</v>
      </c>
      <c r="Q36">
        <f t="shared" si="37"/>
        <v>533108.14697177289</v>
      </c>
      <c r="R36">
        <f t="shared" si="38"/>
        <v>0</v>
      </c>
      <c r="S36">
        <f t="shared" si="39"/>
        <v>0</v>
      </c>
      <c r="T36">
        <f t="shared" si="40"/>
        <v>533108.14697177289</v>
      </c>
      <c r="U36">
        <f t="shared" si="41"/>
        <v>0</v>
      </c>
      <c r="V36">
        <f t="shared" si="42"/>
        <v>0</v>
      </c>
      <c r="W36">
        <f t="shared" si="43"/>
        <v>533108.14697177289</v>
      </c>
      <c r="X36" s="44">
        <f t="shared" si="15"/>
        <v>0</v>
      </c>
      <c r="Y36" s="28">
        <f t="shared" si="16"/>
        <v>4111.2591129378125</v>
      </c>
      <c r="Z36" s="28">
        <f t="shared" si="17"/>
        <v>528996.88785883505</v>
      </c>
      <c r="AA36">
        <f t="shared" si="18"/>
        <v>0</v>
      </c>
      <c r="AB36" s="28">
        <f t="shared" si="19"/>
        <v>528996.88785883505</v>
      </c>
      <c r="AD36" s="28">
        <f t="shared" si="20"/>
        <v>0</v>
      </c>
      <c r="AE36" s="28">
        <f t="shared" si="21"/>
        <v>528996.88785883505</v>
      </c>
      <c r="AF36" s="51"/>
      <c r="AG36" t="str">
        <f t="shared" si="34"/>
        <v>5301170</v>
      </c>
    </row>
    <row r="37" spans="1:33" x14ac:dyDescent="0.25">
      <c r="A37" s="7" t="s">
        <v>272</v>
      </c>
      <c r="B37" s="2" t="s">
        <v>729</v>
      </c>
      <c r="C37" s="4" t="s">
        <v>728</v>
      </c>
      <c r="D37">
        <f>_xlfn.IFNA(VLOOKUP(A37,'Prior Year data'!$A$1:$T$317,12,FALSE),0)</f>
        <v>1289949.0385808311</v>
      </c>
      <c r="E37">
        <f>VLOOKUP(A37,'Basic HH'!$B$1:$Y$321,23,FALSE)</f>
        <v>760355.99127968168</v>
      </c>
      <c r="F37">
        <f>VLOOKUP(A37,'Conc. HH'!$B$1:$Y$321,23,FALSE)</f>
        <v>0</v>
      </c>
      <c r="G37">
        <f>VLOOKUP(A37,'Targeted HH'!$B$1:$Y$321,23,FALSE)</f>
        <v>403570.17315678368</v>
      </c>
      <c r="H37">
        <f>VLOOKUP(A37,'EFIG HH'!$B$1:$Y$321,23,FALSE)</f>
        <v>556437.09666462627</v>
      </c>
      <c r="I37">
        <f t="shared" si="0"/>
        <v>1720363.2611010917</v>
      </c>
      <c r="J37">
        <f t="shared" si="1"/>
        <v>1289949.0385808311</v>
      </c>
      <c r="K37" s="44">
        <f t="shared" si="2"/>
        <v>1600640.3809020193</v>
      </c>
      <c r="L37">
        <f t="shared" si="22"/>
        <v>0</v>
      </c>
      <c r="M37">
        <f t="shared" si="23"/>
        <v>1600640.3809020193</v>
      </c>
      <c r="N37">
        <f t="shared" si="24"/>
        <v>1519989.0430215404</v>
      </c>
      <c r="O37">
        <f t="shared" si="35"/>
        <v>0</v>
      </c>
      <c r="P37">
        <f t="shared" si="36"/>
        <v>1519989.0430215404</v>
      </c>
      <c r="Q37">
        <f t="shared" si="37"/>
        <v>1519989.0430215404</v>
      </c>
      <c r="R37">
        <f t="shared" si="38"/>
        <v>0</v>
      </c>
      <c r="S37">
        <f t="shared" si="39"/>
        <v>1519989.0430215404</v>
      </c>
      <c r="T37">
        <f t="shared" si="40"/>
        <v>1519989.0430215404</v>
      </c>
      <c r="U37">
        <f t="shared" si="41"/>
        <v>0</v>
      </c>
      <c r="V37">
        <f t="shared" si="42"/>
        <v>1519989.0430215404</v>
      </c>
      <c r="W37">
        <f t="shared" si="43"/>
        <v>1519989.0430215404</v>
      </c>
      <c r="X37" s="44">
        <f t="shared" si="15"/>
        <v>200374.21807955136</v>
      </c>
      <c r="Y37" s="28">
        <f t="shared" si="16"/>
        <v>11721.953303817752</v>
      </c>
      <c r="Z37" s="28">
        <f t="shared" si="17"/>
        <v>1508267.0897177227</v>
      </c>
      <c r="AA37">
        <f t="shared" si="18"/>
        <v>0</v>
      </c>
      <c r="AB37" s="28">
        <f t="shared" si="19"/>
        <v>1508267.0897177227</v>
      </c>
      <c r="AD37" s="28">
        <f t="shared" si="20"/>
        <v>0</v>
      </c>
      <c r="AE37" s="28">
        <f t="shared" si="21"/>
        <v>1508267.0897177227</v>
      </c>
      <c r="AF37" s="51"/>
      <c r="AG37" t="str">
        <f t="shared" si="34"/>
        <v>5301230</v>
      </c>
    </row>
    <row r="38" spans="1:33" x14ac:dyDescent="0.25">
      <c r="A38" s="7" t="s">
        <v>344</v>
      </c>
      <c r="B38" s="2" t="s">
        <v>731</v>
      </c>
      <c r="C38" s="4" t="s">
        <v>730</v>
      </c>
      <c r="D38">
        <f>_xlfn.IFNA(VLOOKUP(A38,'Prior Year data'!$A$1:$T$317,12,FALSE),0)</f>
        <v>438593.19412204484</v>
      </c>
      <c r="E38">
        <f>VLOOKUP(A38,'Basic HH'!$B$1:$Y$321,23,FALSE)</f>
        <v>155596.35784154371</v>
      </c>
      <c r="F38">
        <f>VLOOKUP(A38,'Conc. HH'!$B$1:$Y$321,23,FALSE)</f>
        <v>39518.379019392305</v>
      </c>
      <c r="G38">
        <f>VLOOKUP(A38,'Targeted HH'!$B$1:$Y$321,23,FALSE)</f>
        <v>87445.243673026634</v>
      </c>
      <c r="H38">
        <f>VLOOKUP(A38,'EFIG HH'!$B$1:$Y$321,23,FALSE)</f>
        <v>115225.9137046486</v>
      </c>
      <c r="I38">
        <f t="shared" si="0"/>
        <v>397785.89423861128</v>
      </c>
      <c r="J38">
        <f t="shared" si="1"/>
        <v>438593.19412204484</v>
      </c>
      <c r="K38" s="44">
        <f t="shared" si="2"/>
        <v>370103.32623821747</v>
      </c>
      <c r="L38">
        <f t="shared" si="22"/>
        <v>27682.568000393803</v>
      </c>
      <c r="M38">
        <f t="shared" si="23"/>
        <v>0</v>
      </c>
      <c r="N38">
        <f t="shared" si="24"/>
        <v>397785.89423861128</v>
      </c>
      <c r="O38">
        <f t="shared" si="35"/>
        <v>0</v>
      </c>
      <c r="P38">
        <f t="shared" si="36"/>
        <v>0</v>
      </c>
      <c r="Q38">
        <f t="shared" si="37"/>
        <v>397785.89423861128</v>
      </c>
      <c r="R38">
        <f t="shared" si="38"/>
        <v>0</v>
      </c>
      <c r="S38">
        <f t="shared" si="39"/>
        <v>0</v>
      </c>
      <c r="T38">
        <f t="shared" si="40"/>
        <v>397785.89423861128</v>
      </c>
      <c r="U38">
        <f t="shared" si="41"/>
        <v>0</v>
      </c>
      <c r="V38">
        <f t="shared" si="42"/>
        <v>0</v>
      </c>
      <c r="W38">
        <f t="shared" si="43"/>
        <v>397785.89423861128</v>
      </c>
      <c r="X38" s="44">
        <f t="shared" si="15"/>
        <v>0</v>
      </c>
      <c r="Y38" s="28">
        <f t="shared" si="16"/>
        <v>3067.6719010508746</v>
      </c>
      <c r="Z38" s="28">
        <f t="shared" si="17"/>
        <v>394718.22233756038</v>
      </c>
      <c r="AA38">
        <f t="shared" si="18"/>
        <v>0</v>
      </c>
      <c r="AB38" s="28">
        <f t="shared" si="19"/>
        <v>394718.22233756038</v>
      </c>
      <c r="AD38" s="28">
        <f t="shared" si="20"/>
        <v>0</v>
      </c>
      <c r="AE38" s="28">
        <f t="shared" si="21"/>
        <v>394718.22233756038</v>
      </c>
      <c r="AF38" s="51"/>
      <c r="AG38" t="str">
        <f t="shared" si="34"/>
        <v>5301260</v>
      </c>
    </row>
    <row r="39" spans="1:33" x14ac:dyDescent="0.25">
      <c r="A39" s="7" t="s">
        <v>113</v>
      </c>
      <c r="B39" s="2" t="s">
        <v>733</v>
      </c>
      <c r="C39" s="4" t="s">
        <v>732</v>
      </c>
      <c r="D39">
        <f>_xlfn.IFNA(VLOOKUP(A39,'Prior Year data'!$A$1:$T$317,12,FALSE),0)</f>
        <v>376272.1849380912</v>
      </c>
      <c r="E39">
        <f>VLOOKUP(A39,'Basic HH'!$B$1:$Y$321,23,FALSE)</f>
        <v>151969.38939565056</v>
      </c>
      <c r="F39">
        <f>VLOOKUP(A39,'Conc. HH'!$B$1:$Y$321,23,FALSE)</f>
        <v>39801.624122320078</v>
      </c>
      <c r="G39">
        <f>VLOOKUP(A39,'Targeted HH'!$B$1:$Y$321,23,FALSE)</f>
        <v>80540.048045916323</v>
      </c>
      <c r="H39">
        <f>VLOOKUP(A39,'EFIG HH'!$B$1:$Y$321,23,FALSE)</f>
        <v>111059.38345106077</v>
      </c>
      <c r="I39">
        <f t="shared" si="0"/>
        <v>383370.44501494768</v>
      </c>
      <c r="J39">
        <f t="shared" si="1"/>
        <v>376272.1849380912</v>
      </c>
      <c r="K39" s="44">
        <f t="shared" si="2"/>
        <v>356691.07159528206</v>
      </c>
      <c r="L39">
        <f t="shared" si="22"/>
        <v>19581.113342809142</v>
      </c>
      <c r="M39">
        <f t="shared" si="23"/>
        <v>0</v>
      </c>
      <c r="N39">
        <f t="shared" si="24"/>
        <v>376272.1849380912</v>
      </c>
      <c r="O39">
        <f t="shared" si="35"/>
        <v>0</v>
      </c>
      <c r="P39">
        <f t="shared" si="36"/>
        <v>0</v>
      </c>
      <c r="Q39">
        <f t="shared" si="37"/>
        <v>376272.1849380912</v>
      </c>
      <c r="R39">
        <f t="shared" si="38"/>
        <v>0</v>
      </c>
      <c r="S39">
        <f t="shared" si="39"/>
        <v>0</v>
      </c>
      <c r="T39">
        <f t="shared" si="40"/>
        <v>376272.1849380912</v>
      </c>
      <c r="U39">
        <f t="shared" si="41"/>
        <v>0</v>
      </c>
      <c r="V39">
        <f t="shared" si="42"/>
        <v>0</v>
      </c>
      <c r="W39">
        <f t="shared" si="43"/>
        <v>376272.1849380912</v>
      </c>
      <c r="X39" s="44">
        <f t="shared" si="15"/>
        <v>7098.2600768564735</v>
      </c>
      <c r="Y39" s="28">
        <f t="shared" si="16"/>
        <v>2901.7610367782613</v>
      </c>
      <c r="Z39" s="28">
        <f t="shared" si="17"/>
        <v>373370.42390131293</v>
      </c>
      <c r="AA39">
        <f t="shared" si="18"/>
        <v>0</v>
      </c>
      <c r="AB39" s="28">
        <f t="shared" si="19"/>
        <v>373370.42390131293</v>
      </c>
      <c r="AD39" s="28">
        <f t="shared" si="20"/>
        <v>0</v>
      </c>
      <c r="AE39" s="28">
        <f t="shared" si="21"/>
        <v>373370.42390131293</v>
      </c>
      <c r="AF39" s="51"/>
      <c r="AG39" t="str">
        <f t="shared" si="34"/>
        <v>5301290</v>
      </c>
    </row>
    <row r="40" spans="1:33" x14ac:dyDescent="0.25">
      <c r="A40" s="7" t="s">
        <v>346</v>
      </c>
      <c r="B40" s="2" t="s">
        <v>735</v>
      </c>
      <c r="C40" s="4" t="s">
        <v>734</v>
      </c>
      <c r="D40">
        <f>_xlfn.IFNA(VLOOKUP(A40,'Prior Year data'!$A$1:$T$317,12,FALSE),0)</f>
        <v>1105904.994627224</v>
      </c>
      <c r="E40">
        <f>VLOOKUP(A40,'Basic HH'!$B$1:$Y$321,23,FALSE)</f>
        <v>512638.20226548676</v>
      </c>
      <c r="F40">
        <f>VLOOKUP(A40,'Conc. HH'!$B$1:$Y$321,23,FALSE)</f>
        <v>134761.08260554983</v>
      </c>
      <c r="G40">
        <f>VLOOKUP(A40,'Targeted HH'!$B$1:$Y$321,23,FALSE)</f>
        <v>294869.33933988353</v>
      </c>
      <c r="H40">
        <f>VLOOKUP(A40,'EFIG HH'!$B$1:$Y$321,23,FALSE)</f>
        <v>406561.85712207964</v>
      </c>
      <c r="I40">
        <f t="shared" si="0"/>
        <v>1348830.4813329999</v>
      </c>
      <c r="J40">
        <f t="shared" si="1"/>
        <v>1105904.994627224</v>
      </c>
      <c r="K40" s="44">
        <f t="shared" si="2"/>
        <v>1254963.1721566045</v>
      </c>
      <c r="L40">
        <f t="shared" si="22"/>
        <v>0</v>
      </c>
      <c r="M40">
        <f t="shared" si="23"/>
        <v>1254963.1721566045</v>
      </c>
      <c r="N40">
        <f t="shared" si="24"/>
        <v>1191729.4439358269</v>
      </c>
      <c r="O40">
        <f t="shared" si="35"/>
        <v>0</v>
      </c>
      <c r="P40">
        <f t="shared" si="36"/>
        <v>1191729.4439358269</v>
      </c>
      <c r="Q40">
        <f t="shared" si="37"/>
        <v>1191729.4439358269</v>
      </c>
      <c r="R40">
        <f t="shared" si="38"/>
        <v>0</v>
      </c>
      <c r="S40">
        <f t="shared" si="39"/>
        <v>1191729.4439358269</v>
      </c>
      <c r="T40">
        <f t="shared" si="40"/>
        <v>1191729.4439358269</v>
      </c>
      <c r="U40">
        <f t="shared" si="41"/>
        <v>0</v>
      </c>
      <c r="V40">
        <f t="shared" si="42"/>
        <v>1191729.4439358269</v>
      </c>
      <c r="W40">
        <f t="shared" si="43"/>
        <v>1191729.4439358269</v>
      </c>
      <c r="X40" s="44">
        <f t="shared" si="15"/>
        <v>157101.037397173</v>
      </c>
      <c r="Y40" s="28">
        <f t="shared" si="16"/>
        <v>9190.458942277055</v>
      </c>
      <c r="Z40" s="28">
        <f t="shared" si="17"/>
        <v>1182538.9849935498</v>
      </c>
      <c r="AA40">
        <f t="shared" si="18"/>
        <v>0</v>
      </c>
      <c r="AB40" s="28">
        <f t="shared" si="19"/>
        <v>1182538.9849935498</v>
      </c>
      <c r="AD40" s="28">
        <f t="shared" si="20"/>
        <v>0</v>
      </c>
      <c r="AE40" s="28">
        <f t="shared" si="21"/>
        <v>1182538.9849935498</v>
      </c>
      <c r="AF40" s="51"/>
      <c r="AG40" t="str">
        <f t="shared" si="34"/>
        <v>5301320</v>
      </c>
    </row>
    <row r="41" spans="1:33" x14ac:dyDescent="0.25">
      <c r="A41" s="7" t="s">
        <v>348</v>
      </c>
      <c r="B41" s="2" t="s">
        <v>737</v>
      </c>
      <c r="C41" s="4" t="s">
        <v>736</v>
      </c>
      <c r="D41">
        <f>_xlfn.IFNA(VLOOKUP(A41,'Prior Year data'!$A$1:$T$317,12,FALSE),0)</f>
        <v>290439.30279579235</v>
      </c>
      <c r="E41">
        <f>VLOOKUP(A41,'Basic HH'!$B$1:$Y$321,23,FALSE)</f>
        <v>133320.3378375007</v>
      </c>
      <c r="F41">
        <f>VLOOKUP(A41,'Conc. HH'!$B$1:$Y$321,23,FALSE)</f>
        <v>23118.831461747723</v>
      </c>
      <c r="G41">
        <f>VLOOKUP(A41,'Targeted HH'!$B$1:$Y$321,23,FALSE)</f>
        <v>63797.426659154982</v>
      </c>
      <c r="H41">
        <f>VLOOKUP(A41,'EFIG HH'!$B$1:$Y$321,23,FALSE)</f>
        <v>87963.029049481964</v>
      </c>
      <c r="I41">
        <f t="shared" si="0"/>
        <v>308199.62500788539</v>
      </c>
      <c r="J41">
        <f t="shared" si="1"/>
        <v>290439.30279579235</v>
      </c>
      <c r="K41" s="44">
        <f t="shared" si="2"/>
        <v>286751.51133531035</v>
      </c>
      <c r="L41">
        <f t="shared" si="22"/>
        <v>3687.7914604819962</v>
      </c>
      <c r="M41">
        <f t="shared" si="23"/>
        <v>0</v>
      </c>
      <c r="N41">
        <f t="shared" si="24"/>
        <v>290439.30279579235</v>
      </c>
      <c r="O41">
        <f t="shared" si="35"/>
        <v>0</v>
      </c>
      <c r="P41">
        <f t="shared" si="36"/>
        <v>0</v>
      </c>
      <c r="Q41">
        <f t="shared" si="37"/>
        <v>290439.30279579235</v>
      </c>
      <c r="R41">
        <f t="shared" si="38"/>
        <v>0</v>
      </c>
      <c r="S41">
        <f t="shared" si="39"/>
        <v>0</v>
      </c>
      <c r="T41">
        <f t="shared" si="40"/>
        <v>290439.30279579235</v>
      </c>
      <c r="U41">
        <f t="shared" si="41"/>
        <v>0</v>
      </c>
      <c r="V41">
        <f t="shared" si="42"/>
        <v>0</v>
      </c>
      <c r="W41">
        <f t="shared" si="43"/>
        <v>290439.30279579235</v>
      </c>
      <c r="X41" s="44">
        <f t="shared" si="15"/>
        <v>17760.322212093044</v>
      </c>
      <c r="Y41" s="28">
        <f t="shared" si="16"/>
        <v>2239.8292675833559</v>
      </c>
      <c r="Z41" s="28">
        <f t="shared" si="17"/>
        <v>288199.47352820897</v>
      </c>
      <c r="AA41">
        <f t="shared" si="18"/>
        <v>0</v>
      </c>
      <c r="AB41" s="28">
        <f t="shared" si="19"/>
        <v>288199.47352820897</v>
      </c>
      <c r="AD41" s="28">
        <f t="shared" si="20"/>
        <v>0</v>
      </c>
      <c r="AE41" s="28">
        <f t="shared" si="21"/>
        <v>288199.47352820897</v>
      </c>
      <c r="AF41" s="51"/>
      <c r="AG41" t="str">
        <f t="shared" si="34"/>
        <v>5301350</v>
      </c>
    </row>
    <row r="42" spans="1:33" x14ac:dyDescent="0.25">
      <c r="A42" s="7" t="s">
        <v>350</v>
      </c>
      <c r="B42" s="2" t="s">
        <v>739</v>
      </c>
      <c r="C42" s="4" t="s">
        <v>738</v>
      </c>
      <c r="D42">
        <f>_xlfn.IFNA(VLOOKUP(A42,'Prior Year data'!$A$1:$T$317,12,FALSE),0)</f>
        <v>4269881.3345384989</v>
      </c>
      <c r="E42">
        <f>VLOOKUP(A42,'Basic HH'!$B$1:$Y$321,23,FALSE)</f>
        <v>1717682.0300741219</v>
      </c>
      <c r="F42">
        <f>VLOOKUP(A42,'Conc. HH'!$B$1:$Y$321,23,FALSE)</f>
        <v>319964.62743058853</v>
      </c>
      <c r="G42">
        <f>VLOOKUP(A42,'Targeted HH'!$B$1:$Y$321,23,FALSE)</f>
        <v>1090730.1977210373</v>
      </c>
      <c r="H42">
        <f>VLOOKUP(A42,'EFIG HH'!$B$1:$Y$321,23,FALSE)</f>
        <v>1503884.0450395301</v>
      </c>
      <c r="I42">
        <f t="shared" si="0"/>
        <v>4632260.9002652774</v>
      </c>
      <c r="J42">
        <f t="shared" si="1"/>
        <v>4269881.3345384989</v>
      </c>
      <c r="K42" s="44">
        <f t="shared" si="2"/>
        <v>4309894.3226051889</v>
      </c>
      <c r="L42">
        <f t="shared" si="22"/>
        <v>0</v>
      </c>
      <c r="M42">
        <f t="shared" si="23"/>
        <v>4309894.3226051889</v>
      </c>
      <c r="N42">
        <f t="shared" si="24"/>
        <v>4092732.0246968325</v>
      </c>
      <c r="O42">
        <f t="shared" si="35"/>
        <v>177149.30984166637</v>
      </c>
      <c r="P42">
        <f t="shared" si="36"/>
        <v>0</v>
      </c>
      <c r="Q42">
        <f t="shared" si="37"/>
        <v>4092732.0246968325</v>
      </c>
      <c r="R42">
        <f t="shared" si="38"/>
        <v>0</v>
      </c>
      <c r="S42">
        <f t="shared" si="39"/>
        <v>0</v>
      </c>
      <c r="T42">
        <f t="shared" si="40"/>
        <v>4092732.0246968325</v>
      </c>
      <c r="U42">
        <f t="shared" si="41"/>
        <v>177149.30984166637</v>
      </c>
      <c r="V42">
        <f t="shared" si="42"/>
        <v>0</v>
      </c>
      <c r="W42">
        <f t="shared" si="43"/>
        <v>4092732.0246968325</v>
      </c>
      <c r="X42" s="44">
        <f t="shared" si="15"/>
        <v>539528.87556844484</v>
      </c>
      <c r="Y42" s="28">
        <f t="shared" si="16"/>
        <v>31562.604940340931</v>
      </c>
      <c r="Z42" s="28">
        <f t="shared" si="17"/>
        <v>4061169.4197564917</v>
      </c>
      <c r="AA42">
        <f t="shared" si="18"/>
        <v>0</v>
      </c>
      <c r="AB42" s="28">
        <f t="shared" si="19"/>
        <v>4061169.4197564917</v>
      </c>
      <c r="AD42" s="28">
        <f t="shared" si="20"/>
        <v>0</v>
      </c>
      <c r="AE42" s="28">
        <f t="shared" si="21"/>
        <v>4061169.4197564917</v>
      </c>
      <c r="AF42" s="51"/>
      <c r="AG42" t="str">
        <f t="shared" si="34"/>
        <v>5301410</v>
      </c>
    </row>
    <row r="43" spans="1:33" x14ac:dyDescent="0.25">
      <c r="A43" s="7" t="s">
        <v>274</v>
      </c>
      <c r="B43" s="2" t="s">
        <v>741</v>
      </c>
      <c r="C43" s="4" t="s">
        <v>740</v>
      </c>
      <c r="D43">
        <f>_xlfn.IFNA(VLOOKUP(A43,'Prior Year data'!$A$1:$T$317,12,FALSE),0)</f>
        <v>91595.005816865654</v>
      </c>
      <c r="E43">
        <f>VLOOKUP(A43,'Basic HH'!$B$1:$Y$321,23,FALSE)</f>
        <v>38705.904533467925</v>
      </c>
      <c r="F43">
        <f>VLOOKUP(A43,'Conc. HH'!$B$1:$Y$321,23,FALSE)</f>
        <v>0</v>
      </c>
      <c r="G43">
        <f>VLOOKUP(A43,'Targeted HH'!$B$1:$Y$321,23,FALSE)</f>
        <v>18521.833546206282</v>
      </c>
      <c r="H43">
        <f>VLOOKUP(A43,'EFIG HH'!$B$1:$Y$321,23,FALSE)</f>
        <v>25537.653595010896</v>
      </c>
      <c r="I43">
        <f t="shared" si="0"/>
        <v>82765.391674685103</v>
      </c>
      <c r="J43">
        <f t="shared" si="1"/>
        <v>91595.005816865654</v>
      </c>
      <c r="K43" s="44">
        <f t="shared" si="2"/>
        <v>77005.613320806748</v>
      </c>
      <c r="L43">
        <f t="shared" si="22"/>
        <v>5759.7783538783551</v>
      </c>
      <c r="M43">
        <f t="shared" si="23"/>
        <v>0</v>
      </c>
      <c r="N43">
        <f t="shared" si="24"/>
        <v>82765.391674685103</v>
      </c>
      <c r="O43">
        <f t="shared" si="35"/>
        <v>0</v>
      </c>
      <c r="P43">
        <f t="shared" si="36"/>
        <v>0</v>
      </c>
      <c r="Q43">
        <f t="shared" si="37"/>
        <v>82765.391674685103</v>
      </c>
      <c r="R43">
        <f t="shared" si="38"/>
        <v>0</v>
      </c>
      <c r="S43">
        <f t="shared" si="39"/>
        <v>0</v>
      </c>
      <c r="T43">
        <f t="shared" si="40"/>
        <v>82765.391674685103</v>
      </c>
      <c r="U43">
        <f t="shared" si="41"/>
        <v>0</v>
      </c>
      <c r="V43">
        <f t="shared" si="42"/>
        <v>0</v>
      </c>
      <c r="W43">
        <f t="shared" si="43"/>
        <v>82765.391674685103</v>
      </c>
      <c r="X43" s="44">
        <f t="shared" si="15"/>
        <v>0</v>
      </c>
      <c r="Y43" s="28">
        <f t="shared" si="16"/>
        <v>638.27569076042118</v>
      </c>
      <c r="Z43" s="28">
        <f t="shared" si="17"/>
        <v>82127.115983924683</v>
      </c>
      <c r="AA43">
        <f t="shared" si="18"/>
        <v>0</v>
      </c>
      <c r="AB43" s="28">
        <f t="shared" si="19"/>
        <v>82127.115983924683</v>
      </c>
      <c r="AD43" s="28">
        <f t="shared" si="20"/>
        <v>0</v>
      </c>
      <c r="AE43" s="28">
        <f t="shared" si="21"/>
        <v>82127.115983924683</v>
      </c>
      <c r="AF43" s="51"/>
      <c r="AG43" t="str">
        <f t="shared" si="34"/>
        <v>5301440</v>
      </c>
    </row>
    <row r="44" spans="1:33" x14ac:dyDescent="0.25">
      <c r="A44" s="7" t="s">
        <v>352</v>
      </c>
      <c r="B44" s="2" t="s">
        <v>743</v>
      </c>
      <c r="C44" s="4" t="s">
        <v>742</v>
      </c>
      <c r="D44">
        <f>_xlfn.IFNA(VLOOKUP(A44,'Prior Year data'!$A$1:$T$317,12,FALSE),0)</f>
        <v>408958.6155536123</v>
      </c>
      <c r="E44">
        <f>VLOOKUP(A44,'Basic HH'!$B$1:$Y$321,23,FALSE)</f>
        <v>184068.0793369365</v>
      </c>
      <c r="F44">
        <f>VLOOKUP(A44,'Conc. HH'!$B$1:$Y$321,23,FALSE)</f>
        <v>0</v>
      </c>
      <c r="G44">
        <f>VLOOKUP(A44,'Targeted HH'!$B$1:$Y$321,23,FALSE)</f>
        <v>88081.6084197366</v>
      </c>
      <c r="H44">
        <f>VLOOKUP(A44,'EFIG HH'!$B$1:$Y$321,23,FALSE)</f>
        <v>121445.73042960737</v>
      </c>
      <c r="I44">
        <f t="shared" si="0"/>
        <v>393595.41818628047</v>
      </c>
      <c r="J44">
        <f t="shared" si="1"/>
        <v>408958.6155536123</v>
      </c>
      <c r="K44" s="44">
        <f t="shared" si="2"/>
        <v>366204.47223672562</v>
      </c>
      <c r="L44">
        <f t="shared" si="22"/>
        <v>27390.945949554851</v>
      </c>
      <c r="M44">
        <f t="shared" si="23"/>
        <v>0</v>
      </c>
      <c r="N44">
        <f t="shared" si="24"/>
        <v>393595.41818628047</v>
      </c>
      <c r="O44">
        <f t="shared" si="35"/>
        <v>0</v>
      </c>
      <c r="P44">
        <f t="shared" si="36"/>
        <v>0</v>
      </c>
      <c r="Q44">
        <f t="shared" si="37"/>
        <v>393595.41818628047</v>
      </c>
      <c r="R44">
        <f t="shared" si="38"/>
        <v>0</v>
      </c>
      <c r="S44">
        <f t="shared" si="39"/>
        <v>0</v>
      </c>
      <c r="T44">
        <f t="shared" si="40"/>
        <v>393595.41818628047</v>
      </c>
      <c r="U44">
        <f t="shared" si="41"/>
        <v>0</v>
      </c>
      <c r="V44">
        <f t="shared" si="42"/>
        <v>0</v>
      </c>
      <c r="W44">
        <f t="shared" si="43"/>
        <v>393595.41818628047</v>
      </c>
      <c r="X44" s="44">
        <f t="shared" si="15"/>
        <v>0</v>
      </c>
      <c r="Y44" s="28">
        <f t="shared" si="16"/>
        <v>3035.3555071717828</v>
      </c>
      <c r="Z44" s="28">
        <f t="shared" si="17"/>
        <v>390560.0626791087</v>
      </c>
      <c r="AA44">
        <f t="shared" si="18"/>
        <v>0</v>
      </c>
      <c r="AB44" s="28">
        <f t="shared" si="19"/>
        <v>390560.0626791087</v>
      </c>
      <c r="AD44" s="28">
        <f t="shared" si="20"/>
        <v>0</v>
      </c>
      <c r="AE44" s="28">
        <f t="shared" si="21"/>
        <v>390560.0626791087</v>
      </c>
      <c r="AF44" s="51"/>
      <c r="AG44" t="str">
        <f t="shared" si="34"/>
        <v>5301470</v>
      </c>
    </row>
    <row r="45" spans="1:33" x14ac:dyDescent="0.25">
      <c r="A45" s="7" t="s">
        <v>354</v>
      </c>
      <c r="B45" s="2" t="s">
        <v>745</v>
      </c>
      <c r="C45" s="4" t="s">
        <v>744</v>
      </c>
      <c r="D45">
        <f>_xlfn.IFNA(VLOOKUP(A45,'Prior Year data'!$A$1:$T$317,12,FALSE),0)</f>
        <v>30782.532684943802</v>
      </c>
      <c r="E45">
        <f>VLOOKUP(A45,'Basic HH'!$B$1:$Y$321,23,FALSE)</f>
        <v>14622.230601532345</v>
      </c>
      <c r="F45">
        <f>VLOOKUP(A45,'Conc. HH'!$B$1:$Y$321,23,FALSE)</f>
        <v>0</v>
      </c>
      <c r="G45">
        <f>VLOOKUP(A45,'Targeted HH'!$B$1:$Y$321,23,FALSE)</f>
        <v>6997.1371174557089</v>
      </c>
      <c r="H45">
        <f>VLOOKUP(A45,'EFIG HH'!$B$1:$Y$321,23,FALSE)</f>
        <v>9647.5580247818925</v>
      </c>
      <c r="I45">
        <f t="shared" si="0"/>
        <v>31266.925743769949</v>
      </c>
      <c r="J45">
        <f t="shared" si="1"/>
        <v>30782.532684943802</v>
      </c>
      <c r="K45" s="44">
        <f t="shared" si="2"/>
        <v>29091.009476749237</v>
      </c>
      <c r="L45">
        <f t="shared" si="22"/>
        <v>1691.5232081945651</v>
      </c>
      <c r="M45">
        <f t="shared" si="23"/>
        <v>0</v>
      </c>
      <c r="N45">
        <f t="shared" si="24"/>
        <v>30782.532684943802</v>
      </c>
      <c r="O45">
        <f t="shared" si="35"/>
        <v>0</v>
      </c>
      <c r="P45">
        <f t="shared" si="36"/>
        <v>0</v>
      </c>
      <c r="Q45">
        <f t="shared" si="37"/>
        <v>30782.532684943802</v>
      </c>
      <c r="R45">
        <f t="shared" si="38"/>
        <v>0</v>
      </c>
      <c r="S45">
        <f t="shared" si="39"/>
        <v>0</v>
      </c>
      <c r="T45">
        <f t="shared" si="40"/>
        <v>30782.532684943802</v>
      </c>
      <c r="U45">
        <f t="shared" si="41"/>
        <v>0</v>
      </c>
      <c r="V45">
        <f t="shared" si="42"/>
        <v>0</v>
      </c>
      <c r="W45">
        <f t="shared" si="43"/>
        <v>30782.532684943802</v>
      </c>
      <c r="X45" s="44">
        <f t="shared" si="15"/>
        <v>484.39305882614644</v>
      </c>
      <c r="Y45" s="28">
        <f t="shared" si="16"/>
        <v>237.39079723158338</v>
      </c>
      <c r="Z45" s="28">
        <f t="shared" si="17"/>
        <v>30545.14188771222</v>
      </c>
      <c r="AA45">
        <f t="shared" si="18"/>
        <v>0</v>
      </c>
      <c r="AB45" s="28">
        <f t="shared" si="19"/>
        <v>30545.14188771222</v>
      </c>
      <c r="AD45" s="28">
        <f t="shared" si="20"/>
        <v>0</v>
      </c>
      <c r="AE45" s="28">
        <f t="shared" si="21"/>
        <v>30545.14188771222</v>
      </c>
      <c r="AF45" s="51"/>
      <c r="AG45" t="str">
        <f t="shared" si="34"/>
        <v>5301500</v>
      </c>
    </row>
    <row r="46" spans="1:33" x14ac:dyDescent="0.25">
      <c r="A46" s="7" t="s">
        <v>356</v>
      </c>
      <c r="B46" s="2" t="s">
        <v>747</v>
      </c>
      <c r="C46" s="4" t="s">
        <v>746</v>
      </c>
      <c r="D46">
        <f>_xlfn.IFNA(VLOOKUP(A46,'Prior Year data'!$A$1:$T$317,12,FALSE),0)</f>
        <v>80865.336295257483</v>
      </c>
      <c r="E46">
        <f>VLOOKUP(A46,'Basic HH'!$B$1:$Y$321,23,FALSE)</f>
        <v>36125.510897903412</v>
      </c>
      <c r="F46">
        <f>VLOOKUP(A46,'Conc. HH'!$B$1:$Y$321,23,FALSE)</f>
        <v>9496.5863581092162</v>
      </c>
      <c r="G46">
        <f>VLOOKUP(A46,'Targeted HH'!$B$1:$Y$321,23,FALSE)</f>
        <v>20392.847431598904</v>
      </c>
      <c r="H46">
        <f>VLOOKUP(A46,'EFIG HH'!$B$1:$Y$321,23,FALSE)</f>
        <v>28117.382235666915</v>
      </c>
      <c r="I46">
        <f t="shared" si="0"/>
        <v>94132.326923278437</v>
      </c>
      <c r="J46">
        <f t="shared" si="1"/>
        <v>80865.336295257483</v>
      </c>
      <c r="K46" s="44">
        <f t="shared" si="2"/>
        <v>87581.505039368567</v>
      </c>
      <c r="L46">
        <f t="shared" si="22"/>
        <v>0</v>
      </c>
      <c r="M46">
        <f t="shared" si="23"/>
        <v>87581.505039368567</v>
      </c>
      <c r="N46">
        <f t="shared" si="24"/>
        <v>83168.542802947661</v>
      </c>
      <c r="O46">
        <f t="shared" si="35"/>
        <v>0</v>
      </c>
      <c r="P46">
        <f t="shared" si="36"/>
        <v>83168.542802947661</v>
      </c>
      <c r="Q46">
        <f t="shared" si="37"/>
        <v>83168.542802947661</v>
      </c>
      <c r="R46">
        <f t="shared" si="38"/>
        <v>0</v>
      </c>
      <c r="S46">
        <f t="shared" si="39"/>
        <v>83168.542802947661</v>
      </c>
      <c r="T46">
        <f t="shared" si="40"/>
        <v>83168.542802947661</v>
      </c>
      <c r="U46">
        <f t="shared" si="41"/>
        <v>0</v>
      </c>
      <c r="V46">
        <f t="shared" si="42"/>
        <v>83168.542802947661</v>
      </c>
      <c r="W46">
        <f t="shared" si="43"/>
        <v>83168.542802947661</v>
      </c>
      <c r="X46" s="44">
        <f t="shared" si="15"/>
        <v>10963.784120330776</v>
      </c>
      <c r="Y46" s="28">
        <f t="shared" si="16"/>
        <v>641.3847386325566</v>
      </c>
      <c r="Z46" s="28">
        <f t="shared" si="17"/>
        <v>82527.15806431511</v>
      </c>
      <c r="AA46">
        <f t="shared" si="18"/>
        <v>0</v>
      </c>
      <c r="AB46" s="28">
        <f t="shared" si="19"/>
        <v>82527.15806431511</v>
      </c>
      <c r="AD46" s="28">
        <f t="shared" si="20"/>
        <v>0</v>
      </c>
      <c r="AE46" s="28">
        <f t="shared" si="21"/>
        <v>82527.15806431511</v>
      </c>
      <c r="AF46" s="51"/>
      <c r="AG46" t="str">
        <f t="shared" si="34"/>
        <v>5301560</v>
      </c>
    </row>
    <row r="47" spans="1:33" x14ac:dyDescent="0.25">
      <c r="A47" s="7" t="s">
        <v>357</v>
      </c>
      <c r="B47" s="2" t="s">
        <v>749</v>
      </c>
      <c r="C47" s="4" t="s">
        <v>748</v>
      </c>
      <c r="D47">
        <f>_xlfn.IFNA(VLOOKUP(A47,'Prior Year data'!$A$1:$T$317,12,FALSE),0)</f>
        <v>244800.28730071013</v>
      </c>
      <c r="E47">
        <f>VLOOKUP(A47,'Basic HH'!$B$1:$Y$321,23,FALSE)</f>
        <v>88119.434482081328</v>
      </c>
      <c r="F47">
        <f>VLOOKUP(A47,'Conc. HH'!$B$1:$Y$321,23,FALSE)</f>
        <v>22573.165743120931</v>
      </c>
      <c r="G47">
        <f>VLOOKUP(A47,'Targeted HH'!$B$1:$Y$321,23,FALSE)</f>
        <v>42048.386874260774</v>
      </c>
      <c r="H47">
        <f>VLOOKUP(A47,'EFIG HH'!$B$1:$Y$321,23,FALSE)</f>
        <v>57885.348148691366</v>
      </c>
      <c r="I47">
        <f t="shared" si="0"/>
        <v>210626.33524815441</v>
      </c>
      <c r="J47">
        <f t="shared" si="1"/>
        <v>244800.28730071013</v>
      </c>
      <c r="K47" s="44">
        <f t="shared" si="2"/>
        <v>195968.5056653808</v>
      </c>
      <c r="L47">
        <f t="shared" si="22"/>
        <v>14657.829582773615</v>
      </c>
      <c r="M47">
        <f t="shared" si="23"/>
        <v>0</v>
      </c>
      <c r="N47">
        <f t="shared" si="24"/>
        <v>210626.33524815441</v>
      </c>
      <c r="O47">
        <f t="shared" si="35"/>
        <v>0</v>
      </c>
      <c r="P47">
        <f t="shared" si="36"/>
        <v>0</v>
      </c>
      <c r="Q47">
        <f t="shared" si="37"/>
        <v>210626.33524815441</v>
      </c>
      <c r="R47">
        <f t="shared" si="38"/>
        <v>0</v>
      </c>
      <c r="S47">
        <f t="shared" si="39"/>
        <v>0</v>
      </c>
      <c r="T47">
        <f t="shared" si="40"/>
        <v>210626.33524815441</v>
      </c>
      <c r="U47">
        <f t="shared" si="41"/>
        <v>0</v>
      </c>
      <c r="V47">
        <f t="shared" si="42"/>
        <v>0</v>
      </c>
      <c r="W47">
        <f t="shared" si="43"/>
        <v>210626.33524815441</v>
      </c>
      <c r="X47" s="44">
        <f t="shared" si="15"/>
        <v>0</v>
      </c>
      <c r="Y47" s="28">
        <f t="shared" si="16"/>
        <v>1624.3222789456258</v>
      </c>
      <c r="Z47" s="28">
        <f t="shared" si="17"/>
        <v>209002.01296920879</v>
      </c>
      <c r="AA47">
        <f t="shared" si="18"/>
        <v>0</v>
      </c>
      <c r="AB47" s="28">
        <f t="shared" si="19"/>
        <v>209002.01296920879</v>
      </c>
      <c r="AD47" s="28">
        <f t="shared" si="20"/>
        <v>0</v>
      </c>
      <c r="AE47" s="28">
        <f t="shared" si="21"/>
        <v>209002.01296920879</v>
      </c>
      <c r="AF47" s="51"/>
      <c r="AG47" t="str">
        <f t="shared" si="34"/>
        <v>5301590</v>
      </c>
    </row>
    <row r="48" spans="1:33" x14ac:dyDescent="0.25">
      <c r="A48" s="7" t="s">
        <v>358</v>
      </c>
      <c r="B48" s="2" t="s">
        <v>751</v>
      </c>
      <c r="C48" s="4" t="s">
        <v>750</v>
      </c>
      <c r="D48">
        <f>_xlfn.IFNA(VLOOKUP(A48,'Prior Year data'!$A$1:$T$317,12,FALSE),0)</f>
        <v>681690.59035929944</v>
      </c>
      <c r="E48">
        <f>VLOOKUP(A48,'Basic HH'!$B$1:$Y$321,23,FALSE)</f>
        <v>277822.38142911426</v>
      </c>
      <c r="F48">
        <f>VLOOKUP(A48,'Conc. HH'!$B$1:$Y$321,23,FALSE)</f>
        <v>73033.271277839958</v>
      </c>
      <c r="G48">
        <f>VLOOKUP(A48,'Targeted HH'!$B$1:$Y$321,23,FALSE)</f>
        <v>139412.21575203945</v>
      </c>
      <c r="H48">
        <f>VLOOKUP(A48,'EFIG HH'!$B$1:$Y$321,23,FALSE)</f>
        <v>192240.19730086092</v>
      </c>
      <c r="I48">
        <f t="shared" si="0"/>
        <v>682508.06575985462</v>
      </c>
      <c r="J48">
        <f t="shared" si="1"/>
        <v>681690.59035929944</v>
      </c>
      <c r="K48" s="44">
        <f t="shared" si="2"/>
        <v>635011.21829778468</v>
      </c>
      <c r="L48">
        <f t="shared" si="22"/>
        <v>46679.372061514761</v>
      </c>
      <c r="M48">
        <f t="shared" si="23"/>
        <v>0</v>
      </c>
      <c r="N48">
        <f t="shared" si="24"/>
        <v>681690.59035929944</v>
      </c>
      <c r="O48">
        <f t="shared" si="35"/>
        <v>0</v>
      </c>
      <c r="P48">
        <f t="shared" si="36"/>
        <v>0</v>
      </c>
      <c r="Q48">
        <f t="shared" si="37"/>
        <v>681690.59035929944</v>
      </c>
      <c r="R48">
        <f t="shared" si="38"/>
        <v>0</v>
      </c>
      <c r="S48">
        <f t="shared" si="39"/>
        <v>0</v>
      </c>
      <c r="T48">
        <f t="shared" si="40"/>
        <v>681690.59035929944</v>
      </c>
      <c r="U48">
        <f t="shared" si="41"/>
        <v>0</v>
      </c>
      <c r="V48">
        <f t="shared" si="42"/>
        <v>0</v>
      </c>
      <c r="W48">
        <f t="shared" si="43"/>
        <v>681690.59035929944</v>
      </c>
      <c r="X48" s="44">
        <f t="shared" si="15"/>
        <v>817.47540055518039</v>
      </c>
      <c r="Y48" s="28">
        <f t="shared" si="16"/>
        <v>5257.1071512193948</v>
      </c>
      <c r="Z48" s="28">
        <f t="shared" si="17"/>
        <v>676433.48320808006</v>
      </c>
      <c r="AA48">
        <f t="shared" si="18"/>
        <v>0</v>
      </c>
      <c r="AB48" s="28">
        <f t="shared" si="19"/>
        <v>676433.48320808006</v>
      </c>
      <c r="AD48" s="28">
        <f t="shared" si="20"/>
        <v>0</v>
      </c>
      <c r="AE48" s="28">
        <f t="shared" si="21"/>
        <v>676433.48320808006</v>
      </c>
      <c r="AF48" s="51"/>
      <c r="AG48" t="str">
        <f t="shared" si="34"/>
        <v>5301630</v>
      </c>
    </row>
    <row r="49" spans="1:33" x14ac:dyDescent="0.25">
      <c r="A49" s="7" t="s">
        <v>360</v>
      </c>
      <c r="B49" s="2" t="s">
        <v>753</v>
      </c>
      <c r="C49" s="4" t="s">
        <v>752</v>
      </c>
      <c r="D49">
        <f>_xlfn.IFNA(VLOOKUP(A49,'Prior Year data'!$A$1:$T$317,12,FALSE),0)</f>
        <v>274676.88247517968</v>
      </c>
      <c r="E49">
        <f>VLOOKUP(A49,'Basic HH'!$B$1:$Y$321,23,FALSE)</f>
        <v>120418.36965967811</v>
      </c>
      <c r="F49">
        <f>VLOOKUP(A49,'Conc. HH'!$B$1:$Y$321,23,FALSE)</f>
        <v>31655.287860364053</v>
      </c>
      <c r="G49">
        <f>VLOOKUP(A49,'Targeted HH'!$B$1:$Y$321,23,FALSE)</f>
        <v>66405.053864680202</v>
      </c>
      <c r="H49">
        <f>VLOOKUP(A49,'EFIG HH'!$B$1:$Y$321,23,FALSE)</f>
        <v>91558.390173611566</v>
      </c>
      <c r="I49">
        <f t="shared" si="0"/>
        <v>310037.1015583339</v>
      </c>
      <c r="J49">
        <f t="shared" si="1"/>
        <v>274676.88247517968</v>
      </c>
      <c r="K49" s="44">
        <f t="shared" si="2"/>
        <v>288461.11490108632</v>
      </c>
      <c r="L49">
        <f t="shared" si="22"/>
        <v>0</v>
      </c>
      <c r="M49">
        <f t="shared" si="23"/>
        <v>288461.11490108632</v>
      </c>
      <c r="N49">
        <f t="shared" si="24"/>
        <v>273926.44795100187</v>
      </c>
      <c r="O49">
        <f t="shared" si="35"/>
        <v>750.43452417780645</v>
      </c>
      <c r="P49">
        <f t="shared" si="36"/>
        <v>0</v>
      </c>
      <c r="Q49">
        <f t="shared" si="37"/>
        <v>273926.44795100187</v>
      </c>
      <c r="R49">
        <f t="shared" si="38"/>
        <v>0</v>
      </c>
      <c r="S49">
        <f t="shared" si="39"/>
        <v>0</v>
      </c>
      <c r="T49">
        <f t="shared" si="40"/>
        <v>273926.44795100187</v>
      </c>
      <c r="U49">
        <f t="shared" si="41"/>
        <v>750.43452417780645</v>
      </c>
      <c r="V49">
        <f t="shared" si="42"/>
        <v>0</v>
      </c>
      <c r="W49">
        <f t="shared" si="43"/>
        <v>273926.44795100187</v>
      </c>
      <c r="X49" s="44">
        <f t="shared" si="15"/>
        <v>36110.653607332031</v>
      </c>
      <c r="Y49" s="28">
        <f t="shared" si="16"/>
        <v>2112.4843276365673</v>
      </c>
      <c r="Z49" s="28">
        <f t="shared" si="17"/>
        <v>271813.96362336533</v>
      </c>
      <c r="AA49">
        <f t="shared" si="18"/>
        <v>0</v>
      </c>
      <c r="AB49" s="28">
        <f t="shared" si="19"/>
        <v>271813.96362336533</v>
      </c>
      <c r="AD49" s="28">
        <f t="shared" si="20"/>
        <v>0</v>
      </c>
      <c r="AE49" s="28">
        <f t="shared" si="21"/>
        <v>271813.96362336533</v>
      </c>
      <c r="AF49" s="51"/>
      <c r="AG49" t="str">
        <f t="shared" si="34"/>
        <v>5301660</v>
      </c>
    </row>
    <row r="50" spans="1:33" x14ac:dyDescent="0.25">
      <c r="A50" s="7" t="s">
        <v>115</v>
      </c>
      <c r="B50" s="2" t="s">
        <v>755</v>
      </c>
      <c r="C50" s="4" t="s">
        <v>754</v>
      </c>
      <c r="D50">
        <f>_xlfn.IFNA(VLOOKUP(A50,'Prior Year data'!$A$1:$T$317,12,FALSE),0)</f>
        <v>73878.078443865146</v>
      </c>
      <c r="E50">
        <f>VLOOKUP(A50,'Basic HH'!$B$1:$Y$321,23,FALSE)</f>
        <v>50747.74149943576</v>
      </c>
      <c r="F50">
        <f>VLOOKUP(A50,'Conc. HH'!$B$1:$Y$321,23,FALSE)</f>
        <v>0</v>
      </c>
      <c r="G50">
        <f>VLOOKUP(A50,'Targeted HH'!$B$1:$Y$321,23,FALSE)</f>
        <v>24284.181760581589</v>
      </c>
      <c r="H50">
        <f>VLOOKUP(A50,'EFIG HH'!$B$1:$Y$321,23,FALSE)</f>
        <v>33482.701380125385</v>
      </c>
      <c r="I50">
        <f t="shared" si="0"/>
        <v>108514.62464014275</v>
      </c>
      <c r="J50">
        <f t="shared" si="1"/>
        <v>73878.078443865146</v>
      </c>
      <c r="K50" s="44">
        <f t="shared" si="2"/>
        <v>100962.91524283557</v>
      </c>
      <c r="L50">
        <f t="shared" si="22"/>
        <v>0</v>
      </c>
      <c r="M50">
        <f t="shared" si="23"/>
        <v>100962.91524283557</v>
      </c>
      <c r="N50">
        <f t="shared" si="24"/>
        <v>95875.704968870516</v>
      </c>
      <c r="O50">
        <f t="shared" si="35"/>
        <v>0</v>
      </c>
      <c r="P50">
        <f t="shared" si="36"/>
        <v>95875.704968870516</v>
      </c>
      <c r="Q50">
        <f t="shared" si="37"/>
        <v>95875.704968870516</v>
      </c>
      <c r="R50">
        <f t="shared" si="38"/>
        <v>0</v>
      </c>
      <c r="S50">
        <f t="shared" si="39"/>
        <v>95875.704968870516</v>
      </c>
      <c r="T50">
        <f t="shared" si="40"/>
        <v>95875.704968870516</v>
      </c>
      <c r="U50">
        <f t="shared" si="41"/>
        <v>0</v>
      </c>
      <c r="V50">
        <f t="shared" si="42"/>
        <v>95875.704968870516</v>
      </c>
      <c r="W50">
        <f t="shared" si="43"/>
        <v>95875.704968870516</v>
      </c>
      <c r="X50" s="44">
        <f t="shared" si="15"/>
        <v>12638.919671272233</v>
      </c>
      <c r="Y50" s="28">
        <f t="shared" si="16"/>
        <v>739.38068289073931</v>
      </c>
      <c r="Z50" s="28">
        <f t="shared" si="17"/>
        <v>95136.324285979776</v>
      </c>
      <c r="AA50">
        <f t="shared" si="18"/>
        <v>0</v>
      </c>
      <c r="AB50" s="28">
        <f t="shared" si="19"/>
        <v>95136.324285979776</v>
      </c>
      <c r="AD50" s="28">
        <f t="shared" si="20"/>
        <v>0</v>
      </c>
      <c r="AE50" s="28">
        <f t="shared" si="21"/>
        <v>95136.324285979776</v>
      </c>
      <c r="AF50" s="51"/>
      <c r="AG50" t="str">
        <f t="shared" si="34"/>
        <v>5301680</v>
      </c>
    </row>
    <row r="51" spans="1:33" x14ac:dyDescent="0.25">
      <c r="A51" s="7" t="s">
        <v>117</v>
      </c>
      <c r="B51" s="2" t="s">
        <v>757</v>
      </c>
      <c r="C51" s="4" t="s">
        <v>756</v>
      </c>
      <c r="D51">
        <f>_xlfn.IFNA(VLOOKUP(A51,'Prior Year data'!$A$1:$T$317,12,FALSE),0)</f>
        <v>44634.672393168505</v>
      </c>
      <c r="E51">
        <f>VLOOKUP(A51,'Basic HH'!$B$1:$Y$321,23,FALSE)</f>
        <v>43006.560592742171</v>
      </c>
      <c r="F51">
        <f>VLOOKUP(A51,'Conc. HH'!$B$1:$Y$321,23,FALSE)</f>
        <v>11305.45995013002</v>
      </c>
      <c r="G51">
        <f>VLOOKUP(A51,'Targeted HH'!$B$1:$Y$321,23,FALSE)</f>
        <v>20864.742590726113</v>
      </c>
      <c r="H51">
        <f>VLOOKUP(A51,'EFIG HH'!$B$1:$Y$321,23,FALSE)</f>
        <v>28768.024898926469</v>
      </c>
      <c r="I51">
        <f t="shared" si="0"/>
        <v>103944.78803252477</v>
      </c>
      <c r="J51">
        <f t="shared" si="1"/>
        <v>44634.672393168505</v>
      </c>
      <c r="K51" s="44">
        <f t="shared" si="2"/>
        <v>96711.101004721699</v>
      </c>
      <c r="L51">
        <f t="shared" si="22"/>
        <v>0</v>
      </c>
      <c r="M51">
        <f t="shared" si="23"/>
        <v>96711.101004721699</v>
      </c>
      <c r="N51">
        <f t="shared" si="24"/>
        <v>91838.126552128277</v>
      </c>
      <c r="O51">
        <f t="shared" si="35"/>
        <v>0</v>
      </c>
      <c r="P51">
        <f t="shared" si="36"/>
        <v>91838.126552128277</v>
      </c>
      <c r="Q51">
        <f t="shared" si="37"/>
        <v>91838.126552128277</v>
      </c>
      <c r="R51">
        <f t="shared" si="38"/>
        <v>0</v>
      </c>
      <c r="S51">
        <f t="shared" si="39"/>
        <v>91838.126552128277</v>
      </c>
      <c r="T51">
        <f t="shared" si="40"/>
        <v>91838.126552128277</v>
      </c>
      <c r="U51">
        <f t="shared" si="41"/>
        <v>0</v>
      </c>
      <c r="V51">
        <f t="shared" si="42"/>
        <v>91838.126552128277</v>
      </c>
      <c r="W51">
        <f t="shared" si="43"/>
        <v>91838.126552128277</v>
      </c>
      <c r="X51" s="44">
        <f t="shared" si="15"/>
        <v>12106.661480396491</v>
      </c>
      <c r="Y51" s="28">
        <f t="shared" si="16"/>
        <v>708.24341523815644</v>
      </c>
      <c r="Z51" s="28">
        <f t="shared" si="17"/>
        <v>91129.883136890116</v>
      </c>
      <c r="AA51">
        <f t="shared" si="18"/>
        <v>0</v>
      </c>
      <c r="AB51" s="28">
        <f t="shared" si="19"/>
        <v>91129.883136890116</v>
      </c>
      <c r="AD51" s="28">
        <f t="shared" si="20"/>
        <v>0</v>
      </c>
      <c r="AE51" s="28">
        <f t="shared" si="21"/>
        <v>91129.883136890116</v>
      </c>
      <c r="AF51" s="51"/>
      <c r="AG51" t="str">
        <f t="shared" si="34"/>
        <v>5301710</v>
      </c>
    </row>
    <row r="52" spans="1:33" x14ac:dyDescent="0.25">
      <c r="A52" s="7" t="s">
        <v>362</v>
      </c>
      <c r="B52" s="2" t="s">
        <v>759</v>
      </c>
      <c r="C52" s="4" t="s">
        <v>758</v>
      </c>
      <c r="D52">
        <f>_xlfn.IFNA(VLOOKUP(A52,'Prior Year data'!$A$1:$T$317,12,FALSE),0)</f>
        <v>75290.492569915048</v>
      </c>
      <c r="E52">
        <f>VLOOKUP(A52,'Basic HH'!$B$1:$Y$321,23,FALSE)</f>
        <v>34405.248474193737</v>
      </c>
      <c r="F52">
        <f>VLOOKUP(A52,'Conc. HH'!$B$1:$Y$321,23,FALSE)</f>
        <v>9044.3679601040167</v>
      </c>
      <c r="G52">
        <f>VLOOKUP(A52,'Targeted HH'!$B$1:$Y$321,23,FALSE)</f>
        <v>16932.269211455805</v>
      </c>
      <c r="H52">
        <f>VLOOKUP(A52,'EFIG HH'!$B$1:$Y$321,23,FALSE)</f>
        <v>23345.983788316396</v>
      </c>
      <c r="I52">
        <f t="shared" si="0"/>
        <v>83727.869434069959</v>
      </c>
      <c r="J52">
        <f t="shared" si="1"/>
        <v>75290.492569915048</v>
      </c>
      <c r="K52" s="44">
        <f t="shared" si="2"/>
        <v>77901.110685941996</v>
      </c>
      <c r="L52">
        <f t="shared" si="22"/>
        <v>0</v>
      </c>
      <c r="M52">
        <f t="shared" si="23"/>
        <v>77901.110685941996</v>
      </c>
      <c r="N52">
        <f t="shared" si="24"/>
        <v>73975.913699685843</v>
      </c>
      <c r="O52">
        <f t="shared" si="35"/>
        <v>1314.5788702292048</v>
      </c>
      <c r="P52">
        <f t="shared" si="36"/>
        <v>0</v>
      </c>
      <c r="Q52">
        <f t="shared" si="37"/>
        <v>73975.913699685843</v>
      </c>
      <c r="R52">
        <f t="shared" si="38"/>
        <v>0</v>
      </c>
      <c r="S52">
        <f t="shared" si="39"/>
        <v>0</v>
      </c>
      <c r="T52">
        <f t="shared" si="40"/>
        <v>73975.913699685843</v>
      </c>
      <c r="U52">
        <f t="shared" si="41"/>
        <v>1314.5788702292048</v>
      </c>
      <c r="V52">
        <f t="shared" si="42"/>
        <v>0</v>
      </c>
      <c r="W52">
        <f t="shared" si="43"/>
        <v>73975.913699685843</v>
      </c>
      <c r="X52" s="44">
        <f t="shared" si="15"/>
        <v>9751.9557343841152</v>
      </c>
      <c r="Y52" s="28">
        <f t="shared" si="16"/>
        <v>570.49240583419169</v>
      </c>
      <c r="Z52" s="28">
        <f t="shared" si="17"/>
        <v>73405.421293851658</v>
      </c>
      <c r="AA52">
        <f t="shared" si="18"/>
        <v>0</v>
      </c>
      <c r="AB52" s="28">
        <f t="shared" si="19"/>
        <v>73405.421293851658</v>
      </c>
      <c r="AD52" s="28">
        <f t="shared" si="20"/>
        <v>0</v>
      </c>
      <c r="AE52" s="28">
        <f t="shared" si="21"/>
        <v>73405.421293851658</v>
      </c>
      <c r="AF52" s="51"/>
      <c r="AG52" t="str">
        <f t="shared" si="34"/>
        <v>5303440</v>
      </c>
    </row>
    <row r="53" spans="1:33" x14ac:dyDescent="0.25">
      <c r="A53" s="7" t="s">
        <v>364</v>
      </c>
      <c r="B53" s="2" t="s">
        <v>761</v>
      </c>
      <c r="C53" s="4" t="s">
        <v>760</v>
      </c>
      <c r="D53">
        <f>_xlfn.IFNA(VLOOKUP(A53,'Prior Year data'!$A$1:$T$317,12,FALSE),0)</f>
        <v>219898.44385806783</v>
      </c>
      <c r="E53">
        <f>VLOOKUP(A53,'Basic HH'!$B$1:$Y$321,23,FALSE)</f>
        <v>84467.834456753146</v>
      </c>
      <c r="F53">
        <f>VLOOKUP(A53,'Conc. HH'!$B$1:$Y$321,23,FALSE)</f>
        <v>0</v>
      </c>
      <c r="G53">
        <f>VLOOKUP(A53,'Targeted HH'!$B$1:$Y$321,23,FALSE)</f>
        <v>41059.341259011955</v>
      </c>
      <c r="H53">
        <f>VLOOKUP(A53,'EFIG HH'!$B$1:$Y$321,23,FALSE)</f>
        <v>56618.107832923997</v>
      </c>
      <c r="I53">
        <f t="shared" si="0"/>
        <v>182145.2835486891</v>
      </c>
      <c r="J53">
        <f t="shared" si="1"/>
        <v>219898.44385806783</v>
      </c>
      <c r="K53" s="44">
        <f t="shared" si="2"/>
        <v>169469.49672261576</v>
      </c>
      <c r="L53">
        <f t="shared" si="22"/>
        <v>12675.786826073338</v>
      </c>
      <c r="M53">
        <f t="shared" si="23"/>
        <v>0</v>
      </c>
      <c r="N53">
        <f t="shared" si="24"/>
        <v>182145.2835486891</v>
      </c>
      <c r="O53">
        <f t="shared" si="35"/>
        <v>0</v>
      </c>
      <c r="P53">
        <f t="shared" si="36"/>
        <v>0</v>
      </c>
      <c r="Q53">
        <f t="shared" si="37"/>
        <v>182145.2835486891</v>
      </c>
      <c r="R53">
        <f t="shared" si="38"/>
        <v>0</v>
      </c>
      <c r="S53">
        <f t="shared" si="39"/>
        <v>0</v>
      </c>
      <c r="T53">
        <f t="shared" si="40"/>
        <v>182145.2835486891</v>
      </c>
      <c r="U53">
        <f t="shared" si="41"/>
        <v>0</v>
      </c>
      <c r="V53">
        <f t="shared" si="42"/>
        <v>0</v>
      </c>
      <c r="W53">
        <f t="shared" si="43"/>
        <v>182145.2835486891</v>
      </c>
      <c r="X53" s="44">
        <f t="shared" si="15"/>
        <v>0</v>
      </c>
      <c r="Y53" s="28">
        <f t="shared" si="16"/>
        <v>1404.6801969204196</v>
      </c>
      <c r="Z53" s="28">
        <f t="shared" si="17"/>
        <v>180740.60335176869</v>
      </c>
      <c r="AA53">
        <f t="shared" si="18"/>
        <v>0</v>
      </c>
      <c r="AB53" s="28">
        <f t="shared" si="19"/>
        <v>180740.60335176869</v>
      </c>
      <c r="AD53" s="28">
        <f t="shared" si="20"/>
        <v>0</v>
      </c>
      <c r="AE53" s="28">
        <f t="shared" si="21"/>
        <v>180740.60335176869</v>
      </c>
      <c r="AF53" s="51"/>
      <c r="AG53" t="str">
        <f t="shared" si="34"/>
        <v>5301800</v>
      </c>
    </row>
    <row r="54" spans="1:33" x14ac:dyDescent="0.25">
      <c r="A54" s="7" t="s">
        <v>366</v>
      </c>
      <c r="B54" s="2" t="s">
        <v>763</v>
      </c>
      <c r="C54" s="4" t="s">
        <v>762</v>
      </c>
      <c r="D54">
        <f>_xlfn.IFNA(VLOOKUP(A54,'Prior Year data'!$A$1:$T$317,12,FALSE),0)</f>
        <v>113422.00329766047</v>
      </c>
      <c r="E54">
        <f>VLOOKUP(A54,'Basic HH'!$B$1:$Y$321,23,FALSE)</f>
        <v>61069.316041693892</v>
      </c>
      <c r="F54">
        <f>VLOOKUP(A54,'Conc. HH'!$B$1:$Y$321,23,FALSE)</f>
        <v>16053.753129184621</v>
      </c>
      <c r="G54">
        <f>VLOOKUP(A54,'Targeted HH'!$B$1:$Y$321,23,FALSE)</f>
        <v>34548.055820211783</v>
      </c>
      <c r="H54">
        <f>VLOOKUP(A54,'EFIG HH'!$B$1:$Y$321,23,FALSE)</f>
        <v>47634.392119800694</v>
      </c>
      <c r="I54">
        <f t="shared" si="0"/>
        <v>159305.517110891</v>
      </c>
      <c r="J54">
        <f t="shared" si="1"/>
        <v>113422.00329766047</v>
      </c>
      <c r="K54" s="44">
        <f t="shared" si="2"/>
        <v>148219.18681579307</v>
      </c>
      <c r="L54">
        <f t="shared" si="22"/>
        <v>0</v>
      </c>
      <c r="M54">
        <f t="shared" si="23"/>
        <v>148219.18681579307</v>
      </c>
      <c r="N54">
        <f t="shared" si="24"/>
        <v>140750.87859435871</v>
      </c>
      <c r="O54">
        <f t="shared" si="35"/>
        <v>0</v>
      </c>
      <c r="P54">
        <f t="shared" si="36"/>
        <v>140750.87859435871</v>
      </c>
      <c r="Q54">
        <f t="shared" si="37"/>
        <v>140750.87859435871</v>
      </c>
      <c r="R54">
        <f t="shared" si="38"/>
        <v>0</v>
      </c>
      <c r="S54">
        <f t="shared" si="39"/>
        <v>140750.87859435871</v>
      </c>
      <c r="T54">
        <f t="shared" si="40"/>
        <v>140750.87859435871</v>
      </c>
      <c r="U54">
        <f t="shared" si="41"/>
        <v>0</v>
      </c>
      <c r="V54">
        <f t="shared" si="42"/>
        <v>140750.87859435871</v>
      </c>
      <c r="W54">
        <f t="shared" si="43"/>
        <v>140750.87859435871</v>
      </c>
      <c r="X54" s="44">
        <f t="shared" si="15"/>
        <v>18554.638516532286</v>
      </c>
      <c r="Y54" s="28">
        <f t="shared" si="16"/>
        <v>1085.4520523875997</v>
      </c>
      <c r="Z54" s="28">
        <f t="shared" si="17"/>
        <v>139665.4265419711</v>
      </c>
      <c r="AA54">
        <f t="shared" si="18"/>
        <v>0</v>
      </c>
      <c r="AB54" s="28">
        <f t="shared" si="19"/>
        <v>139665.4265419711</v>
      </c>
      <c r="AD54" s="28">
        <f t="shared" si="20"/>
        <v>0</v>
      </c>
      <c r="AE54" s="28">
        <f t="shared" si="21"/>
        <v>139665.4265419711</v>
      </c>
      <c r="AF54" s="51"/>
      <c r="AG54" t="str">
        <f t="shared" si="34"/>
        <v>5301830</v>
      </c>
    </row>
    <row r="55" spans="1:33" x14ac:dyDescent="0.25">
      <c r="A55" s="7" t="s">
        <v>368</v>
      </c>
      <c r="B55" s="2" t="s">
        <v>765</v>
      </c>
      <c r="C55" s="8" t="s">
        <v>764</v>
      </c>
      <c r="D55">
        <f>_xlfn.IFNA(VLOOKUP(A55,'Prior Year data'!$A$1:$T$317,12,FALSE),0)</f>
        <v>33943.518751820506</v>
      </c>
      <c r="E55">
        <f>VLOOKUP(A55,'Basic HH'!$B$1:$Y$321,23,FALSE)</f>
        <v>13047.876867303326</v>
      </c>
      <c r="F55">
        <f>VLOOKUP(A55,'Conc. HH'!$B$1:$Y$321,23,FALSE)</f>
        <v>3417.311162017379</v>
      </c>
      <c r="G55">
        <f>VLOOKUP(A55,'Targeted HH'!$B$1:$Y$321,23,FALSE)</f>
        <v>6808.6736096702216</v>
      </c>
      <c r="H55">
        <f>VLOOKUP(A55,'EFIG HH'!$B$1:$Y$321,23,FALSE)</f>
        <v>9388.7092391401129</v>
      </c>
      <c r="I55">
        <f t="shared" si="0"/>
        <v>32662.570878131042</v>
      </c>
      <c r="J55">
        <f t="shared" si="1"/>
        <v>33943.518751820506</v>
      </c>
      <c r="K55" s="44">
        <f t="shared" si="2"/>
        <v>30389.529394012527</v>
      </c>
      <c r="L55">
        <f t="shared" si="22"/>
        <v>2273.0414841185157</v>
      </c>
      <c r="M55">
        <f t="shared" si="23"/>
        <v>0</v>
      </c>
      <c r="N55">
        <f t="shared" si="24"/>
        <v>32662.570878131042</v>
      </c>
      <c r="O55">
        <f t="shared" si="35"/>
        <v>0</v>
      </c>
      <c r="P55">
        <f t="shared" si="36"/>
        <v>0</v>
      </c>
      <c r="Q55">
        <f t="shared" si="37"/>
        <v>32662.570878131042</v>
      </c>
      <c r="R55">
        <f t="shared" si="38"/>
        <v>0</v>
      </c>
      <c r="S55">
        <f t="shared" si="39"/>
        <v>0</v>
      </c>
      <c r="T55">
        <f t="shared" si="40"/>
        <v>32662.570878131042</v>
      </c>
      <c r="U55">
        <f t="shared" si="41"/>
        <v>0</v>
      </c>
      <c r="V55">
        <f t="shared" si="42"/>
        <v>0</v>
      </c>
      <c r="W55">
        <f t="shared" si="43"/>
        <v>32662.570878131042</v>
      </c>
      <c r="X55" s="44">
        <f t="shared" si="15"/>
        <v>0</v>
      </c>
      <c r="Y55" s="28">
        <f t="shared" si="16"/>
        <v>251.88940168607775</v>
      </c>
      <c r="Z55" s="28">
        <f t="shared" si="17"/>
        <v>32410.681476444963</v>
      </c>
      <c r="AA55">
        <f t="shared" si="18"/>
        <v>0</v>
      </c>
      <c r="AB55" s="28">
        <f t="shared" si="19"/>
        <v>32410.681476444963</v>
      </c>
      <c r="AD55" s="28">
        <f t="shared" si="20"/>
        <v>0</v>
      </c>
      <c r="AE55" s="28">
        <f t="shared" si="21"/>
        <v>32410.681476444963</v>
      </c>
      <c r="AF55" s="51"/>
      <c r="AG55" t="str">
        <f t="shared" si="34"/>
        <v>5301860</v>
      </c>
    </row>
    <row r="56" spans="1:33" x14ac:dyDescent="0.25">
      <c r="A56" s="7" t="s">
        <v>370</v>
      </c>
      <c r="B56" s="2" t="s">
        <v>767</v>
      </c>
      <c r="C56" s="4" t="s">
        <v>766</v>
      </c>
      <c r="D56">
        <f>_xlfn.IFNA(VLOOKUP(A56,'Prior Year data'!$A$1:$T$317,12,FALSE),0)</f>
        <v>139062.363260012</v>
      </c>
      <c r="E56">
        <f>VLOOKUP(A56,'Basic HH'!$B$1:$Y$321,23,FALSE)</f>
        <v>41986.318782638773</v>
      </c>
      <c r="F56">
        <f>VLOOKUP(A56,'Conc. HH'!$B$1:$Y$321,23,FALSE)</f>
        <v>10663.68957666142</v>
      </c>
      <c r="G56">
        <f>VLOOKUP(A56,'Targeted HH'!$B$1:$Y$321,23,FALSE)</f>
        <v>31701.278752995968</v>
      </c>
      <c r="H56">
        <f>VLOOKUP(A56,'EFIG HH'!$B$1:$Y$321,23,FALSE)</f>
        <v>41772.52708652999</v>
      </c>
      <c r="I56">
        <f t="shared" si="0"/>
        <v>126123.81419882615</v>
      </c>
      <c r="J56">
        <f t="shared" si="1"/>
        <v>139062.363260012</v>
      </c>
      <c r="K56" s="44">
        <f t="shared" si="2"/>
        <v>117346.65263126763</v>
      </c>
      <c r="L56">
        <f t="shared" si="22"/>
        <v>8777.1615675585199</v>
      </c>
      <c r="M56">
        <f t="shared" si="23"/>
        <v>0</v>
      </c>
      <c r="N56">
        <f t="shared" si="24"/>
        <v>126123.81419882615</v>
      </c>
      <c r="O56">
        <f t="shared" si="35"/>
        <v>0</v>
      </c>
      <c r="P56">
        <f t="shared" si="36"/>
        <v>0</v>
      </c>
      <c r="Q56">
        <f t="shared" si="37"/>
        <v>126123.81419882615</v>
      </c>
      <c r="R56">
        <f t="shared" si="38"/>
        <v>0</v>
      </c>
      <c r="S56">
        <f t="shared" si="39"/>
        <v>0</v>
      </c>
      <c r="T56">
        <f t="shared" si="40"/>
        <v>126123.81419882615</v>
      </c>
      <c r="U56">
        <f t="shared" si="41"/>
        <v>0</v>
      </c>
      <c r="V56">
        <f t="shared" si="42"/>
        <v>0</v>
      </c>
      <c r="W56">
        <f t="shared" si="43"/>
        <v>126123.81419882615</v>
      </c>
      <c r="X56" s="44">
        <f t="shared" si="15"/>
        <v>0</v>
      </c>
      <c r="Y56" s="28">
        <f t="shared" si="16"/>
        <v>972.65007752893075</v>
      </c>
      <c r="Z56" s="28">
        <f t="shared" si="17"/>
        <v>125151.16412129722</v>
      </c>
      <c r="AA56">
        <f t="shared" si="18"/>
        <v>0</v>
      </c>
      <c r="AB56" s="28">
        <f t="shared" si="19"/>
        <v>125151.16412129722</v>
      </c>
      <c r="AD56" s="28">
        <f t="shared" si="20"/>
        <v>0</v>
      </c>
      <c r="AE56" s="28">
        <f t="shared" si="21"/>
        <v>125151.16412129722</v>
      </c>
      <c r="AF56" s="51"/>
      <c r="AG56" t="str">
        <f t="shared" si="34"/>
        <v>5301890</v>
      </c>
    </row>
    <row r="57" spans="1:33" x14ac:dyDescent="0.25">
      <c r="A57" s="7" t="s">
        <v>372</v>
      </c>
      <c r="B57" s="2" t="s">
        <v>769</v>
      </c>
      <c r="C57" s="4" t="s">
        <v>768</v>
      </c>
      <c r="D57">
        <f>_xlfn.IFNA(VLOOKUP(A57,'Prior Year data'!$A$1:$T$317,12,FALSE),0)</f>
        <v>246092.24080014441</v>
      </c>
      <c r="E57">
        <f>VLOOKUP(A57,'Basic HH'!$B$1:$Y$321,23,FALSE)</f>
        <v>73476.057869617842</v>
      </c>
      <c r="F57">
        <f>VLOOKUP(A57,'Conc. HH'!$B$1:$Y$321,23,FALSE)</f>
        <v>18661.456759157481</v>
      </c>
      <c r="G57">
        <f>VLOOKUP(A57,'Targeted HH'!$B$1:$Y$321,23,FALSE)</f>
        <v>56546.755740877394</v>
      </c>
      <c r="H57">
        <f>VLOOKUP(A57,'EFIG HH'!$B$1:$Y$321,23,FALSE)</f>
        <v>74511.21780435952</v>
      </c>
      <c r="I57">
        <f t="shared" si="0"/>
        <v>223195.48817401222</v>
      </c>
      <c r="J57">
        <f t="shared" si="1"/>
        <v>246092.24080014441</v>
      </c>
      <c r="K57" s="44">
        <f t="shared" si="2"/>
        <v>207662.95077576063</v>
      </c>
      <c r="L57">
        <f t="shared" si="22"/>
        <v>15532.537398251588</v>
      </c>
      <c r="M57">
        <f t="shared" si="23"/>
        <v>0</v>
      </c>
      <c r="N57">
        <f t="shared" si="24"/>
        <v>223195.48817401222</v>
      </c>
      <c r="O57">
        <f t="shared" si="35"/>
        <v>0</v>
      </c>
      <c r="P57">
        <f t="shared" si="36"/>
        <v>0</v>
      </c>
      <c r="Q57">
        <f t="shared" si="37"/>
        <v>223195.48817401222</v>
      </c>
      <c r="R57">
        <f t="shared" si="38"/>
        <v>0</v>
      </c>
      <c r="S57">
        <f t="shared" si="39"/>
        <v>0</v>
      </c>
      <c r="T57">
        <f t="shared" si="40"/>
        <v>223195.48817401222</v>
      </c>
      <c r="U57">
        <f t="shared" si="41"/>
        <v>0</v>
      </c>
      <c r="V57">
        <f t="shared" si="42"/>
        <v>0</v>
      </c>
      <c r="W57">
        <f t="shared" si="43"/>
        <v>223195.48817401222</v>
      </c>
      <c r="X57" s="44">
        <f t="shared" si="15"/>
        <v>0</v>
      </c>
      <c r="Y57" s="28">
        <f t="shared" si="16"/>
        <v>1721.2539143030535</v>
      </c>
      <c r="Z57" s="28">
        <f t="shared" si="17"/>
        <v>221474.23425970916</v>
      </c>
      <c r="AA57">
        <f t="shared" si="18"/>
        <v>0</v>
      </c>
      <c r="AB57" s="28">
        <f t="shared" si="19"/>
        <v>221474.23425970916</v>
      </c>
      <c r="AD57" s="28">
        <f t="shared" si="20"/>
        <v>0</v>
      </c>
      <c r="AE57" s="28">
        <f t="shared" si="21"/>
        <v>221474.23425970916</v>
      </c>
      <c r="AF57" s="51"/>
      <c r="AG57" t="str">
        <f t="shared" si="34"/>
        <v>5301920</v>
      </c>
    </row>
    <row r="58" spans="1:33" x14ac:dyDescent="0.25">
      <c r="A58" s="7" t="s">
        <v>119</v>
      </c>
      <c r="B58" s="2" t="s">
        <v>771</v>
      </c>
      <c r="C58" s="4" t="s">
        <v>770</v>
      </c>
      <c r="D58">
        <f>_xlfn.IFNA(VLOOKUP(A58,'Prior Year data'!$A$1:$T$317,12,FALSE),0)</f>
        <v>0</v>
      </c>
      <c r="E58">
        <f>VLOOKUP(A58,'Basic HH'!$B$1:$Y$321,23,FALSE)</f>
        <v>0</v>
      </c>
      <c r="F58">
        <f>VLOOKUP(A58,'Conc. HH'!$B$1:$Y$321,23,FALSE)</f>
        <v>0</v>
      </c>
      <c r="G58">
        <f>VLOOKUP(A58,'Targeted HH'!$B$1:$Y$321,23,FALSE)</f>
        <v>0</v>
      </c>
      <c r="H58">
        <f>VLOOKUP(A58,'EFIG HH'!$B$1:$Y$321,23,FALSE)</f>
        <v>0</v>
      </c>
      <c r="I58">
        <f t="shared" si="0"/>
        <v>0</v>
      </c>
      <c r="J58">
        <f t="shared" si="1"/>
        <v>0</v>
      </c>
      <c r="K58" s="44">
        <f t="shared" si="2"/>
        <v>0</v>
      </c>
      <c r="L58">
        <f t="shared" si="22"/>
        <v>0</v>
      </c>
      <c r="M58">
        <f t="shared" si="23"/>
        <v>0</v>
      </c>
      <c r="N58">
        <f t="shared" si="24"/>
        <v>0</v>
      </c>
      <c r="O58">
        <f t="shared" si="35"/>
        <v>0</v>
      </c>
      <c r="P58">
        <f t="shared" si="36"/>
        <v>0</v>
      </c>
      <c r="Q58">
        <f t="shared" si="37"/>
        <v>0</v>
      </c>
      <c r="R58">
        <f t="shared" si="38"/>
        <v>0</v>
      </c>
      <c r="S58">
        <f t="shared" si="39"/>
        <v>0</v>
      </c>
      <c r="T58">
        <f t="shared" si="40"/>
        <v>0</v>
      </c>
      <c r="U58">
        <f t="shared" si="41"/>
        <v>0</v>
      </c>
      <c r="V58">
        <f t="shared" si="42"/>
        <v>0</v>
      </c>
      <c r="W58">
        <f t="shared" si="43"/>
        <v>0</v>
      </c>
      <c r="X58" s="44">
        <f t="shared" si="15"/>
        <v>0</v>
      </c>
      <c r="Y58" s="28">
        <f t="shared" si="16"/>
        <v>0</v>
      </c>
      <c r="Z58" s="28">
        <f t="shared" si="17"/>
        <v>0</v>
      </c>
      <c r="AA58">
        <f t="shared" si="18"/>
        <v>0</v>
      </c>
      <c r="AB58" s="28">
        <f t="shared" si="19"/>
        <v>0</v>
      </c>
      <c r="AD58" s="28">
        <f t="shared" si="20"/>
        <v>0</v>
      </c>
      <c r="AE58" s="28">
        <f t="shared" si="21"/>
        <v>0</v>
      </c>
      <c r="AF58" s="51"/>
      <c r="AG58" t="str">
        <f t="shared" si="34"/>
        <v>5301950</v>
      </c>
    </row>
    <row r="59" spans="1:33" x14ac:dyDescent="0.25">
      <c r="A59" s="7" t="s">
        <v>276</v>
      </c>
      <c r="B59" s="2" t="s">
        <v>773</v>
      </c>
      <c r="C59" s="4" t="s">
        <v>772</v>
      </c>
      <c r="D59">
        <f>_xlfn.IFNA(VLOOKUP(A59,'Prior Year data'!$A$1:$T$317,12,FALSE),0)</f>
        <v>145436.86603143215</v>
      </c>
      <c r="E59">
        <f>VLOOKUP(A59,'Basic HH'!$B$1:$Y$321,23,FALSE)</f>
        <v>56998.619999272443</v>
      </c>
      <c r="F59">
        <f>VLOOKUP(A59,'Conc. HH'!$B$1:$Y$321,23,FALSE)</f>
        <v>14928.254023549607</v>
      </c>
      <c r="G59">
        <f>VLOOKUP(A59,'Targeted HH'!$B$1:$Y$321,23,FALSE)</f>
        <v>28593.491581728107</v>
      </c>
      <c r="H59">
        <f>VLOOKUP(A59,'EFIG HH'!$B$1:$Y$321,23,FALSE)</f>
        <v>39428.528077974399</v>
      </c>
      <c r="I59">
        <f t="shared" si="0"/>
        <v>139948.89368252456</v>
      </c>
      <c r="J59">
        <f t="shared" si="1"/>
        <v>145436.86603143215</v>
      </c>
      <c r="K59" s="44">
        <f t="shared" si="2"/>
        <v>130209.62232560091</v>
      </c>
      <c r="L59">
        <f t="shared" si="22"/>
        <v>9739.2713569236512</v>
      </c>
      <c r="M59">
        <f t="shared" si="23"/>
        <v>0</v>
      </c>
      <c r="N59">
        <f t="shared" si="24"/>
        <v>139948.89368252456</v>
      </c>
      <c r="O59">
        <f t="shared" si="35"/>
        <v>0</v>
      </c>
      <c r="P59">
        <f t="shared" si="36"/>
        <v>0</v>
      </c>
      <c r="Q59">
        <f t="shared" si="37"/>
        <v>139948.89368252456</v>
      </c>
      <c r="R59">
        <f t="shared" si="38"/>
        <v>0</v>
      </c>
      <c r="S59">
        <f t="shared" si="39"/>
        <v>0</v>
      </c>
      <c r="T59">
        <f t="shared" si="40"/>
        <v>139948.89368252456</v>
      </c>
      <c r="U59">
        <f t="shared" si="41"/>
        <v>0</v>
      </c>
      <c r="V59">
        <f t="shared" si="42"/>
        <v>0</v>
      </c>
      <c r="W59">
        <f t="shared" si="43"/>
        <v>139948.89368252456</v>
      </c>
      <c r="X59" s="44">
        <f t="shared" si="15"/>
        <v>0</v>
      </c>
      <c r="Y59" s="28">
        <f t="shared" si="16"/>
        <v>1079.2672514312724</v>
      </c>
      <c r="Z59" s="28">
        <f t="shared" si="17"/>
        <v>138869.62643109329</v>
      </c>
      <c r="AA59">
        <f t="shared" si="18"/>
        <v>0</v>
      </c>
      <c r="AB59" s="28">
        <f t="shared" si="19"/>
        <v>138869.62643109329</v>
      </c>
      <c r="AD59" s="28">
        <f t="shared" si="20"/>
        <v>0</v>
      </c>
      <c r="AE59" s="28">
        <f t="shared" si="21"/>
        <v>138869.62643109329</v>
      </c>
      <c r="AF59" s="51"/>
      <c r="AG59" t="str">
        <f t="shared" si="34"/>
        <v>5301980</v>
      </c>
    </row>
    <row r="60" spans="1:33" x14ac:dyDescent="0.25">
      <c r="A60" s="7" t="s">
        <v>374</v>
      </c>
      <c r="B60" s="2" t="s">
        <v>775</v>
      </c>
      <c r="C60" s="4" t="s">
        <v>774</v>
      </c>
      <c r="D60">
        <f>_xlfn.IFNA(VLOOKUP(A60,'Prior Year data'!$A$1:$T$317,12,FALSE),0)</f>
        <v>169428.97747417915</v>
      </c>
      <c r="E60">
        <f>VLOOKUP(A60,'Basic HH'!$B$1:$Y$321,23,FALSE)</f>
        <v>69670.628160242311</v>
      </c>
      <c r="F60">
        <f>VLOOKUP(A60,'Conc. HH'!$B$1:$Y$321,23,FALSE)</f>
        <v>16123.689816514952</v>
      </c>
      <c r="G60">
        <f>VLOOKUP(A60,'Targeted HH'!$B$1:$Y$321,23,FALSE)</f>
        <v>33339.300383171314</v>
      </c>
      <c r="H60">
        <f>VLOOKUP(A60,'EFIG HH'!$B$1:$Y$321,23,FALSE)</f>
        <v>45967.776471019621</v>
      </c>
      <c r="I60">
        <f t="shared" si="0"/>
        <v>165101.39483094821</v>
      </c>
      <c r="J60">
        <f t="shared" si="1"/>
        <v>169428.97747417915</v>
      </c>
      <c r="K60" s="44">
        <f t="shared" si="2"/>
        <v>153611.71996925987</v>
      </c>
      <c r="L60">
        <f t="shared" si="22"/>
        <v>11489.674861688341</v>
      </c>
      <c r="M60">
        <f t="shared" si="23"/>
        <v>0</v>
      </c>
      <c r="N60">
        <f t="shared" si="24"/>
        <v>165101.39483094821</v>
      </c>
      <c r="O60">
        <f t="shared" si="35"/>
        <v>0</v>
      </c>
      <c r="P60">
        <f t="shared" si="36"/>
        <v>0</v>
      </c>
      <c r="Q60">
        <f t="shared" si="37"/>
        <v>165101.39483094821</v>
      </c>
      <c r="R60">
        <f t="shared" si="38"/>
        <v>0</v>
      </c>
      <c r="S60">
        <f t="shared" si="39"/>
        <v>0</v>
      </c>
      <c r="T60">
        <f t="shared" si="40"/>
        <v>165101.39483094821</v>
      </c>
      <c r="U60">
        <f t="shared" si="41"/>
        <v>0</v>
      </c>
      <c r="V60">
        <f t="shared" si="42"/>
        <v>0</v>
      </c>
      <c r="W60">
        <f t="shared" si="43"/>
        <v>165101.39483094821</v>
      </c>
      <c r="X60" s="44">
        <f t="shared" si="15"/>
        <v>0</v>
      </c>
      <c r="Y60" s="28">
        <f t="shared" si="16"/>
        <v>1273.2399943860164</v>
      </c>
      <c r="Z60" s="28">
        <f t="shared" si="17"/>
        <v>163828.1548365622</v>
      </c>
      <c r="AA60">
        <f t="shared" si="18"/>
        <v>0</v>
      </c>
      <c r="AB60" s="28">
        <f t="shared" si="19"/>
        <v>163828.1548365622</v>
      </c>
      <c r="AD60" s="28">
        <f t="shared" si="20"/>
        <v>0</v>
      </c>
      <c r="AE60" s="28">
        <f t="shared" si="21"/>
        <v>163828.1548365622</v>
      </c>
      <c r="AF60" s="51"/>
      <c r="AG60" t="str">
        <f t="shared" si="34"/>
        <v>5302010</v>
      </c>
    </row>
    <row r="61" spans="1:33" x14ac:dyDescent="0.25">
      <c r="A61" s="7" t="s">
        <v>376</v>
      </c>
      <c r="B61" s="2" t="s">
        <v>777</v>
      </c>
      <c r="C61" s="4" t="s">
        <v>776</v>
      </c>
      <c r="D61">
        <f>_xlfn.IFNA(VLOOKUP(A61,'Prior Year data'!$A$1:$T$317,12,FALSE),0)</f>
        <v>186198.17562503621</v>
      </c>
      <c r="E61">
        <f>VLOOKUP(A61,'Basic HH'!$B$1:$Y$321,23,FALSE)</f>
        <v>73439.752770146923</v>
      </c>
      <c r="F61">
        <f>VLOOKUP(A61,'Conc. HH'!$B$1:$Y$321,23,FALSE)</f>
        <v>19234.277685905869</v>
      </c>
      <c r="G61">
        <f>VLOOKUP(A61,'Targeted HH'!$B$1:$Y$321,23,FALSE)</f>
        <v>40789.686833455104</v>
      </c>
      <c r="H61">
        <f>VLOOKUP(A61,'EFIG HH'!$B$1:$Y$321,23,FALSE)</f>
        <v>56246.272268210625</v>
      </c>
      <c r="I61">
        <f t="shared" si="0"/>
        <v>189709.98955771851</v>
      </c>
      <c r="J61">
        <f t="shared" si="1"/>
        <v>186198.17562503621</v>
      </c>
      <c r="K61" s="44">
        <f t="shared" si="2"/>
        <v>176507.76252466204</v>
      </c>
      <c r="L61">
        <f t="shared" si="22"/>
        <v>9690.4131003741641</v>
      </c>
      <c r="M61">
        <f t="shared" si="23"/>
        <v>0</v>
      </c>
      <c r="N61">
        <f t="shared" si="24"/>
        <v>186198.17562503621</v>
      </c>
      <c r="O61">
        <f t="shared" si="35"/>
        <v>0</v>
      </c>
      <c r="P61">
        <f t="shared" si="36"/>
        <v>0</v>
      </c>
      <c r="Q61">
        <f t="shared" si="37"/>
        <v>186198.17562503621</v>
      </c>
      <c r="R61">
        <f t="shared" si="38"/>
        <v>0</v>
      </c>
      <c r="S61">
        <f t="shared" si="39"/>
        <v>0</v>
      </c>
      <c r="T61">
        <f t="shared" si="40"/>
        <v>186198.17562503621</v>
      </c>
      <c r="U61">
        <f t="shared" si="41"/>
        <v>0</v>
      </c>
      <c r="V61">
        <f t="shared" si="42"/>
        <v>0</v>
      </c>
      <c r="W61">
        <f t="shared" si="43"/>
        <v>186198.17562503621</v>
      </c>
      <c r="X61" s="44">
        <f t="shared" si="15"/>
        <v>3511.8139326823002</v>
      </c>
      <c r="Y61" s="28">
        <f t="shared" si="16"/>
        <v>1435.9355614787814</v>
      </c>
      <c r="Z61" s="28">
        <f t="shared" si="17"/>
        <v>184762.24006355743</v>
      </c>
      <c r="AA61">
        <f t="shared" si="18"/>
        <v>0</v>
      </c>
      <c r="AB61" s="28">
        <f t="shared" si="19"/>
        <v>184762.24006355743</v>
      </c>
      <c r="AD61" s="28">
        <f t="shared" si="20"/>
        <v>0</v>
      </c>
      <c r="AE61" s="28">
        <f t="shared" si="21"/>
        <v>184762.24006355743</v>
      </c>
      <c r="AF61" s="51"/>
      <c r="AG61" t="str">
        <f t="shared" si="34"/>
        <v>5302040</v>
      </c>
    </row>
    <row r="62" spans="1:33" x14ac:dyDescent="0.25">
      <c r="A62" s="7" t="s">
        <v>378</v>
      </c>
      <c r="B62" s="2" t="s">
        <v>779</v>
      </c>
      <c r="C62" s="4" t="s">
        <v>778</v>
      </c>
      <c r="D62">
        <f>_xlfn.IFNA(VLOOKUP(A62,'Prior Year data'!$A$1:$T$317,12,FALSE),0)</f>
        <v>580087.03907055233</v>
      </c>
      <c r="E62">
        <f>VLOOKUP(A62,'Basic HH'!$B$1:$Y$321,23,FALSE)</f>
        <v>293304.74324250146</v>
      </c>
      <c r="F62">
        <f>VLOOKUP(A62,'Conc. HH'!$B$1:$Y$321,23,FALSE)</f>
        <v>0</v>
      </c>
      <c r="G62">
        <f>VLOOKUP(A62,'Targeted HH'!$B$1:$Y$321,23,FALSE)</f>
        <v>140354.33865014097</v>
      </c>
      <c r="H62">
        <f>VLOOKUP(A62,'EFIG HH'!$B$1:$Y$321,23,FALSE)</f>
        <v>193518.66390886027</v>
      </c>
      <c r="I62">
        <f t="shared" si="0"/>
        <v>627177.74580150272</v>
      </c>
      <c r="J62">
        <f t="shared" si="1"/>
        <v>580087.03907055233</v>
      </c>
      <c r="K62" s="44">
        <f t="shared" si="2"/>
        <v>583531.42538655794</v>
      </c>
      <c r="L62">
        <f t="shared" si="22"/>
        <v>0</v>
      </c>
      <c r="M62">
        <f t="shared" si="23"/>
        <v>583531.42538655794</v>
      </c>
      <c r="N62">
        <f t="shared" si="24"/>
        <v>554129.07448109891</v>
      </c>
      <c r="O62">
        <f t="shared" si="35"/>
        <v>25957.964589453419</v>
      </c>
      <c r="P62">
        <f t="shared" si="36"/>
        <v>0</v>
      </c>
      <c r="Q62">
        <f t="shared" si="37"/>
        <v>554129.07448109891</v>
      </c>
      <c r="R62">
        <f t="shared" si="38"/>
        <v>0</v>
      </c>
      <c r="S62">
        <f t="shared" si="39"/>
        <v>0</v>
      </c>
      <c r="T62">
        <f t="shared" si="40"/>
        <v>554129.07448109891</v>
      </c>
      <c r="U62">
        <f t="shared" si="41"/>
        <v>25957.964589453419</v>
      </c>
      <c r="V62">
        <f t="shared" si="42"/>
        <v>0</v>
      </c>
      <c r="W62">
        <f t="shared" si="43"/>
        <v>554129.07448109891</v>
      </c>
      <c r="X62" s="44">
        <f t="shared" si="15"/>
        <v>73048.67132040381</v>
      </c>
      <c r="Y62" s="28">
        <f t="shared" si="16"/>
        <v>4273.3697095888483</v>
      </c>
      <c r="Z62" s="28">
        <f t="shared" si="17"/>
        <v>549855.70477151009</v>
      </c>
      <c r="AA62">
        <f t="shared" si="18"/>
        <v>0</v>
      </c>
      <c r="AB62" s="28">
        <f t="shared" si="19"/>
        <v>549855.70477151009</v>
      </c>
      <c r="AD62" s="28">
        <f t="shared" si="20"/>
        <v>0</v>
      </c>
      <c r="AE62" s="28">
        <f t="shared" si="21"/>
        <v>549855.70477151009</v>
      </c>
      <c r="AF62" s="51"/>
      <c r="AG62" t="str">
        <f t="shared" si="34"/>
        <v>5302070</v>
      </c>
    </row>
    <row r="63" spans="1:33" x14ac:dyDescent="0.25">
      <c r="A63" s="7" t="s">
        <v>278</v>
      </c>
      <c r="B63" s="2" t="s">
        <v>781</v>
      </c>
      <c r="C63" s="4" t="s">
        <v>780</v>
      </c>
      <c r="D63">
        <f>_xlfn.IFNA(VLOOKUP(A63,'Prior Year data'!$A$1:$T$317,12,FALSE),0)</f>
        <v>74226.413870186865</v>
      </c>
      <c r="E63">
        <f>VLOOKUP(A63,'Basic HH'!$B$1:$Y$321,23,FALSE)</f>
        <v>79132.071490645583</v>
      </c>
      <c r="F63">
        <f>VLOOKUP(A63,'Conc. HH'!$B$1:$Y$321,23,FALSE)</f>
        <v>0</v>
      </c>
      <c r="G63">
        <f>VLOOKUP(A63,'Targeted HH'!$B$1:$Y$321,23,FALSE)</f>
        <v>0</v>
      </c>
      <c r="H63">
        <f>VLOOKUP(A63,'EFIG HH'!$B$1:$Y$321,23,FALSE)</f>
        <v>0</v>
      </c>
      <c r="I63">
        <f t="shared" si="0"/>
        <v>79132.071490645583</v>
      </c>
      <c r="J63">
        <f t="shared" si="1"/>
        <v>74226.413870186865</v>
      </c>
      <c r="K63" s="44">
        <f t="shared" si="2"/>
        <v>73625.141803647173</v>
      </c>
      <c r="L63">
        <f t="shared" si="22"/>
        <v>601.27206653969188</v>
      </c>
      <c r="M63">
        <f t="shared" si="23"/>
        <v>0</v>
      </c>
      <c r="N63">
        <f t="shared" si="24"/>
        <v>74226.413870186865</v>
      </c>
      <c r="O63">
        <f t="shared" si="35"/>
        <v>0</v>
      </c>
      <c r="P63">
        <f t="shared" si="36"/>
        <v>0</v>
      </c>
      <c r="Q63">
        <f t="shared" si="37"/>
        <v>74226.413870186865</v>
      </c>
      <c r="R63">
        <f t="shared" si="38"/>
        <v>0</v>
      </c>
      <c r="S63">
        <f t="shared" si="39"/>
        <v>0</v>
      </c>
      <c r="T63">
        <f t="shared" si="40"/>
        <v>74226.413870186865</v>
      </c>
      <c r="U63">
        <f t="shared" si="41"/>
        <v>0</v>
      </c>
      <c r="V63">
        <f t="shared" si="42"/>
        <v>0</v>
      </c>
      <c r="W63">
        <f t="shared" si="43"/>
        <v>74226.413870186865</v>
      </c>
      <c r="X63" s="44">
        <f t="shared" si="15"/>
        <v>4905.6576204587182</v>
      </c>
      <c r="Y63" s="28">
        <f t="shared" si="16"/>
        <v>572.42422982640574</v>
      </c>
      <c r="Z63" s="28">
        <f t="shared" si="17"/>
        <v>73653.989640360465</v>
      </c>
      <c r="AA63">
        <f t="shared" si="18"/>
        <v>0</v>
      </c>
      <c r="AB63" s="28">
        <f t="shared" si="19"/>
        <v>73653.989640360465</v>
      </c>
      <c r="AD63" s="28">
        <f t="shared" si="20"/>
        <v>0</v>
      </c>
      <c r="AE63" s="28">
        <f t="shared" si="21"/>
        <v>73653.989640360465</v>
      </c>
      <c r="AF63" s="51"/>
      <c r="AG63" t="str">
        <f t="shared" si="34"/>
        <v>5302130</v>
      </c>
    </row>
    <row r="64" spans="1:33" x14ac:dyDescent="0.25">
      <c r="A64" s="7" t="s">
        <v>380</v>
      </c>
      <c r="B64" s="2" t="s">
        <v>783</v>
      </c>
      <c r="C64" s="4" t="s">
        <v>782</v>
      </c>
      <c r="D64">
        <f>_xlfn.IFNA(VLOOKUP(A64,'Prior Year data'!$A$1:$T$317,12,FALSE),0)</f>
        <v>16902.206975894362</v>
      </c>
      <c r="E64">
        <f>VLOOKUP(A64,'Basic HH'!$B$1:$Y$321,23,FALSE)</f>
        <v>0</v>
      </c>
      <c r="F64">
        <f>VLOOKUP(A64,'Conc. HH'!$B$1:$Y$321,23,FALSE)</f>
        <v>1453.183691881286</v>
      </c>
      <c r="G64">
        <f>VLOOKUP(A64,'Targeted HH'!$B$1:$Y$321,23,FALSE)</f>
        <v>0</v>
      </c>
      <c r="H64">
        <f>VLOOKUP(A64,'EFIG HH'!$B$1:$Y$321,23,FALSE)</f>
        <v>0</v>
      </c>
      <c r="I64">
        <f t="shared" si="0"/>
        <v>1453.183691881286</v>
      </c>
      <c r="J64">
        <f t="shared" si="1"/>
        <v>16902.206975894362</v>
      </c>
      <c r="K64" s="44">
        <f t="shared" si="2"/>
        <v>1352.0542728892783</v>
      </c>
      <c r="L64">
        <f t="shared" si="22"/>
        <v>101.12941899200769</v>
      </c>
      <c r="M64">
        <f t="shared" si="23"/>
        <v>0</v>
      </c>
      <c r="N64">
        <f t="shared" si="24"/>
        <v>1453.183691881286</v>
      </c>
      <c r="O64">
        <f t="shared" si="35"/>
        <v>0</v>
      </c>
      <c r="P64">
        <f t="shared" si="36"/>
        <v>0</v>
      </c>
      <c r="Q64">
        <f t="shared" si="37"/>
        <v>1453.183691881286</v>
      </c>
      <c r="R64">
        <f t="shared" si="38"/>
        <v>0</v>
      </c>
      <c r="S64">
        <f t="shared" si="39"/>
        <v>0</v>
      </c>
      <c r="T64">
        <f t="shared" si="40"/>
        <v>1453.183691881286</v>
      </c>
      <c r="U64">
        <f t="shared" si="41"/>
        <v>0</v>
      </c>
      <c r="V64">
        <f t="shared" si="42"/>
        <v>0</v>
      </c>
      <c r="W64">
        <f t="shared" si="43"/>
        <v>1453.183691881286</v>
      </c>
      <c r="X64" s="44">
        <f t="shared" si="15"/>
        <v>0</v>
      </c>
      <c r="Y64" s="28">
        <f t="shared" si="16"/>
        <v>11.206759322580538</v>
      </c>
      <c r="Z64" s="28">
        <f t="shared" si="17"/>
        <v>1441.9769325587054</v>
      </c>
      <c r="AA64">
        <f t="shared" si="18"/>
        <v>0</v>
      </c>
      <c r="AB64" s="28">
        <f t="shared" si="19"/>
        <v>1441.9769325587054</v>
      </c>
      <c r="AD64" s="28">
        <f t="shared" si="20"/>
        <v>0</v>
      </c>
      <c r="AE64" s="28">
        <f t="shared" si="21"/>
        <v>1441.9769325587054</v>
      </c>
      <c r="AF64" s="51"/>
      <c r="AG64" t="str">
        <f t="shared" si="34"/>
        <v>5302160</v>
      </c>
    </row>
    <row r="65" spans="1:33" x14ac:dyDescent="0.25">
      <c r="A65" s="7" t="s">
        <v>382</v>
      </c>
      <c r="B65" s="2" t="s">
        <v>785</v>
      </c>
      <c r="C65" s="4" t="s">
        <v>784</v>
      </c>
      <c r="D65">
        <f>_xlfn.IFNA(VLOOKUP(A65,'Prior Year data'!$A$1:$T$317,12,FALSE),0)</f>
        <v>1310973.579638585</v>
      </c>
      <c r="E65">
        <f>VLOOKUP(A65,'Basic HH'!$B$1:$Y$321,23,FALSE)</f>
        <v>710468.38099210104</v>
      </c>
      <c r="F65">
        <f>VLOOKUP(A65,'Conc. HH'!$B$1:$Y$321,23,FALSE)</f>
        <v>186766.19837614795</v>
      </c>
      <c r="G65">
        <f>VLOOKUP(A65,'Targeted HH'!$B$1:$Y$321,23,FALSE)</f>
        <v>369925.81817510637</v>
      </c>
      <c r="H65">
        <f>VLOOKUP(A65,'EFIG HH'!$B$1:$Y$321,23,FALSE)</f>
        <v>510048.71503889695</v>
      </c>
      <c r="I65">
        <f t="shared" si="0"/>
        <v>1777209.1125822524</v>
      </c>
      <c r="J65">
        <f t="shared" si="1"/>
        <v>1310973.579638585</v>
      </c>
      <c r="K65" s="44">
        <f t="shared" si="2"/>
        <v>1653530.2370300023</v>
      </c>
      <c r="L65">
        <f t="shared" si="22"/>
        <v>0</v>
      </c>
      <c r="M65">
        <f t="shared" si="23"/>
        <v>1653530.2370300023</v>
      </c>
      <c r="N65">
        <f t="shared" si="24"/>
        <v>1570213.9422310779</v>
      </c>
      <c r="O65">
        <f t="shared" si="35"/>
        <v>0</v>
      </c>
      <c r="P65">
        <f t="shared" si="36"/>
        <v>1570213.9422310779</v>
      </c>
      <c r="Q65">
        <f t="shared" si="37"/>
        <v>1570213.9422310779</v>
      </c>
      <c r="R65">
        <f t="shared" si="38"/>
        <v>0</v>
      </c>
      <c r="S65">
        <f t="shared" si="39"/>
        <v>1570213.9422310779</v>
      </c>
      <c r="T65">
        <f t="shared" si="40"/>
        <v>1570213.9422310779</v>
      </c>
      <c r="U65">
        <f t="shared" si="41"/>
        <v>0</v>
      </c>
      <c r="V65">
        <f t="shared" si="42"/>
        <v>1570213.9422310779</v>
      </c>
      <c r="W65">
        <f t="shared" si="43"/>
        <v>1570213.9422310779</v>
      </c>
      <c r="X65" s="44">
        <f t="shared" si="15"/>
        <v>206995.17035117443</v>
      </c>
      <c r="Y65" s="28">
        <f t="shared" si="16"/>
        <v>12109.281045373591</v>
      </c>
      <c r="Z65" s="28">
        <f t="shared" si="17"/>
        <v>1558104.6611857044</v>
      </c>
      <c r="AA65">
        <f t="shared" si="18"/>
        <v>0</v>
      </c>
      <c r="AB65" s="28">
        <f t="shared" si="19"/>
        <v>1558104.6611857044</v>
      </c>
      <c r="AD65" s="28">
        <f t="shared" si="20"/>
        <v>0</v>
      </c>
      <c r="AE65" s="28">
        <f t="shared" si="21"/>
        <v>1558104.6611857044</v>
      </c>
      <c r="AF65" s="51"/>
      <c r="AG65" t="str">
        <f t="shared" si="34"/>
        <v>5302280</v>
      </c>
    </row>
    <row r="66" spans="1:33" x14ac:dyDescent="0.25">
      <c r="A66" s="7" t="s">
        <v>384</v>
      </c>
      <c r="B66" s="2" t="s">
        <v>787</v>
      </c>
      <c r="C66" s="4" t="s">
        <v>786</v>
      </c>
      <c r="D66">
        <f>_xlfn.IFNA(VLOOKUP(A66,'Prior Year data'!$A$1:$T$317,12,FALSE),0)</f>
        <v>740582.18954482314</v>
      </c>
      <c r="E66">
        <f>VLOOKUP(A66,'Basic HH'!$B$1:$Y$321,23,FALSE)</f>
        <v>358674.7153434697</v>
      </c>
      <c r="F66">
        <f>VLOOKUP(A66,'Conc. HH'!$B$1:$Y$321,23,FALSE)</f>
        <v>0</v>
      </c>
      <c r="G66">
        <f>VLOOKUP(A66,'Targeted HH'!$B$1:$Y$321,23,FALSE)</f>
        <v>171635.65752817824</v>
      </c>
      <c r="H66">
        <f>VLOOKUP(A66,'EFIG HH'!$B$1:$Y$321,23,FALSE)</f>
        <v>236648.92331376759</v>
      </c>
      <c r="I66">
        <f t="shared" si="0"/>
        <v>766959.29618541547</v>
      </c>
      <c r="J66">
        <f t="shared" si="1"/>
        <v>740582.18954482314</v>
      </c>
      <c r="K66" s="44">
        <f t="shared" si="2"/>
        <v>713585.35010614269</v>
      </c>
      <c r="L66">
        <f t="shared" si="22"/>
        <v>26996.839438680443</v>
      </c>
      <c r="M66">
        <f t="shared" si="23"/>
        <v>0</v>
      </c>
      <c r="N66">
        <f t="shared" si="24"/>
        <v>740582.18954482314</v>
      </c>
      <c r="O66">
        <f t="shared" si="35"/>
        <v>0</v>
      </c>
      <c r="P66">
        <f t="shared" si="36"/>
        <v>0</v>
      </c>
      <c r="Q66">
        <f t="shared" si="37"/>
        <v>740582.18954482314</v>
      </c>
      <c r="R66">
        <f t="shared" si="38"/>
        <v>0</v>
      </c>
      <c r="S66">
        <f t="shared" si="39"/>
        <v>0</v>
      </c>
      <c r="T66">
        <f t="shared" si="40"/>
        <v>740582.18954482314</v>
      </c>
      <c r="U66">
        <f t="shared" si="41"/>
        <v>0</v>
      </c>
      <c r="V66">
        <f t="shared" si="42"/>
        <v>0</v>
      </c>
      <c r="W66">
        <f t="shared" si="43"/>
        <v>740582.18954482314</v>
      </c>
      <c r="X66" s="44">
        <f t="shared" si="15"/>
        <v>26377.106640592334</v>
      </c>
      <c r="Y66" s="28">
        <f t="shared" si="16"/>
        <v>5711.2713301055701</v>
      </c>
      <c r="Z66" s="28">
        <f t="shared" si="17"/>
        <v>734870.91821471753</v>
      </c>
      <c r="AA66">
        <f t="shared" si="18"/>
        <v>0</v>
      </c>
      <c r="AB66" s="28">
        <f t="shared" si="19"/>
        <v>734870.91821471753</v>
      </c>
      <c r="AD66" s="28">
        <f t="shared" si="20"/>
        <v>0</v>
      </c>
      <c r="AE66" s="28">
        <f t="shared" si="21"/>
        <v>734870.91821471753</v>
      </c>
      <c r="AF66" s="51"/>
      <c r="AG66" t="str">
        <f t="shared" si="34"/>
        <v>5305370</v>
      </c>
    </row>
    <row r="67" spans="1:33" x14ac:dyDescent="0.25">
      <c r="A67" s="7" t="s">
        <v>386</v>
      </c>
      <c r="B67" s="2" t="s">
        <v>789</v>
      </c>
      <c r="C67" s="4" t="s">
        <v>788</v>
      </c>
      <c r="D67">
        <f>_xlfn.IFNA(VLOOKUP(A67,'Prior Year data'!$A$1:$T$317,12,FALSE),0)</f>
        <v>1272731.8099569287</v>
      </c>
      <c r="E67">
        <f>VLOOKUP(A67,'Basic HH'!$B$1:$Y$321,23,FALSE)</f>
        <v>524680.03923145449</v>
      </c>
      <c r="F67">
        <f>VLOOKUP(A67,'Conc. HH'!$B$1:$Y$321,23,FALSE)</f>
        <v>0</v>
      </c>
      <c r="G67">
        <f>VLOOKUP(A67,'Targeted HH'!$B$1:$Y$321,23,FALSE)</f>
        <v>251073.74362635199</v>
      </c>
      <c r="H67">
        <f>VLOOKUP(A67,'EFIG HH'!$B$1:$Y$321,23,FALSE)</f>
        <v>346177.08206570341</v>
      </c>
      <c r="I67">
        <f t="shared" si="0"/>
        <v>1121930.8649235098</v>
      </c>
      <c r="J67">
        <f t="shared" si="1"/>
        <v>1272731.8099569287</v>
      </c>
      <c r="K67" s="44">
        <f t="shared" si="2"/>
        <v>1043853.8694598255</v>
      </c>
      <c r="L67">
        <f t="shared" si="22"/>
        <v>78076.995463684318</v>
      </c>
      <c r="M67">
        <f t="shared" si="23"/>
        <v>0</v>
      </c>
      <c r="N67">
        <f t="shared" si="24"/>
        <v>1121930.8649235098</v>
      </c>
      <c r="O67">
        <f t="shared" si="35"/>
        <v>0</v>
      </c>
      <c r="P67">
        <f t="shared" si="36"/>
        <v>0</v>
      </c>
      <c r="Q67">
        <f t="shared" si="37"/>
        <v>1121930.8649235098</v>
      </c>
      <c r="R67">
        <f t="shared" si="38"/>
        <v>0</v>
      </c>
      <c r="S67">
        <f t="shared" si="39"/>
        <v>0</v>
      </c>
      <c r="T67">
        <f t="shared" si="40"/>
        <v>1121930.8649235098</v>
      </c>
      <c r="U67">
        <f t="shared" si="41"/>
        <v>0</v>
      </c>
      <c r="V67">
        <f t="shared" si="42"/>
        <v>0</v>
      </c>
      <c r="W67">
        <f t="shared" si="43"/>
        <v>1121930.8649235098</v>
      </c>
      <c r="X67" s="44">
        <f t="shared" si="15"/>
        <v>0</v>
      </c>
      <c r="Y67" s="28">
        <f t="shared" si="16"/>
        <v>8652.1815858634927</v>
      </c>
      <c r="Z67" s="28">
        <f t="shared" si="17"/>
        <v>1113278.6833376463</v>
      </c>
      <c r="AA67">
        <f t="shared" si="18"/>
        <v>0</v>
      </c>
      <c r="AB67" s="28">
        <f t="shared" si="19"/>
        <v>1113278.6833376463</v>
      </c>
      <c r="AD67" s="28">
        <f t="shared" si="20"/>
        <v>0</v>
      </c>
      <c r="AE67" s="28">
        <f t="shared" si="21"/>
        <v>1113278.6833376463</v>
      </c>
      <c r="AF67" s="51"/>
      <c r="AG67" t="str">
        <f t="shared" si="34"/>
        <v>5302310</v>
      </c>
    </row>
    <row r="68" spans="1:33" x14ac:dyDescent="0.25">
      <c r="A68" s="7" t="s">
        <v>121</v>
      </c>
      <c r="B68" s="2" t="s">
        <v>791</v>
      </c>
      <c r="C68" s="4" t="s">
        <v>790</v>
      </c>
      <c r="D68">
        <f>_xlfn.IFNA(VLOOKUP(A68,'Prior Year data'!$A$1:$T$317,12,FALSE),0)</f>
        <v>18469.519610966287</v>
      </c>
      <c r="E68">
        <f>VLOOKUP(A68,'Basic HH'!$B$1:$Y$321,23,FALSE)</f>
        <v>0</v>
      </c>
      <c r="F68">
        <f>VLOOKUP(A68,'Conc. HH'!$B$1:$Y$321,23,FALSE)</f>
        <v>0</v>
      </c>
      <c r="G68">
        <f>VLOOKUP(A68,'Targeted HH'!$B$1:$Y$321,23,FALSE)</f>
        <v>0</v>
      </c>
      <c r="H68">
        <f>VLOOKUP(A68,'EFIG HH'!$B$1:$Y$321,23,FALSE)</f>
        <v>0</v>
      </c>
      <c r="I68">
        <f t="shared" ref="I68:I131" si="44">SUM(E68:H68)</f>
        <v>0</v>
      </c>
      <c r="J68">
        <f t="shared" ref="J68:J131" si="45">IF(D68=0,I68,D68)</f>
        <v>18469.519610966287</v>
      </c>
      <c r="K68" s="44">
        <f t="shared" ref="K68:K131" si="46">I68*(1-$K$1)</f>
        <v>0</v>
      </c>
      <c r="L68">
        <f t="shared" ref="L68:L131" si="47">IF(K68&lt;J68,MIN(J68,I68)-K68,0)</f>
        <v>0</v>
      </c>
      <c r="M68">
        <f t="shared" ref="M68:M131" si="48">IF(L68=0,K68,0)</f>
        <v>0</v>
      </c>
      <c r="N68">
        <f t="shared" ref="N68:N131" si="49">M68-(M68/$M$3*$L$3)+IF(L68&gt;0,K68+L68)</f>
        <v>0</v>
      </c>
      <c r="O68">
        <f t="shared" si="35"/>
        <v>0</v>
      </c>
      <c r="P68">
        <f t="shared" si="36"/>
        <v>0</v>
      </c>
      <c r="Q68">
        <f t="shared" si="37"/>
        <v>0</v>
      </c>
      <c r="R68">
        <f t="shared" si="38"/>
        <v>0</v>
      </c>
      <c r="S68">
        <f t="shared" si="39"/>
        <v>0</v>
      </c>
      <c r="T68">
        <f t="shared" si="40"/>
        <v>0</v>
      </c>
      <c r="U68">
        <f t="shared" si="41"/>
        <v>0</v>
      </c>
      <c r="V68">
        <f t="shared" si="42"/>
        <v>0</v>
      </c>
      <c r="W68">
        <f t="shared" si="43"/>
        <v>0</v>
      </c>
      <c r="X68" s="44">
        <f t="shared" ref="X68:X131" si="50">I68-W68</f>
        <v>0</v>
      </c>
      <c r="Y68" s="28">
        <f t="shared" ref="Y68:Y131" si="51">W68/$W$3*$Y$1</f>
        <v>0</v>
      </c>
      <c r="Z68" s="28">
        <f t="shared" ref="Z68:Z131" si="52">W68-Y68</f>
        <v>0</v>
      </c>
      <c r="AA68">
        <f t="shared" ref="AA68:AA131" si="53">Z68/$Z$3*$AA$1</f>
        <v>0</v>
      </c>
      <c r="AB68" s="28">
        <f t="shared" ref="AB68:AB131" si="54">Z68-AA68</f>
        <v>0</v>
      </c>
      <c r="AD68" s="28">
        <f t="shared" ref="AD68:AD131" si="55">IF(AC68&gt;0,AC68*AB68,0)</f>
        <v>0</v>
      </c>
      <c r="AE68" s="28">
        <f t="shared" ref="AE68:AE131" si="56">AB68-AD68</f>
        <v>0</v>
      </c>
      <c r="AF68" s="51"/>
      <c r="AG68" t="str">
        <f t="shared" si="34"/>
        <v>5302340</v>
      </c>
    </row>
    <row r="69" spans="1:33" x14ac:dyDescent="0.25">
      <c r="A69" s="7" t="s">
        <v>123</v>
      </c>
      <c r="B69" s="2" t="s">
        <v>793</v>
      </c>
      <c r="C69" s="4" t="s">
        <v>792</v>
      </c>
      <c r="D69">
        <f>_xlfn.IFNA(VLOOKUP(A69,'Prior Year data'!$A$1:$T$317,12,FALSE),0)</f>
        <v>333990.47963164031</v>
      </c>
      <c r="E69">
        <f>VLOOKUP(A69,'Basic HH'!$B$1:$Y$321,23,FALSE)</f>
        <v>160844.53661685562</v>
      </c>
      <c r="F69">
        <f>VLOOKUP(A69,'Conc. HH'!$B$1:$Y$321,23,FALSE)</f>
        <v>0</v>
      </c>
      <c r="G69">
        <f>VLOOKUP(A69,'Targeted HH'!$B$1:$Y$321,23,FALSE)</f>
        <v>76968.50829201279</v>
      </c>
      <c r="H69">
        <f>VLOOKUP(A69,'EFIG HH'!$B$1:$Y$321,23,FALSE)</f>
        <v>106123.13827260082</v>
      </c>
      <c r="I69">
        <f t="shared" si="44"/>
        <v>343936.18318146921</v>
      </c>
      <c r="J69">
        <f t="shared" si="45"/>
        <v>333990.47963164031</v>
      </c>
      <c r="K69" s="44">
        <f t="shared" si="46"/>
        <v>320001.10424424137</v>
      </c>
      <c r="L69">
        <f t="shared" si="47"/>
        <v>13989.375387398934</v>
      </c>
      <c r="M69">
        <f t="shared" si="48"/>
        <v>0</v>
      </c>
      <c r="N69">
        <f t="shared" si="49"/>
        <v>333990.47963164031</v>
      </c>
      <c r="O69">
        <f t="shared" si="35"/>
        <v>0</v>
      </c>
      <c r="P69">
        <f t="shared" si="36"/>
        <v>0</v>
      </c>
      <c r="Q69">
        <f t="shared" si="37"/>
        <v>333990.47963164031</v>
      </c>
      <c r="R69">
        <f t="shared" si="38"/>
        <v>0</v>
      </c>
      <c r="S69">
        <f t="shared" si="39"/>
        <v>0</v>
      </c>
      <c r="T69">
        <f t="shared" si="40"/>
        <v>333990.47963164031</v>
      </c>
      <c r="U69">
        <f t="shared" si="41"/>
        <v>0</v>
      </c>
      <c r="V69">
        <f t="shared" si="42"/>
        <v>0</v>
      </c>
      <c r="W69">
        <f t="shared" si="43"/>
        <v>333990.47963164031</v>
      </c>
      <c r="X69" s="44">
        <f t="shared" si="50"/>
        <v>9945.7035498289042</v>
      </c>
      <c r="Y69" s="28">
        <f t="shared" si="51"/>
        <v>2575.6901499626797</v>
      </c>
      <c r="Z69" s="28">
        <f t="shared" si="52"/>
        <v>331414.78948167764</v>
      </c>
      <c r="AA69">
        <f t="shared" si="53"/>
        <v>0</v>
      </c>
      <c r="AB69" s="28">
        <f t="shared" si="54"/>
        <v>331414.78948167764</v>
      </c>
      <c r="AD69" s="28">
        <f t="shared" si="55"/>
        <v>0</v>
      </c>
      <c r="AE69" s="28">
        <f t="shared" si="56"/>
        <v>331414.78948167764</v>
      </c>
      <c r="AF69" s="51"/>
      <c r="AG69" t="str">
        <f t="shared" ref="AG69:AG132" si="57">A69</f>
        <v>5302370</v>
      </c>
    </row>
    <row r="70" spans="1:33" x14ac:dyDescent="0.25">
      <c r="A70" s="7" t="s">
        <v>125</v>
      </c>
      <c r="B70" s="2" t="s">
        <v>795</v>
      </c>
      <c r="C70" s="4" t="s">
        <v>794</v>
      </c>
      <c r="D70">
        <f>_xlfn.IFNA(VLOOKUP(A70,'Prior Year data'!$A$1:$T$317,12,FALSE),0)</f>
        <v>3489663.9193925294</v>
      </c>
      <c r="E70">
        <f>VLOOKUP(A70,'Basic HH'!$B$1:$Y$321,23,FALSE)</f>
        <v>1815736.9882255732</v>
      </c>
      <c r="F70">
        <f>VLOOKUP(A70,'Conc. HH'!$B$1:$Y$321,23,FALSE)</f>
        <v>0</v>
      </c>
      <c r="G70">
        <f>VLOOKUP(A70,'Targeted HH'!$B$1:$Y$321,23,FALSE)</f>
        <v>1161113.1651966202</v>
      </c>
      <c r="H70">
        <f>VLOOKUP(A70,'EFIG HH'!$B$1:$Y$321,23,FALSE)</f>
        <v>1600927.1287005721</v>
      </c>
      <c r="I70">
        <f t="shared" si="44"/>
        <v>4577777.2821227657</v>
      </c>
      <c r="J70">
        <f t="shared" si="45"/>
        <v>3489663.9193925294</v>
      </c>
      <c r="K70" s="44">
        <f t="shared" si="46"/>
        <v>4259202.3081519548</v>
      </c>
      <c r="L70">
        <f t="shared" si="47"/>
        <v>0</v>
      </c>
      <c r="M70">
        <f t="shared" si="48"/>
        <v>4259202.3081519548</v>
      </c>
      <c r="N70">
        <f t="shared" si="49"/>
        <v>4044594.2246906972</v>
      </c>
      <c r="O70">
        <f t="shared" si="35"/>
        <v>0</v>
      </c>
      <c r="P70">
        <f t="shared" si="36"/>
        <v>4044594.2246906972</v>
      </c>
      <c r="Q70">
        <f t="shared" si="37"/>
        <v>4044594.2246906972</v>
      </c>
      <c r="R70">
        <f t="shared" si="38"/>
        <v>0</v>
      </c>
      <c r="S70">
        <f t="shared" si="39"/>
        <v>4044594.2246906972</v>
      </c>
      <c r="T70">
        <f t="shared" si="40"/>
        <v>4044594.2246906972</v>
      </c>
      <c r="U70">
        <f t="shared" si="41"/>
        <v>0</v>
      </c>
      <c r="V70">
        <f t="shared" si="42"/>
        <v>4044594.2246906972</v>
      </c>
      <c r="W70">
        <f t="shared" si="43"/>
        <v>4044594.2246906972</v>
      </c>
      <c r="X70" s="44">
        <f t="shared" si="50"/>
        <v>533183.05743206851</v>
      </c>
      <c r="Y70" s="28">
        <f t="shared" si="51"/>
        <v>31191.372630206151</v>
      </c>
      <c r="Z70" s="28">
        <f t="shared" si="52"/>
        <v>4013402.8520604912</v>
      </c>
      <c r="AA70">
        <f t="shared" si="53"/>
        <v>0</v>
      </c>
      <c r="AB70" s="28">
        <f t="shared" si="54"/>
        <v>4013402.8520604912</v>
      </c>
      <c r="AD70" s="28">
        <f t="shared" si="55"/>
        <v>0</v>
      </c>
      <c r="AE70" s="28">
        <f t="shared" si="56"/>
        <v>4013402.8520604912</v>
      </c>
      <c r="AF70" s="51"/>
      <c r="AG70" t="str">
        <f t="shared" si="57"/>
        <v>5302400</v>
      </c>
    </row>
    <row r="71" spans="1:33" x14ac:dyDescent="0.25">
      <c r="A71" s="7" t="s">
        <v>388</v>
      </c>
      <c r="B71" s="2" t="s">
        <v>797</v>
      </c>
      <c r="C71" s="4" t="s">
        <v>796</v>
      </c>
      <c r="D71">
        <f>_xlfn.IFNA(VLOOKUP(A71,'Prior Year data'!$A$1:$T$317,12,FALSE),0)</f>
        <v>742593.97526886931</v>
      </c>
      <c r="E71">
        <f>VLOOKUP(A71,'Basic HH'!$B$1:$Y$321,23,FALSE)</f>
        <v>342332.22231822775</v>
      </c>
      <c r="F71">
        <f>VLOOKUP(A71,'Conc. HH'!$B$1:$Y$321,23,FALSE)</f>
        <v>0</v>
      </c>
      <c r="G71">
        <f>VLOOKUP(A71,'Targeted HH'!$B$1:$Y$321,23,FALSE)</f>
        <v>163815.32780866904</v>
      </c>
      <c r="H71">
        <f>VLOOKUP(A71,'EFIG HH'!$B$1:$Y$321,23,FALSE)</f>
        <v>225866.35846254078</v>
      </c>
      <c r="I71">
        <f t="shared" si="44"/>
        <v>732013.9085894376</v>
      </c>
      <c r="J71">
        <f t="shared" si="45"/>
        <v>742593.97526886931</v>
      </c>
      <c r="K71" s="44">
        <f t="shared" si="46"/>
        <v>681071.86892624688</v>
      </c>
      <c r="L71">
        <f t="shared" si="47"/>
        <v>50942.039663190721</v>
      </c>
      <c r="M71">
        <f t="shared" si="48"/>
        <v>0</v>
      </c>
      <c r="N71">
        <f t="shared" si="49"/>
        <v>732013.9085894376</v>
      </c>
      <c r="O71">
        <f t="shared" si="35"/>
        <v>0</v>
      </c>
      <c r="P71">
        <f t="shared" si="36"/>
        <v>0</v>
      </c>
      <c r="Q71">
        <f t="shared" si="37"/>
        <v>732013.9085894376</v>
      </c>
      <c r="R71">
        <f t="shared" si="38"/>
        <v>0</v>
      </c>
      <c r="S71">
        <f t="shared" si="39"/>
        <v>0</v>
      </c>
      <c r="T71">
        <f t="shared" si="40"/>
        <v>732013.9085894376</v>
      </c>
      <c r="U71">
        <f t="shared" si="41"/>
        <v>0</v>
      </c>
      <c r="V71">
        <f t="shared" si="42"/>
        <v>0</v>
      </c>
      <c r="W71">
        <f t="shared" si="43"/>
        <v>732013.9085894376</v>
      </c>
      <c r="X71" s="44">
        <f t="shared" si="50"/>
        <v>0</v>
      </c>
      <c r="Y71" s="28">
        <f t="shared" si="51"/>
        <v>5645.1938871699513</v>
      </c>
      <c r="Z71" s="28">
        <f t="shared" si="52"/>
        <v>726368.71470226767</v>
      </c>
      <c r="AA71">
        <f t="shared" si="53"/>
        <v>0</v>
      </c>
      <c r="AB71" s="28">
        <f t="shared" si="54"/>
        <v>726368.71470226767</v>
      </c>
      <c r="AD71" s="28">
        <f t="shared" si="55"/>
        <v>0</v>
      </c>
      <c r="AE71" s="28">
        <f t="shared" si="56"/>
        <v>726368.71470226767</v>
      </c>
      <c r="AF71" s="51"/>
      <c r="AG71" t="str">
        <f t="shared" si="57"/>
        <v>5302460</v>
      </c>
    </row>
    <row r="72" spans="1:33" x14ac:dyDescent="0.25">
      <c r="A72" s="7" t="s">
        <v>390</v>
      </c>
      <c r="B72" s="2" t="s">
        <v>799</v>
      </c>
      <c r="C72" s="4" t="s">
        <v>798</v>
      </c>
      <c r="D72">
        <f>_xlfn.IFNA(VLOOKUP(A72,'Prior Year data'!$A$1:$T$317,12,FALSE),0)</f>
        <v>529521.44337330072</v>
      </c>
      <c r="E72">
        <f>VLOOKUP(A72,'Basic HH'!$B$1:$Y$321,23,FALSE)</f>
        <v>286423.69354766276</v>
      </c>
      <c r="F72">
        <f>VLOOKUP(A72,'Conc. HH'!$B$1:$Y$321,23,FALSE)</f>
        <v>75294.36326786592</v>
      </c>
      <c r="G72">
        <f>VLOOKUP(A72,'Targeted HH'!$B$1:$Y$321,23,FALSE)</f>
        <v>163482.84031669956</v>
      </c>
      <c r="H72">
        <f>VLOOKUP(A72,'EFIG HH'!$B$1:$Y$321,23,FALSE)</f>
        <v>225407.92920533972</v>
      </c>
      <c r="I72">
        <f t="shared" si="44"/>
        <v>750608.826337568</v>
      </c>
      <c r="J72">
        <f t="shared" si="45"/>
        <v>529521.44337330072</v>
      </c>
      <c r="K72" s="44">
        <f t="shared" si="46"/>
        <v>698372.73607459513</v>
      </c>
      <c r="L72">
        <f t="shared" si="47"/>
        <v>0</v>
      </c>
      <c r="M72">
        <f t="shared" si="48"/>
        <v>698372.73607459513</v>
      </c>
      <c r="N72">
        <f t="shared" si="49"/>
        <v>663183.88530230254</v>
      </c>
      <c r="O72">
        <f t="shared" si="35"/>
        <v>0</v>
      </c>
      <c r="P72">
        <f t="shared" si="36"/>
        <v>663183.88530230254</v>
      </c>
      <c r="Q72">
        <f t="shared" si="37"/>
        <v>663183.88530230254</v>
      </c>
      <c r="R72">
        <f t="shared" si="38"/>
        <v>0</v>
      </c>
      <c r="S72">
        <f t="shared" si="39"/>
        <v>663183.88530230254</v>
      </c>
      <c r="T72">
        <f t="shared" si="40"/>
        <v>663183.88530230254</v>
      </c>
      <c r="U72">
        <f t="shared" si="41"/>
        <v>0</v>
      </c>
      <c r="V72">
        <f t="shared" si="42"/>
        <v>663183.88530230254</v>
      </c>
      <c r="W72">
        <f t="shared" si="43"/>
        <v>663183.88530230254</v>
      </c>
      <c r="X72" s="44">
        <f t="shared" si="50"/>
        <v>87424.941035265452</v>
      </c>
      <c r="Y72" s="28">
        <f t="shared" si="51"/>
        <v>5114.3859036672357</v>
      </c>
      <c r="Z72" s="28">
        <f t="shared" si="52"/>
        <v>658069.49939863535</v>
      </c>
      <c r="AA72">
        <f t="shared" si="53"/>
        <v>0</v>
      </c>
      <c r="AB72" s="28">
        <f t="shared" si="54"/>
        <v>658069.49939863535</v>
      </c>
      <c r="AD72" s="28">
        <f t="shared" si="55"/>
        <v>0</v>
      </c>
      <c r="AE72" s="28">
        <f t="shared" si="56"/>
        <v>658069.49939863535</v>
      </c>
      <c r="AF72" s="51"/>
      <c r="AG72" t="str">
        <f t="shared" si="57"/>
        <v>5302490</v>
      </c>
    </row>
    <row r="73" spans="1:33" x14ac:dyDescent="0.25">
      <c r="A73" s="7" t="s">
        <v>392</v>
      </c>
      <c r="B73" s="2" t="s">
        <v>801</v>
      </c>
      <c r="C73" s="4" t="s">
        <v>800</v>
      </c>
      <c r="D73">
        <f>_xlfn.IFNA(VLOOKUP(A73,'Prior Year data'!$A$1:$T$317,12,FALSE),0)</f>
        <v>49950.194308560152</v>
      </c>
      <c r="E73">
        <f>VLOOKUP(A73,'Basic HH'!$B$1:$Y$321,23,FALSE)</f>
        <v>16099.928160323327</v>
      </c>
      <c r="F73">
        <f>VLOOKUP(A73,'Conc. HH'!$B$1:$Y$321,23,FALSE)</f>
        <v>4186.1103992758553</v>
      </c>
      <c r="G73">
        <f>VLOOKUP(A73,'Targeted HH'!$B$1:$Y$321,23,FALSE)</f>
        <v>10866.384934651529</v>
      </c>
      <c r="H73">
        <f>VLOOKUP(A73,'EFIG HH'!$B$1:$Y$321,23,FALSE)</f>
        <v>14716.854244394846</v>
      </c>
      <c r="I73">
        <f t="shared" si="44"/>
        <v>45869.277738645556</v>
      </c>
      <c r="J73">
        <f t="shared" si="45"/>
        <v>49950.194308560152</v>
      </c>
      <c r="K73" s="44">
        <f t="shared" si="46"/>
        <v>42677.160022758602</v>
      </c>
      <c r="L73">
        <f t="shared" si="47"/>
        <v>3192.1177158869541</v>
      </c>
      <c r="M73">
        <f t="shared" si="48"/>
        <v>0</v>
      </c>
      <c r="N73">
        <f t="shared" si="49"/>
        <v>45869.277738645556</v>
      </c>
      <c r="O73">
        <f t="shared" si="35"/>
        <v>0</v>
      </c>
      <c r="P73">
        <f t="shared" si="36"/>
        <v>0</v>
      </c>
      <c r="Q73">
        <f t="shared" si="37"/>
        <v>45869.277738645556</v>
      </c>
      <c r="R73">
        <f t="shared" si="38"/>
        <v>0</v>
      </c>
      <c r="S73">
        <f t="shared" si="39"/>
        <v>0</v>
      </c>
      <c r="T73">
        <f t="shared" si="40"/>
        <v>45869.277738645556</v>
      </c>
      <c r="U73">
        <f t="shared" si="41"/>
        <v>0</v>
      </c>
      <c r="V73">
        <f t="shared" si="42"/>
        <v>0</v>
      </c>
      <c r="W73">
        <f t="shared" si="43"/>
        <v>45869.277738645556</v>
      </c>
      <c r="X73" s="44">
        <f t="shared" si="50"/>
        <v>0</v>
      </c>
      <c r="Y73" s="28">
        <f t="shared" si="51"/>
        <v>353.7377681772083</v>
      </c>
      <c r="Z73" s="28">
        <f t="shared" si="52"/>
        <v>45515.539970468351</v>
      </c>
      <c r="AA73">
        <f t="shared" si="53"/>
        <v>0</v>
      </c>
      <c r="AB73" s="28">
        <f t="shared" si="54"/>
        <v>45515.539970468351</v>
      </c>
      <c r="AD73" s="28">
        <f t="shared" si="55"/>
        <v>0</v>
      </c>
      <c r="AE73" s="28">
        <f t="shared" si="56"/>
        <v>45515.539970468351</v>
      </c>
      <c r="AF73" s="51"/>
      <c r="AG73" t="str">
        <f t="shared" si="57"/>
        <v>5302520</v>
      </c>
    </row>
    <row r="74" spans="1:33" x14ac:dyDescent="0.25">
      <c r="A74" s="7" t="s">
        <v>394</v>
      </c>
      <c r="B74" s="2" t="s">
        <v>803</v>
      </c>
      <c r="C74" s="4" t="s">
        <v>802</v>
      </c>
      <c r="D74">
        <f>_xlfn.IFNA(VLOOKUP(A74,'Prior Year data'!$A$1:$T$317,12,FALSE),0)</f>
        <v>131352.62887840145</v>
      </c>
      <c r="E74">
        <f>VLOOKUP(A74,'Basic HH'!$B$1:$Y$321,23,FALSE)</f>
        <v>61929.447253548729</v>
      </c>
      <c r="F74">
        <f>VLOOKUP(A74,'Conc. HH'!$B$1:$Y$321,23,FALSE)</f>
        <v>16279.862328187231</v>
      </c>
      <c r="G74">
        <f>VLOOKUP(A74,'Targeted HH'!$B$1:$Y$321,23,FALSE)</f>
        <v>32334.552652734787</v>
      </c>
      <c r="H74">
        <f>VLOOKUP(A74,'EFIG HH'!$B$1:$Y$321,23,FALSE)</f>
        <v>44582.44388900225</v>
      </c>
      <c r="I74">
        <f t="shared" si="44"/>
        <v>155126.30612347298</v>
      </c>
      <c r="J74">
        <f t="shared" si="45"/>
        <v>131352.62887840145</v>
      </c>
      <c r="K74" s="44">
        <f t="shared" si="46"/>
        <v>144330.81392500649</v>
      </c>
      <c r="L74">
        <f t="shared" si="47"/>
        <v>0</v>
      </c>
      <c r="M74">
        <f t="shared" si="48"/>
        <v>144330.81392500649</v>
      </c>
      <c r="N74">
        <f t="shared" si="49"/>
        <v>137058.4288350649</v>
      </c>
      <c r="O74">
        <f t="shared" si="35"/>
        <v>0</v>
      </c>
      <c r="P74">
        <f t="shared" si="36"/>
        <v>137058.4288350649</v>
      </c>
      <c r="Q74">
        <f t="shared" si="37"/>
        <v>137058.4288350649</v>
      </c>
      <c r="R74">
        <f t="shared" si="38"/>
        <v>0</v>
      </c>
      <c r="S74">
        <f t="shared" si="39"/>
        <v>137058.4288350649</v>
      </c>
      <c r="T74">
        <f t="shared" si="40"/>
        <v>137058.4288350649</v>
      </c>
      <c r="U74">
        <f t="shared" si="41"/>
        <v>0</v>
      </c>
      <c r="V74">
        <f t="shared" si="42"/>
        <v>137058.4288350649</v>
      </c>
      <c r="W74">
        <f t="shared" si="43"/>
        <v>137058.4288350649</v>
      </c>
      <c r="X74" s="44">
        <f t="shared" si="50"/>
        <v>18067.877288408083</v>
      </c>
      <c r="Y74" s="28">
        <f t="shared" si="51"/>
        <v>1056.9763710306506</v>
      </c>
      <c r="Z74" s="28">
        <f t="shared" si="52"/>
        <v>136001.45246403426</v>
      </c>
      <c r="AA74">
        <f t="shared" si="53"/>
        <v>0</v>
      </c>
      <c r="AB74" s="28">
        <f t="shared" si="54"/>
        <v>136001.45246403426</v>
      </c>
      <c r="AD74" s="28">
        <f t="shared" si="55"/>
        <v>0</v>
      </c>
      <c r="AE74" s="28">
        <f t="shared" si="56"/>
        <v>136001.45246403426</v>
      </c>
      <c r="AF74" s="51"/>
      <c r="AG74" t="str">
        <f t="shared" si="57"/>
        <v>5302550</v>
      </c>
    </row>
    <row r="75" spans="1:33" x14ac:dyDescent="0.25">
      <c r="A75" s="7" t="s">
        <v>127</v>
      </c>
      <c r="B75" s="2" t="s">
        <v>805</v>
      </c>
      <c r="C75" s="4" t="s">
        <v>804</v>
      </c>
      <c r="D75">
        <f>_xlfn.IFNA(VLOOKUP(A75,'Prior Year data'!$A$1:$T$317,12,FALSE),0)</f>
        <v>544850.82852350536</v>
      </c>
      <c r="E75">
        <f>VLOOKUP(A75,'Basic HH'!$B$1:$Y$321,23,FALSE)</f>
        <v>255458.96992088857</v>
      </c>
      <c r="F75">
        <f>VLOOKUP(A75,'Conc. HH'!$B$1:$Y$321,23,FALSE)</f>
        <v>0</v>
      </c>
      <c r="G75">
        <f>VLOOKUP(A75,'Targeted HH'!$B$1:$Y$321,23,FALSE)</f>
        <v>122244.10140496148</v>
      </c>
      <c r="H75">
        <f>VLOOKUP(A75,'EFIG HH'!$B$1:$Y$321,23,FALSE)</f>
        <v>168548.5137270719</v>
      </c>
      <c r="I75">
        <f t="shared" si="44"/>
        <v>546251.5850529219</v>
      </c>
      <c r="J75">
        <f t="shared" si="45"/>
        <v>544850.82852350536</v>
      </c>
      <c r="K75" s="44">
        <f t="shared" si="46"/>
        <v>508237.04791732476</v>
      </c>
      <c r="L75">
        <f t="shared" si="47"/>
        <v>36613.780606180604</v>
      </c>
      <c r="M75">
        <f t="shared" si="48"/>
        <v>0</v>
      </c>
      <c r="N75">
        <f t="shared" si="49"/>
        <v>544850.82852350536</v>
      </c>
      <c r="O75">
        <f t="shared" si="35"/>
        <v>0</v>
      </c>
      <c r="P75">
        <f t="shared" si="36"/>
        <v>0</v>
      </c>
      <c r="Q75">
        <f t="shared" si="37"/>
        <v>544850.82852350536</v>
      </c>
      <c r="R75">
        <f t="shared" si="38"/>
        <v>0</v>
      </c>
      <c r="S75">
        <f t="shared" si="39"/>
        <v>0</v>
      </c>
      <c r="T75">
        <f t="shared" si="40"/>
        <v>544850.82852350536</v>
      </c>
      <c r="U75">
        <f t="shared" si="41"/>
        <v>0</v>
      </c>
      <c r="V75">
        <f t="shared" si="42"/>
        <v>0</v>
      </c>
      <c r="W75">
        <f t="shared" si="43"/>
        <v>544850.82852350536</v>
      </c>
      <c r="X75" s="44">
        <f t="shared" si="50"/>
        <v>1400.7565294165397</v>
      </c>
      <c r="Y75" s="28">
        <f t="shared" si="51"/>
        <v>4201.8171109990262</v>
      </c>
      <c r="Z75" s="28">
        <f t="shared" si="52"/>
        <v>540649.01141250634</v>
      </c>
      <c r="AA75">
        <f t="shared" si="53"/>
        <v>0</v>
      </c>
      <c r="AB75" s="28">
        <f t="shared" si="54"/>
        <v>540649.01141250634</v>
      </c>
      <c r="AD75" s="28">
        <f t="shared" si="55"/>
        <v>0</v>
      </c>
      <c r="AE75" s="28">
        <f t="shared" si="56"/>
        <v>540649.01141250634</v>
      </c>
      <c r="AF75" s="51"/>
      <c r="AG75" t="str">
        <f t="shared" si="57"/>
        <v>5300001</v>
      </c>
    </row>
    <row r="76" spans="1:33" x14ac:dyDescent="0.25">
      <c r="A76" s="7" t="s">
        <v>396</v>
      </c>
      <c r="B76" s="2" t="s">
        <v>807</v>
      </c>
      <c r="C76" s="4" t="s">
        <v>806</v>
      </c>
      <c r="D76">
        <f>_xlfn.IFNA(VLOOKUP(A76,'Prior Year data'!$A$1:$T$317,12,FALSE),0)</f>
        <v>644238.18185566377</v>
      </c>
      <c r="E76">
        <f>VLOOKUP(A76,'Basic HH'!$B$1:$Y$321,23,FALSE)</f>
        <v>405981.93199548608</v>
      </c>
      <c r="F76">
        <f>VLOOKUP(A76,'Conc. HH'!$B$1:$Y$321,23,FALSE)</f>
        <v>106723.54192922736</v>
      </c>
      <c r="G76">
        <f>VLOOKUP(A76,'Targeted HH'!$B$1:$Y$321,23,FALSE)</f>
        <v>200262.48896181854</v>
      </c>
      <c r="H76">
        <f>VLOOKUP(A76,'EFIG HH'!$B$1:$Y$321,23,FALSE)</f>
        <v>276119.21133094997</v>
      </c>
      <c r="I76">
        <f t="shared" si="44"/>
        <v>989087.17421748186</v>
      </c>
      <c r="J76">
        <f t="shared" si="45"/>
        <v>644238.18185566377</v>
      </c>
      <c r="K76" s="44">
        <f t="shared" si="46"/>
        <v>920254.98746787163</v>
      </c>
      <c r="L76">
        <f t="shared" si="47"/>
        <v>0</v>
      </c>
      <c r="M76">
        <f t="shared" si="48"/>
        <v>920254.98746787163</v>
      </c>
      <c r="N76">
        <f t="shared" si="49"/>
        <v>873886.17357562075</v>
      </c>
      <c r="O76">
        <f t="shared" si="35"/>
        <v>0</v>
      </c>
      <c r="P76">
        <f t="shared" si="36"/>
        <v>873886.17357562075</v>
      </c>
      <c r="Q76">
        <f t="shared" si="37"/>
        <v>873886.17357562075</v>
      </c>
      <c r="R76">
        <f t="shared" si="38"/>
        <v>0</v>
      </c>
      <c r="S76">
        <f t="shared" si="39"/>
        <v>873886.17357562075</v>
      </c>
      <c r="T76">
        <f t="shared" si="40"/>
        <v>873886.17357562075</v>
      </c>
      <c r="U76">
        <f t="shared" si="41"/>
        <v>0</v>
      </c>
      <c r="V76">
        <f t="shared" si="42"/>
        <v>873886.17357562075</v>
      </c>
      <c r="W76">
        <f t="shared" si="43"/>
        <v>873886.17357562075</v>
      </c>
      <c r="X76" s="44">
        <f t="shared" si="50"/>
        <v>115201.00064186112</v>
      </c>
      <c r="Y76" s="28">
        <f t="shared" si="51"/>
        <v>6739.2939222393034</v>
      </c>
      <c r="Z76" s="28">
        <f t="shared" si="52"/>
        <v>867146.87965338142</v>
      </c>
      <c r="AA76">
        <f t="shared" si="53"/>
        <v>0</v>
      </c>
      <c r="AB76" s="28">
        <f t="shared" si="54"/>
        <v>867146.87965338142</v>
      </c>
      <c r="AD76" s="28">
        <f t="shared" si="55"/>
        <v>0</v>
      </c>
      <c r="AE76" s="28">
        <f t="shared" si="56"/>
        <v>867146.87965338142</v>
      </c>
      <c r="AF76" s="51"/>
      <c r="AG76" t="str">
        <f t="shared" si="57"/>
        <v>5302610</v>
      </c>
    </row>
    <row r="77" spans="1:33" x14ac:dyDescent="0.25">
      <c r="A77" s="7" t="s">
        <v>398</v>
      </c>
      <c r="B77" s="2" t="s">
        <v>809</v>
      </c>
      <c r="C77" s="4" t="s">
        <v>808</v>
      </c>
      <c r="D77">
        <f>_xlfn.IFNA(VLOOKUP(A77,'Prior Year data'!$A$1:$T$317,12,FALSE),0)</f>
        <v>84998.798648649579</v>
      </c>
      <c r="E77">
        <f>VLOOKUP(A77,'Basic HH'!$B$1:$Y$321,23,FALSE)</f>
        <v>27407.73587200031</v>
      </c>
      <c r="F77">
        <f>VLOOKUP(A77,'Conc. HH'!$B$1:$Y$321,23,FALSE)</f>
        <v>6961.0195847650912</v>
      </c>
      <c r="G77">
        <f>VLOOKUP(A77,'Targeted HH'!$B$1:$Y$321,23,FALSE)</f>
        <v>18432.836413721761</v>
      </c>
      <c r="H77">
        <f>VLOOKUP(A77,'EFIG HH'!$B$1:$Y$321,23,FALSE)</f>
        <v>24288.804384618092</v>
      </c>
      <c r="I77">
        <f t="shared" si="44"/>
        <v>77090.396255105254</v>
      </c>
      <c r="J77">
        <f t="shared" si="45"/>
        <v>84998.798648649579</v>
      </c>
      <c r="K77" s="44">
        <f t="shared" si="46"/>
        <v>71725.550071723148</v>
      </c>
      <c r="L77">
        <f t="shared" si="47"/>
        <v>5364.8461833821057</v>
      </c>
      <c r="M77">
        <f t="shared" si="48"/>
        <v>0</v>
      </c>
      <c r="N77">
        <f t="shared" si="49"/>
        <v>77090.396255105254</v>
      </c>
      <c r="O77">
        <f t="shared" si="35"/>
        <v>0</v>
      </c>
      <c r="P77">
        <f t="shared" si="36"/>
        <v>0</v>
      </c>
      <c r="Q77">
        <f t="shared" si="37"/>
        <v>77090.396255105254</v>
      </c>
      <c r="R77">
        <f t="shared" si="38"/>
        <v>0</v>
      </c>
      <c r="S77">
        <f t="shared" si="39"/>
        <v>0</v>
      </c>
      <c r="T77">
        <f t="shared" si="40"/>
        <v>77090.396255105254</v>
      </c>
      <c r="U77">
        <f t="shared" si="41"/>
        <v>0</v>
      </c>
      <c r="V77">
        <f t="shared" si="42"/>
        <v>0</v>
      </c>
      <c r="W77">
        <f t="shared" si="43"/>
        <v>77090.396255105254</v>
      </c>
      <c r="X77" s="44">
        <f t="shared" si="50"/>
        <v>0</v>
      </c>
      <c r="Y77" s="28">
        <f t="shared" si="51"/>
        <v>594.51088099872891</v>
      </c>
      <c r="Z77" s="28">
        <f t="shared" si="52"/>
        <v>76495.885374106525</v>
      </c>
      <c r="AA77">
        <f t="shared" si="53"/>
        <v>0</v>
      </c>
      <c r="AB77" s="28">
        <f t="shared" si="54"/>
        <v>76495.885374106525</v>
      </c>
      <c r="AD77" s="28">
        <f t="shared" si="55"/>
        <v>0</v>
      </c>
      <c r="AE77" s="28">
        <f t="shared" si="56"/>
        <v>76495.885374106525</v>
      </c>
      <c r="AF77" s="51"/>
      <c r="AG77" t="str">
        <f t="shared" si="57"/>
        <v>5302640</v>
      </c>
    </row>
    <row r="78" spans="1:33" x14ac:dyDescent="0.25">
      <c r="A78" s="7" t="s">
        <v>129</v>
      </c>
      <c r="B78" s="2" t="s">
        <v>811</v>
      </c>
      <c r="C78" s="4" t="s">
        <v>810</v>
      </c>
      <c r="D78">
        <f>_xlfn.IFNA(VLOOKUP(A78,'Prior Year data'!$A$1:$T$317,12,FALSE),0)</f>
        <v>3483808.4228153909</v>
      </c>
      <c r="E78">
        <f>VLOOKUP(A78,'Basic HH'!$B$1:$Y$321,23,FALSE)</f>
        <v>2022168.4790707368</v>
      </c>
      <c r="F78">
        <f>VLOOKUP(A78,'Conc. HH'!$B$1:$Y$321,23,FALSE)</f>
        <v>0</v>
      </c>
      <c r="G78">
        <f>VLOOKUP(A78,'Targeted HH'!$B$1:$Y$321,23,FALSE)</f>
        <v>1327603.868961964</v>
      </c>
      <c r="H78">
        <f>VLOOKUP(A78,'EFIG HH'!$B$1:$Y$321,23,FALSE)</f>
        <v>1830482.2593490588</v>
      </c>
      <c r="I78">
        <f t="shared" si="44"/>
        <v>5180254.6073817592</v>
      </c>
      <c r="J78">
        <f t="shared" si="45"/>
        <v>3483808.4228153909</v>
      </c>
      <c r="K78" s="44">
        <f t="shared" si="46"/>
        <v>4819752.255475387</v>
      </c>
      <c r="L78">
        <f t="shared" si="47"/>
        <v>0</v>
      </c>
      <c r="M78">
        <f t="shared" si="48"/>
        <v>4819752.255475387</v>
      </c>
      <c r="N78">
        <f t="shared" si="49"/>
        <v>4576899.7869918114</v>
      </c>
      <c r="O78">
        <f t="shared" si="35"/>
        <v>0</v>
      </c>
      <c r="P78">
        <f t="shared" si="36"/>
        <v>4576899.7869918114</v>
      </c>
      <c r="Q78">
        <f t="shared" si="37"/>
        <v>4576899.7869918114</v>
      </c>
      <c r="R78">
        <f t="shared" si="38"/>
        <v>0</v>
      </c>
      <c r="S78">
        <f t="shared" si="39"/>
        <v>4576899.7869918114</v>
      </c>
      <c r="T78">
        <f t="shared" si="40"/>
        <v>4576899.7869918114</v>
      </c>
      <c r="U78">
        <f t="shared" si="41"/>
        <v>0</v>
      </c>
      <c r="V78">
        <f t="shared" si="42"/>
        <v>4576899.7869918114</v>
      </c>
      <c r="W78">
        <f t="shared" si="43"/>
        <v>4576899.7869918114</v>
      </c>
      <c r="X78" s="44">
        <f t="shared" si="50"/>
        <v>603354.82038994785</v>
      </c>
      <c r="Y78" s="28">
        <f t="shared" si="51"/>
        <v>35296.442316927365</v>
      </c>
      <c r="Z78" s="28">
        <f t="shared" si="52"/>
        <v>4541603.3446748843</v>
      </c>
      <c r="AA78">
        <f t="shared" si="53"/>
        <v>0</v>
      </c>
      <c r="AB78" s="28">
        <f t="shared" si="54"/>
        <v>4541603.3446748843</v>
      </c>
      <c r="AD78" s="28">
        <f t="shared" si="55"/>
        <v>0</v>
      </c>
      <c r="AE78" s="28">
        <f t="shared" si="56"/>
        <v>4541603.3446748843</v>
      </c>
      <c r="AF78" s="51"/>
      <c r="AG78" t="str">
        <f t="shared" si="57"/>
        <v>5302670</v>
      </c>
    </row>
    <row r="79" spans="1:33" x14ac:dyDescent="0.25">
      <c r="A79" s="7" t="s">
        <v>280</v>
      </c>
      <c r="B79" s="2" t="s">
        <v>813</v>
      </c>
      <c r="C79" s="4" t="s">
        <v>812</v>
      </c>
      <c r="D79">
        <f>_xlfn.IFNA(VLOOKUP(A79,'Prior Year data'!$A$1:$T$317,12,FALSE),0)</f>
        <v>6668117.5368175795</v>
      </c>
      <c r="E79">
        <f>VLOOKUP(A79,'Basic HH'!$B$1:$Y$321,23,FALSE)</f>
        <v>2285368.6298983172</v>
      </c>
      <c r="F79">
        <f>VLOOKUP(A79,'Conc. HH'!$B$1:$Y$321,23,FALSE)</f>
        <v>0</v>
      </c>
      <c r="G79">
        <f>VLOOKUP(A79,'Targeted HH'!$B$1:$Y$321,23,FALSE)</f>
        <v>1579500.80519037</v>
      </c>
      <c r="H79">
        <f>VLOOKUP(A79,'EFIG HH'!$B$1:$Y$321,23,FALSE)</f>
        <v>2177794.3482412067</v>
      </c>
      <c r="I79">
        <f t="shared" si="44"/>
        <v>6042663.7833298938</v>
      </c>
      <c r="J79">
        <f t="shared" si="45"/>
        <v>6668117.5368175795</v>
      </c>
      <c r="K79" s="44">
        <f t="shared" si="46"/>
        <v>5622144.9728131844</v>
      </c>
      <c r="L79">
        <f t="shared" si="47"/>
        <v>420518.81051670946</v>
      </c>
      <c r="M79">
        <f t="shared" si="48"/>
        <v>0</v>
      </c>
      <c r="N79">
        <f t="shared" si="49"/>
        <v>6042663.7833298938</v>
      </c>
      <c r="O79">
        <f t="shared" si="35"/>
        <v>0</v>
      </c>
      <c r="P79">
        <f t="shared" si="36"/>
        <v>0</v>
      </c>
      <c r="Q79">
        <f t="shared" si="37"/>
        <v>6042663.7833298938</v>
      </c>
      <c r="R79">
        <f t="shared" si="38"/>
        <v>0</v>
      </c>
      <c r="S79">
        <f t="shared" si="39"/>
        <v>0</v>
      </c>
      <c r="T79">
        <f t="shared" si="40"/>
        <v>6042663.7833298938</v>
      </c>
      <c r="U79">
        <f t="shared" si="41"/>
        <v>0</v>
      </c>
      <c r="V79">
        <f t="shared" si="42"/>
        <v>0</v>
      </c>
      <c r="W79">
        <f t="shared" si="43"/>
        <v>6042663.7833298938</v>
      </c>
      <c r="X79" s="44">
        <f t="shared" si="50"/>
        <v>0</v>
      </c>
      <c r="Y79" s="28">
        <f t="shared" si="51"/>
        <v>46600.219273988499</v>
      </c>
      <c r="Z79" s="28">
        <f t="shared" si="52"/>
        <v>5996063.5640559057</v>
      </c>
      <c r="AA79">
        <f t="shared" si="53"/>
        <v>0</v>
      </c>
      <c r="AB79" s="28">
        <f t="shared" si="54"/>
        <v>5996063.5640559057</v>
      </c>
      <c r="AD79" s="28">
        <f t="shared" si="55"/>
        <v>0</v>
      </c>
      <c r="AE79" s="28">
        <f t="shared" si="56"/>
        <v>5996063.5640559057</v>
      </c>
      <c r="AF79" s="51"/>
      <c r="AG79" t="str">
        <f t="shared" si="57"/>
        <v>5302700</v>
      </c>
    </row>
    <row r="80" spans="1:33" x14ac:dyDescent="0.25">
      <c r="A80" s="7" t="s">
        <v>400</v>
      </c>
      <c r="B80" s="2" t="s">
        <v>815</v>
      </c>
      <c r="C80" s="4" t="s">
        <v>814</v>
      </c>
      <c r="D80">
        <f>_xlfn.IFNA(VLOOKUP(A80,'Prior Year data'!$A$1:$T$317,12,FALSE),0)</f>
        <v>41548.85923408786</v>
      </c>
      <c r="E80">
        <f>VLOOKUP(A80,'Basic HH'!$B$1:$Y$321,23,FALSE)</f>
        <v>13904.48341118833</v>
      </c>
      <c r="F80">
        <f>VLOOKUP(A80,'Conc. HH'!$B$1:$Y$321,23,FALSE)</f>
        <v>3615.2771630109637</v>
      </c>
      <c r="G80">
        <f>VLOOKUP(A80,'Targeted HH'!$B$1:$Y$321,23,FALSE)</f>
        <v>10424.757619893451</v>
      </c>
      <c r="H80">
        <f>VLOOKUP(A80,'EFIG HH'!$B$1:$Y$321,23,FALSE)</f>
        <v>14375.049208215831</v>
      </c>
      <c r="I80">
        <f t="shared" si="44"/>
        <v>42319.567402308574</v>
      </c>
      <c r="J80">
        <f t="shared" si="45"/>
        <v>41548.85923408786</v>
      </c>
      <c r="K80" s="44">
        <f t="shared" si="46"/>
        <v>39374.479807877877</v>
      </c>
      <c r="L80">
        <f t="shared" si="47"/>
        <v>2174.3794262099836</v>
      </c>
      <c r="M80">
        <f t="shared" si="48"/>
        <v>0</v>
      </c>
      <c r="N80">
        <f t="shared" si="49"/>
        <v>41548.85923408786</v>
      </c>
      <c r="O80">
        <f t="shared" si="35"/>
        <v>0</v>
      </c>
      <c r="P80">
        <f t="shared" si="36"/>
        <v>0</v>
      </c>
      <c r="Q80">
        <f t="shared" si="37"/>
        <v>41548.85923408786</v>
      </c>
      <c r="R80">
        <f t="shared" si="38"/>
        <v>0</v>
      </c>
      <c r="S80">
        <f t="shared" si="39"/>
        <v>0</v>
      </c>
      <c r="T80">
        <f t="shared" si="40"/>
        <v>41548.85923408786</v>
      </c>
      <c r="U80">
        <f t="shared" si="41"/>
        <v>0</v>
      </c>
      <c r="V80">
        <f t="shared" si="42"/>
        <v>0</v>
      </c>
      <c r="W80">
        <f t="shared" si="43"/>
        <v>41548.85923408786</v>
      </c>
      <c r="X80" s="44">
        <f t="shared" si="50"/>
        <v>770.70816822071356</v>
      </c>
      <c r="Y80" s="28">
        <f t="shared" si="51"/>
        <v>320.4192753920878</v>
      </c>
      <c r="Z80" s="28">
        <f t="shared" si="52"/>
        <v>41228.439958695773</v>
      </c>
      <c r="AA80">
        <f t="shared" si="53"/>
        <v>0</v>
      </c>
      <c r="AB80" s="28">
        <f t="shared" si="54"/>
        <v>41228.439958695773</v>
      </c>
      <c r="AD80" s="28">
        <f t="shared" si="55"/>
        <v>0</v>
      </c>
      <c r="AE80" s="28">
        <f t="shared" si="56"/>
        <v>41228.439958695773</v>
      </c>
      <c r="AF80" s="51"/>
      <c r="AG80" t="str">
        <f t="shared" si="57"/>
        <v>5302730</v>
      </c>
    </row>
    <row r="81" spans="1:33" x14ac:dyDescent="0.25">
      <c r="A81" s="7" t="s">
        <v>402</v>
      </c>
      <c r="B81" s="2" t="s">
        <v>817</v>
      </c>
      <c r="C81" s="4" t="s">
        <v>816</v>
      </c>
      <c r="D81">
        <f>_xlfn.IFNA(VLOOKUP(A81,'Prior Year data'!$A$1:$T$317,12,FALSE),0)</f>
        <v>9203113.8042870201</v>
      </c>
      <c r="E81">
        <f>VLOOKUP(A81,'Basic HH'!$B$1:$Y$321,23,FALSE)</f>
        <v>3668459.618560907</v>
      </c>
      <c r="F81">
        <f>VLOOKUP(A81,'Conc. HH'!$B$1:$Y$321,23,FALSE)</f>
        <v>964355.7337460909</v>
      </c>
      <c r="G81">
        <f>VLOOKUP(A81,'Targeted HH'!$B$1:$Y$321,23,FALSE)</f>
        <v>2903194.5092925788</v>
      </c>
      <c r="H81">
        <f>VLOOKUP(A81,'EFIG HH'!$B$1:$Y$321,23,FALSE)</f>
        <v>4002885.3251646515</v>
      </c>
      <c r="I81">
        <f t="shared" si="44"/>
        <v>11538895.186764227</v>
      </c>
      <c r="J81">
        <f t="shared" si="45"/>
        <v>9203113.8042870201</v>
      </c>
      <c r="K81" s="44">
        <f t="shared" si="46"/>
        <v>10735884.684673849</v>
      </c>
      <c r="L81">
        <f t="shared" si="47"/>
        <v>0</v>
      </c>
      <c r="M81">
        <f t="shared" si="48"/>
        <v>10735884.684673849</v>
      </c>
      <c r="N81">
        <f t="shared" si="49"/>
        <v>10194936.528248141</v>
      </c>
      <c r="O81">
        <f t="shared" ref="O81:O144" si="58">IF(L81=0,IF(N81&lt;J81,MIN(I81,J81)-N81,0),0)</f>
        <v>0</v>
      </c>
      <c r="P81">
        <f t="shared" ref="P81:P144" si="59">IF(O81+L81=0,N81,0)</f>
        <v>10194936.528248141</v>
      </c>
      <c r="Q81">
        <f t="shared" ref="Q81:Q144" si="60">IF(J81&gt;0,N81,IF(O81&gt;0,O81+N81,P81-(P81/$P$3*$O$3)))</f>
        <v>10194936.528248141</v>
      </c>
      <c r="R81">
        <f t="shared" ref="R81:R144" si="61">IF(O81=0, IF(Q81&lt;J81,MIN(I81,J81)-Q81,0),0)</f>
        <v>0</v>
      </c>
      <c r="S81">
        <f t="shared" ref="S81:S144" si="62">IF(L81+O81+R81=0,N81,0)</f>
        <v>10194936.528248141</v>
      </c>
      <c r="T81">
        <f t="shared" ref="T81:T144" si="63">IF(J81&gt;0,Q81,IF(R81&gt;0,Q81+N81,S81-(S81/$S$3*$R$3)))</f>
        <v>10194936.528248141</v>
      </c>
      <c r="U81">
        <f t="shared" ref="U81:U144" si="64">IF(R81=0,IF(T81&lt;J81,MIN(I81,J81)-T81,0),0)</f>
        <v>0</v>
      </c>
      <c r="V81">
        <f t="shared" ref="V81:V144" si="65">IF(U81+R81+O81+L81=0,T81,0)</f>
        <v>10194936.528248141</v>
      </c>
      <c r="W81">
        <f t="shared" ref="W81:W144" si="66">IF(J81&gt;0,T81,IF(T81&gt;0,U81+T81,U81-(U81/$U$3*$T$3)))</f>
        <v>10194936.528248141</v>
      </c>
      <c r="X81" s="44">
        <f t="shared" si="50"/>
        <v>1343958.6585160866</v>
      </c>
      <c r="Y81" s="28">
        <f t="shared" si="51"/>
        <v>78621.994328295332</v>
      </c>
      <c r="Z81" s="28">
        <f t="shared" si="52"/>
        <v>10116314.533919845</v>
      </c>
      <c r="AA81">
        <f t="shared" si="53"/>
        <v>0</v>
      </c>
      <c r="AB81" s="28">
        <f t="shared" si="54"/>
        <v>10116314.533919845</v>
      </c>
      <c r="AD81" s="28">
        <f t="shared" si="55"/>
        <v>0</v>
      </c>
      <c r="AE81" s="28">
        <f t="shared" si="56"/>
        <v>10116314.533919845</v>
      </c>
      <c r="AF81" s="51"/>
      <c r="AG81" t="str">
        <f t="shared" si="57"/>
        <v>5302820</v>
      </c>
    </row>
    <row r="82" spans="1:33" x14ac:dyDescent="0.25">
      <c r="A82" s="7" t="s">
        <v>131</v>
      </c>
      <c r="B82" s="2" t="s">
        <v>819</v>
      </c>
      <c r="C82" s="4" t="s">
        <v>818</v>
      </c>
      <c r="D82">
        <f>_xlfn.IFNA(VLOOKUP(A82,'Prior Year data'!$A$1:$T$317,12,FALSE),0)</f>
        <v>1919653.9910241244</v>
      </c>
      <c r="E82">
        <f>VLOOKUP(A82,'Basic HH'!$B$1:$Y$321,23,FALSE)</f>
        <v>708019.00264156493</v>
      </c>
      <c r="F82">
        <f>VLOOKUP(A82,'Conc. HH'!$B$1:$Y$321,23,FALSE)</f>
        <v>185434.09515999569</v>
      </c>
      <c r="G82">
        <f>VLOOKUP(A82,'Targeted HH'!$B$1:$Y$321,23,FALSE)</f>
        <v>400912.75489490537</v>
      </c>
      <c r="H82">
        <f>VLOOKUP(A82,'EFIG HH'!$B$1:$Y$321,23,FALSE)</f>
        <v>552832.09355562367</v>
      </c>
      <c r="I82">
        <f t="shared" si="44"/>
        <v>1847197.9462520897</v>
      </c>
      <c r="J82">
        <f t="shared" si="45"/>
        <v>1919653.9910241244</v>
      </c>
      <c r="K82" s="44">
        <f t="shared" si="46"/>
        <v>1718648.4338185547</v>
      </c>
      <c r="L82">
        <f t="shared" si="47"/>
        <v>128549.51243353495</v>
      </c>
      <c r="M82">
        <f t="shared" si="48"/>
        <v>0</v>
      </c>
      <c r="N82">
        <f t="shared" si="49"/>
        <v>1847197.9462520897</v>
      </c>
      <c r="O82">
        <f t="shared" si="58"/>
        <v>0</v>
      </c>
      <c r="P82">
        <f t="shared" si="59"/>
        <v>0</v>
      </c>
      <c r="Q82">
        <f t="shared" si="60"/>
        <v>1847197.9462520897</v>
      </c>
      <c r="R82">
        <f t="shared" si="61"/>
        <v>0</v>
      </c>
      <c r="S82">
        <f t="shared" si="62"/>
        <v>0</v>
      </c>
      <c r="T82">
        <f t="shared" si="63"/>
        <v>1847197.9462520897</v>
      </c>
      <c r="U82">
        <f t="shared" si="64"/>
        <v>0</v>
      </c>
      <c r="V82">
        <f t="shared" si="65"/>
        <v>0</v>
      </c>
      <c r="W82">
        <f t="shared" si="66"/>
        <v>1847197.9462520897</v>
      </c>
      <c r="X82" s="44">
        <f t="shared" si="50"/>
        <v>0</v>
      </c>
      <c r="Y82" s="28">
        <f t="shared" si="51"/>
        <v>14245.344838691841</v>
      </c>
      <c r="Z82" s="28">
        <f t="shared" si="52"/>
        <v>1832952.6014133978</v>
      </c>
      <c r="AA82">
        <f t="shared" si="53"/>
        <v>0</v>
      </c>
      <c r="AB82" s="28">
        <f t="shared" si="54"/>
        <v>1832952.6014133978</v>
      </c>
      <c r="AD82" s="28">
        <f t="shared" si="55"/>
        <v>0</v>
      </c>
      <c r="AE82" s="28">
        <f t="shared" si="56"/>
        <v>1832952.6014133978</v>
      </c>
      <c r="AF82" s="51"/>
      <c r="AG82" t="str">
        <f t="shared" si="57"/>
        <v>5302850</v>
      </c>
    </row>
    <row r="83" spans="1:33" x14ac:dyDescent="0.25">
      <c r="A83" s="7" t="s">
        <v>133</v>
      </c>
      <c r="B83" s="2" t="s">
        <v>821</v>
      </c>
      <c r="C83" s="4" t="s">
        <v>820</v>
      </c>
      <c r="D83">
        <f>_xlfn.IFNA(VLOOKUP(A83,'Prior Year data'!$A$1:$T$317,12,FALSE),0)</f>
        <v>627963.66677285358</v>
      </c>
      <c r="E83">
        <f>VLOOKUP(A83,'Basic HH'!$B$1:$Y$321,23,FALSE)</f>
        <v>310507.36747959821</v>
      </c>
      <c r="F83">
        <f>VLOOKUP(A83,'Conc. HH'!$B$1:$Y$321,23,FALSE)</f>
        <v>0</v>
      </c>
      <c r="G83">
        <f>VLOOKUP(A83,'Targeted HH'!$B$1:$Y$321,23,FALSE)</f>
        <v>148586.26467067713</v>
      </c>
      <c r="H83">
        <f>VLOOKUP(A83,'EFIG HH'!$B$1:$Y$321,23,FALSE)</f>
        <v>204868.7321733096</v>
      </c>
      <c r="I83">
        <f t="shared" si="44"/>
        <v>663962.36432358494</v>
      </c>
      <c r="J83">
        <f t="shared" si="45"/>
        <v>627963.66677285358</v>
      </c>
      <c r="K83" s="44">
        <f t="shared" si="46"/>
        <v>617756.14241802751</v>
      </c>
      <c r="L83">
        <f t="shared" si="47"/>
        <v>10207.524354826077</v>
      </c>
      <c r="M83">
        <f t="shared" si="48"/>
        <v>0</v>
      </c>
      <c r="N83">
        <f t="shared" si="49"/>
        <v>627963.66677285358</v>
      </c>
      <c r="O83">
        <f t="shared" si="58"/>
        <v>0</v>
      </c>
      <c r="P83">
        <f t="shared" si="59"/>
        <v>0</v>
      </c>
      <c r="Q83">
        <f t="shared" si="60"/>
        <v>627963.66677285358</v>
      </c>
      <c r="R83">
        <f t="shared" si="61"/>
        <v>0</v>
      </c>
      <c r="S83">
        <f t="shared" si="62"/>
        <v>0</v>
      </c>
      <c r="T83">
        <f t="shared" si="63"/>
        <v>627963.66677285358</v>
      </c>
      <c r="U83">
        <f t="shared" si="64"/>
        <v>0</v>
      </c>
      <c r="V83">
        <f t="shared" si="65"/>
        <v>0</v>
      </c>
      <c r="W83">
        <f t="shared" si="66"/>
        <v>627963.66677285358</v>
      </c>
      <c r="X83" s="44">
        <f t="shared" si="50"/>
        <v>35998.697550731362</v>
      </c>
      <c r="Y83" s="28">
        <f t="shared" si="51"/>
        <v>4842.7722635243008</v>
      </c>
      <c r="Z83" s="28">
        <f t="shared" si="52"/>
        <v>623120.89450932923</v>
      </c>
      <c r="AA83">
        <f t="shared" si="53"/>
        <v>0</v>
      </c>
      <c r="AB83" s="28">
        <f t="shared" si="54"/>
        <v>623120.89450932923</v>
      </c>
      <c r="AD83" s="28">
        <f t="shared" si="55"/>
        <v>0</v>
      </c>
      <c r="AE83" s="28">
        <f t="shared" si="56"/>
        <v>623120.89450932923</v>
      </c>
      <c r="AF83" s="51"/>
      <c r="AG83" t="str">
        <f t="shared" si="57"/>
        <v>5302880</v>
      </c>
    </row>
    <row r="84" spans="1:33" x14ac:dyDescent="0.25">
      <c r="A84" s="7" t="s">
        <v>404</v>
      </c>
      <c r="B84" s="2" t="s">
        <v>823</v>
      </c>
      <c r="C84" s="4" t="s">
        <v>822</v>
      </c>
      <c r="D84">
        <f>_xlfn.IFNA(VLOOKUP(A84,'Prior Year data'!$A$1:$T$317,12,FALSE),0)</f>
        <v>330402.04593511386</v>
      </c>
      <c r="E84">
        <f>VLOOKUP(A84,'Basic HH'!$B$1:$Y$321,23,FALSE)</f>
        <v>123367.20827491388</v>
      </c>
      <c r="F84">
        <f>VLOOKUP(A84,'Conc. HH'!$B$1:$Y$321,23,FALSE)</f>
        <v>31332.816286980466</v>
      </c>
      <c r="G84">
        <f>VLOOKUP(A84,'Targeted HH'!$B$1:$Y$321,23,FALSE)</f>
        <v>55362.458950249391</v>
      </c>
      <c r="H84">
        <f>VLOOKUP(A84,'EFIG HH'!$B$1:$Y$321,23,FALSE)</f>
        <v>72950.679185382731</v>
      </c>
      <c r="I84">
        <f t="shared" si="44"/>
        <v>283013.16269752651</v>
      </c>
      <c r="J84">
        <f t="shared" si="45"/>
        <v>330402.04593511386</v>
      </c>
      <c r="K84" s="44">
        <f t="shared" si="46"/>
        <v>263317.81594226614</v>
      </c>
      <c r="L84">
        <f t="shared" si="47"/>
        <v>19695.346755260369</v>
      </c>
      <c r="M84">
        <f t="shared" si="48"/>
        <v>0</v>
      </c>
      <c r="N84">
        <f t="shared" si="49"/>
        <v>283013.16269752651</v>
      </c>
      <c r="O84">
        <f t="shared" si="58"/>
        <v>0</v>
      </c>
      <c r="P84">
        <f t="shared" si="59"/>
        <v>0</v>
      </c>
      <c r="Q84">
        <f t="shared" si="60"/>
        <v>283013.16269752651</v>
      </c>
      <c r="R84">
        <f t="shared" si="61"/>
        <v>0</v>
      </c>
      <c r="S84">
        <f t="shared" si="62"/>
        <v>0</v>
      </c>
      <c r="T84">
        <f t="shared" si="63"/>
        <v>283013.16269752651</v>
      </c>
      <c r="U84">
        <f t="shared" si="64"/>
        <v>0</v>
      </c>
      <c r="V84">
        <f t="shared" si="65"/>
        <v>0</v>
      </c>
      <c r="W84">
        <f t="shared" si="66"/>
        <v>283013.16269752651</v>
      </c>
      <c r="X84" s="44">
        <f t="shared" si="50"/>
        <v>0</v>
      </c>
      <c r="Y84" s="28">
        <f t="shared" si="51"/>
        <v>2182.5598630049917</v>
      </c>
      <c r="Z84" s="28">
        <f t="shared" si="52"/>
        <v>280830.6028345215</v>
      </c>
      <c r="AA84">
        <f t="shared" si="53"/>
        <v>0</v>
      </c>
      <c r="AB84" s="28">
        <f t="shared" si="54"/>
        <v>280830.6028345215</v>
      </c>
      <c r="AD84" s="28">
        <f t="shared" si="55"/>
        <v>0</v>
      </c>
      <c r="AE84" s="28">
        <f t="shared" si="56"/>
        <v>280830.6028345215</v>
      </c>
      <c r="AF84" s="51"/>
      <c r="AG84" t="str">
        <f t="shared" si="57"/>
        <v>5302910</v>
      </c>
    </row>
    <row r="85" spans="1:33" x14ac:dyDescent="0.25">
      <c r="A85" s="7" t="s">
        <v>406</v>
      </c>
      <c r="B85" s="2" t="s">
        <v>825</v>
      </c>
      <c r="C85" s="4" t="s">
        <v>824</v>
      </c>
      <c r="D85">
        <f>_xlfn.IFNA(VLOOKUP(A85,'Prior Year data'!$A$1:$T$317,12,FALSE),0)</f>
        <v>2725369.7159458031</v>
      </c>
      <c r="E85">
        <f>VLOOKUP(A85,'Basic HH'!$B$1:$Y$321,23,FALSE)</f>
        <v>1076024.1460304086</v>
      </c>
      <c r="F85">
        <f>VLOOKUP(A85,'Conc. HH'!$B$1:$Y$321,23,FALSE)</f>
        <v>208730.02119749374</v>
      </c>
      <c r="G85">
        <f>VLOOKUP(A85,'Targeted HH'!$B$1:$Y$321,23,FALSE)</f>
        <v>630153.93687204062</v>
      </c>
      <c r="H85">
        <f>VLOOKUP(A85,'EFIG HH'!$B$1:$Y$321,23,FALSE)</f>
        <v>868847.72564359289</v>
      </c>
      <c r="I85">
        <f t="shared" si="44"/>
        <v>2783755.8297435357</v>
      </c>
      <c r="J85">
        <f t="shared" si="45"/>
        <v>2725369.7159458031</v>
      </c>
      <c r="K85" s="44">
        <f t="shared" si="46"/>
        <v>2590029.7294229879</v>
      </c>
      <c r="L85">
        <f t="shared" si="47"/>
        <v>135339.98652281519</v>
      </c>
      <c r="M85">
        <f t="shared" si="48"/>
        <v>0</v>
      </c>
      <c r="N85">
        <f t="shared" si="49"/>
        <v>2725369.7159458031</v>
      </c>
      <c r="O85">
        <f t="shared" si="58"/>
        <v>0</v>
      </c>
      <c r="P85">
        <f t="shared" si="59"/>
        <v>0</v>
      </c>
      <c r="Q85">
        <f t="shared" si="60"/>
        <v>2725369.7159458031</v>
      </c>
      <c r="R85">
        <f t="shared" si="61"/>
        <v>0</v>
      </c>
      <c r="S85">
        <f t="shared" si="62"/>
        <v>0</v>
      </c>
      <c r="T85">
        <f t="shared" si="63"/>
        <v>2725369.7159458031</v>
      </c>
      <c r="U85">
        <f t="shared" si="64"/>
        <v>0</v>
      </c>
      <c r="V85">
        <f t="shared" si="65"/>
        <v>0</v>
      </c>
      <c r="W85">
        <f t="shared" si="66"/>
        <v>2725369.7159458031</v>
      </c>
      <c r="X85" s="44">
        <f t="shared" si="50"/>
        <v>58386.113797732629</v>
      </c>
      <c r="Y85" s="28">
        <f t="shared" si="51"/>
        <v>21017.68870810408</v>
      </c>
      <c r="Z85" s="28">
        <f t="shared" si="52"/>
        <v>2704352.0272376989</v>
      </c>
      <c r="AA85">
        <f t="shared" si="53"/>
        <v>0</v>
      </c>
      <c r="AB85" s="28">
        <f t="shared" si="54"/>
        <v>2704352.0272376989</v>
      </c>
      <c r="AD85" s="28">
        <f t="shared" si="55"/>
        <v>0</v>
      </c>
      <c r="AE85" s="28">
        <f t="shared" si="56"/>
        <v>2704352.0272376989</v>
      </c>
      <c r="AF85" s="51"/>
      <c r="AG85" t="str">
        <f t="shared" si="57"/>
        <v>5302940</v>
      </c>
    </row>
    <row r="86" spans="1:33" x14ac:dyDescent="0.25">
      <c r="A86" s="7" t="s">
        <v>135</v>
      </c>
      <c r="B86" s="2" t="s">
        <v>827</v>
      </c>
      <c r="C86" s="4" t="s">
        <v>826</v>
      </c>
      <c r="D86">
        <f>_xlfn.IFNA(VLOOKUP(A86,'Prior Year data'!$A$1:$T$317,12,FALSE),0)</f>
        <v>89269.344786337009</v>
      </c>
      <c r="E86">
        <f>VLOOKUP(A86,'Basic HH'!$B$1:$Y$321,23,FALSE)</f>
        <v>43006.560592742171</v>
      </c>
      <c r="F86">
        <f>VLOOKUP(A86,'Conc. HH'!$B$1:$Y$321,23,FALSE)</f>
        <v>0</v>
      </c>
      <c r="G86">
        <f>VLOOKUP(A86,'Targeted HH'!$B$1:$Y$321,23,FALSE)</f>
        <v>20579.815051340323</v>
      </c>
      <c r="H86">
        <f>VLOOKUP(A86,'EFIG HH'!$B$1:$Y$321,23,FALSE)</f>
        <v>28375.170661123218</v>
      </c>
      <c r="I86">
        <f t="shared" si="44"/>
        <v>91961.546305205717</v>
      </c>
      <c r="J86">
        <f t="shared" si="45"/>
        <v>89269.344786337009</v>
      </c>
      <c r="K86" s="44">
        <f t="shared" si="46"/>
        <v>85561.792578674213</v>
      </c>
      <c r="L86">
        <f t="shared" si="47"/>
        <v>3707.5522076627967</v>
      </c>
      <c r="M86">
        <f t="shared" si="48"/>
        <v>0</v>
      </c>
      <c r="N86">
        <f t="shared" si="49"/>
        <v>89269.344786337009</v>
      </c>
      <c r="O86">
        <f t="shared" si="58"/>
        <v>0</v>
      </c>
      <c r="P86">
        <f t="shared" si="59"/>
        <v>0</v>
      </c>
      <c r="Q86">
        <f t="shared" si="60"/>
        <v>89269.344786337009</v>
      </c>
      <c r="R86">
        <f t="shared" si="61"/>
        <v>0</v>
      </c>
      <c r="S86">
        <f t="shared" si="62"/>
        <v>0</v>
      </c>
      <c r="T86">
        <f t="shared" si="63"/>
        <v>89269.344786337009</v>
      </c>
      <c r="U86">
        <f t="shared" si="64"/>
        <v>0</v>
      </c>
      <c r="V86">
        <f t="shared" si="65"/>
        <v>0</v>
      </c>
      <c r="W86">
        <f t="shared" si="66"/>
        <v>89269.344786337009</v>
      </c>
      <c r="X86" s="44">
        <f t="shared" si="50"/>
        <v>2692.2015188687074</v>
      </c>
      <c r="Y86" s="28">
        <f t="shared" si="51"/>
        <v>688.43331197159171</v>
      </c>
      <c r="Z86" s="28">
        <f t="shared" si="52"/>
        <v>88580.911474365421</v>
      </c>
      <c r="AA86">
        <f t="shared" si="53"/>
        <v>0</v>
      </c>
      <c r="AB86" s="28">
        <f t="shared" si="54"/>
        <v>88580.911474365421</v>
      </c>
      <c r="AD86" s="28">
        <f t="shared" si="55"/>
        <v>0</v>
      </c>
      <c r="AE86" s="28">
        <f t="shared" si="56"/>
        <v>88580.911474365421</v>
      </c>
      <c r="AF86" s="51"/>
      <c r="AG86" t="str">
        <f t="shared" si="57"/>
        <v>5302970</v>
      </c>
    </row>
    <row r="87" spans="1:33" x14ac:dyDescent="0.25">
      <c r="A87" s="7" t="s">
        <v>408</v>
      </c>
      <c r="B87" s="2" t="s">
        <v>829</v>
      </c>
      <c r="C87" s="4" t="s">
        <v>828</v>
      </c>
      <c r="D87">
        <f>_xlfn.IFNA(VLOOKUP(A87,'Prior Year data'!$A$1:$T$317,12,FALSE),0)</f>
        <v>56349.906015142209</v>
      </c>
      <c r="E87">
        <f>VLOOKUP(A87,'Basic HH'!$B$1:$Y$321,23,FALSE)</f>
        <v>30104.592414919527</v>
      </c>
      <c r="F87">
        <f>VLOOKUP(A87,'Conc. HH'!$B$1:$Y$321,23,FALSE)</f>
        <v>7913.8219650910132</v>
      </c>
      <c r="G87">
        <f>VLOOKUP(A87,'Targeted HH'!$B$1:$Y$321,23,FALSE)</f>
        <v>21238.482321965999</v>
      </c>
      <c r="H87">
        <f>VLOOKUP(A87,'EFIG HH'!$B$1:$Y$321,23,FALSE)</f>
        <v>29283.332185717805</v>
      </c>
      <c r="I87">
        <f t="shared" si="44"/>
        <v>88540.228887694349</v>
      </c>
      <c r="J87">
        <f t="shared" si="45"/>
        <v>56349.906015142209</v>
      </c>
      <c r="K87" s="44">
        <f t="shared" si="46"/>
        <v>82378.570210366321</v>
      </c>
      <c r="L87">
        <f t="shared" si="47"/>
        <v>0</v>
      </c>
      <c r="M87">
        <f t="shared" si="48"/>
        <v>82378.570210366321</v>
      </c>
      <c r="N87">
        <f t="shared" si="49"/>
        <v>78227.767831881458</v>
      </c>
      <c r="O87">
        <f t="shared" si="58"/>
        <v>0</v>
      </c>
      <c r="P87">
        <f t="shared" si="59"/>
        <v>78227.767831881458</v>
      </c>
      <c r="Q87">
        <f t="shared" si="60"/>
        <v>78227.767831881458</v>
      </c>
      <c r="R87">
        <f t="shared" si="61"/>
        <v>0</v>
      </c>
      <c r="S87">
        <f t="shared" si="62"/>
        <v>78227.767831881458</v>
      </c>
      <c r="T87">
        <f t="shared" si="63"/>
        <v>78227.767831881458</v>
      </c>
      <c r="U87">
        <f t="shared" si="64"/>
        <v>0</v>
      </c>
      <c r="V87">
        <f t="shared" si="65"/>
        <v>78227.767831881458</v>
      </c>
      <c r="W87">
        <f t="shared" si="66"/>
        <v>78227.767831881458</v>
      </c>
      <c r="X87" s="44">
        <f t="shared" si="50"/>
        <v>10312.461055812892</v>
      </c>
      <c r="Y87" s="28">
        <f t="shared" si="51"/>
        <v>603.28213930040545</v>
      </c>
      <c r="Z87" s="28">
        <f t="shared" si="52"/>
        <v>77624.485692581045</v>
      </c>
      <c r="AA87">
        <f t="shared" si="53"/>
        <v>0</v>
      </c>
      <c r="AB87" s="28">
        <f t="shared" si="54"/>
        <v>77624.485692581045</v>
      </c>
      <c r="AD87" s="28">
        <f t="shared" si="55"/>
        <v>0</v>
      </c>
      <c r="AE87" s="28">
        <f t="shared" si="56"/>
        <v>77624.485692581045</v>
      </c>
      <c r="AF87" s="51"/>
      <c r="AG87" t="str">
        <f t="shared" si="57"/>
        <v>5303000</v>
      </c>
    </row>
    <row r="88" spans="1:33" x14ac:dyDescent="0.25">
      <c r="A88" s="7" t="s">
        <v>137</v>
      </c>
      <c r="B88" s="2" t="s">
        <v>831</v>
      </c>
      <c r="C88" s="4" t="s">
        <v>830</v>
      </c>
      <c r="D88">
        <f>_xlfn.IFNA(VLOOKUP(A88,'Prior Year data'!$A$1:$T$317,12,FALSE),0)</f>
        <v>37004.887630649602</v>
      </c>
      <c r="E88">
        <f>VLOOKUP(A88,'Basic HH'!$B$1:$Y$321,23,FALSE)</f>
        <v>11634.02024081536</v>
      </c>
      <c r="F88">
        <f>VLOOKUP(A88,'Conc. HH'!$B$1:$Y$321,23,FALSE)</f>
        <v>3047.0142868761773</v>
      </c>
      <c r="G88">
        <f>VLOOKUP(A88,'Targeted HH'!$B$1:$Y$321,23,FALSE)</f>
        <v>7943.5333803979074</v>
      </c>
      <c r="H88">
        <f>VLOOKUP(A88,'EFIG HH'!$B$1:$Y$321,23,FALSE)</f>
        <v>10953.605579511985</v>
      </c>
      <c r="I88">
        <f t="shared" si="44"/>
        <v>33578.173487601431</v>
      </c>
      <c r="J88">
        <f t="shared" si="45"/>
        <v>37004.887630649602</v>
      </c>
      <c r="K88" s="44">
        <f t="shared" si="46"/>
        <v>31241.413727231524</v>
      </c>
      <c r="L88">
        <f t="shared" si="47"/>
        <v>2336.7597603699069</v>
      </c>
      <c r="M88">
        <f t="shared" si="48"/>
        <v>0</v>
      </c>
      <c r="N88">
        <f t="shared" si="49"/>
        <v>33578.173487601431</v>
      </c>
      <c r="O88">
        <f t="shared" si="58"/>
        <v>0</v>
      </c>
      <c r="P88">
        <f t="shared" si="59"/>
        <v>0</v>
      </c>
      <c r="Q88">
        <f t="shared" si="60"/>
        <v>33578.173487601431</v>
      </c>
      <c r="R88">
        <f t="shared" si="61"/>
        <v>0</v>
      </c>
      <c r="S88">
        <f t="shared" si="62"/>
        <v>0</v>
      </c>
      <c r="T88">
        <f t="shared" si="63"/>
        <v>33578.173487601431</v>
      </c>
      <c r="U88">
        <f t="shared" si="64"/>
        <v>0</v>
      </c>
      <c r="V88">
        <f t="shared" si="65"/>
        <v>0</v>
      </c>
      <c r="W88">
        <f t="shared" si="66"/>
        <v>33578.173487601431</v>
      </c>
      <c r="X88" s="44">
        <f t="shared" si="50"/>
        <v>0</v>
      </c>
      <c r="Y88" s="28">
        <f t="shared" si="51"/>
        <v>258.9504072126245</v>
      </c>
      <c r="Z88" s="28">
        <f t="shared" si="52"/>
        <v>33319.223080388809</v>
      </c>
      <c r="AA88">
        <f t="shared" si="53"/>
        <v>0</v>
      </c>
      <c r="AB88" s="28">
        <f t="shared" si="54"/>
        <v>33319.223080388809</v>
      </c>
      <c r="AD88" s="28">
        <f t="shared" si="55"/>
        <v>0</v>
      </c>
      <c r="AE88" s="28">
        <f t="shared" si="56"/>
        <v>33319.223080388809</v>
      </c>
      <c r="AF88" s="51"/>
      <c r="AG88" t="str">
        <f t="shared" si="57"/>
        <v>5303030</v>
      </c>
    </row>
    <row r="89" spans="1:33" x14ac:dyDescent="0.25">
      <c r="A89" s="7" t="s">
        <v>410</v>
      </c>
      <c r="B89" s="2" t="s">
        <v>833</v>
      </c>
      <c r="C89" s="4" t="s">
        <v>832</v>
      </c>
      <c r="D89">
        <f>_xlfn.IFNA(VLOOKUP(A89,'Prior Year data'!$A$1:$T$317,12,FALSE),0)</f>
        <v>489698.52106091147</v>
      </c>
      <c r="E89">
        <f>VLOOKUP(A89,'Basic HH'!$B$1:$Y$321,23,FALSE)</f>
        <v>193529.5226673398</v>
      </c>
      <c r="F89">
        <f>VLOOKUP(A89,'Conc. HH'!$B$1:$Y$321,23,FALSE)</f>
        <v>50874.569775585063</v>
      </c>
      <c r="G89">
        <f>VLOOKUP(A89,'Targeted HH'!$B$1:$Y$321,23,FALSE)</f>
        <v>113302.23013886208</v>
      </c>
      <c r="H89">
        <f>VLOOKUP(A89,'EFIG HH'!$B$1:$Y$321,23,FALSE)</f>
        <v>156236.25920459378</v>
      </c>
      <c r="I89">
        <f t="shared" si="44"/>
        <v>513942.58178638073</v>
      </c>
      <c r="J89">
        <f t="shared" si="45"/>
        <v>489698.52106091147</v>
      </c>
      <c r="K89" s="44">
        <f t="shared" si="46"/>
        <v>478176.48078918137</v>
      </c>
      <c r="L89">
        <f t="shared" si="47"/>
        <v>11522.040271730104</v>
      </c>
      <c r="M89">
        <f t="shared" si="48"/>
        <v>0</v>
      </c>
      <c r="N89">
        <f t="shared" si="49"/>
        <v>489698.52106091147</v>
      </c>
      <c r="O89">
        <f t="shared" si="58"/>
        <v>0</v>
      </c>
      <c r="P89">
        <f t="shared" si="59"/>
        <v>0</v>
      </c>
      <c r="Q89">
        <f t="shared" si="60"/>
        <v>489698.52106091147</v>
      </c>
      <c r="R89">
        <f t="shared" si="61"/>
        <v>0</v>
      </c>
      <c r="S89">
        <f t="shared" si="62"/>
        <v>0</v>
      </c>
      <c r="T89">
        <f t="shared" si="63"/>
        <v>489698.52106091147</v>
      </c>
      <c r="U89">
        <f t="shared" si="64"/>
        <v>0</v>
      </c>
      <c r="V89">
        <f t="shared" si="65"/>
        <v>0</v>
      </c>
      <c r="W89">
        <f t="shared" si="66"/>
        <v>489698.52106091147</v>
      </c>
      <c r="X89" s="44">
        <f t="shared" si="50"/>
        <v>24244.060725469259</v>
      </c>
      <c r="Y89" s="28">
        <f t="shared" si="51"/>
        <v>3776.4898524622267</v>
      </c>
      <c r="Z89" s="28">
        <f t="shared" si="52"/>
        <v>485922.03120844922</v>
      </c>
      <c r="AA89">
        <f t="shared" si="53"/>
        <v>0</v>
      </c>
      <c r="AB89" s="28">
        <f t="shared" si="54"/>
        <v>485922.03120844922</v>
      </c>
      <c r="AD89" s="28">
        <f t="shared" si="55"/>
        <v>0</v>
      </c>
      <c r="AE89" s="28">
        <f t="shared" si="56"/>
        <v>485922.03120844922</v>
      </c>
      <c r="AF89" s="51"/>
      <c r="AG89" t="str">
        <f t="shared" si="57"/>
        <v>5303090</v>
      </c>
    </row>
    <row r="90" spans="1:33" x14ac:dyDescent="0.25">
      <c r="A90" s="7" t="s">
        <v>412</v>
      </c>
      <c r="B90" s="2" t="s">
        <v>835</v>
      </c>
      <c r="C90" s="4" t="s">
        <v>834</v>
      </c>
      <c r="D90">
        <f>_xlfn.IFNA(VLOOKUP(A90,'Prior Year data'!$A$1:$T$317,12,FALSE),0)</f>
        <v>189204.48816786293</v>
      </c>
      <c r="E90">
        <f>VLOOKUP(A90,'Basic HH'!$B$1:$Y$321,23,FALSE)</f>
        <v>91173.908456613426</v>
      </c>
      <c r="F90">
        <f>VLOOKUP(A90,'Conc. HH'!$B$1:$Y$321,23,FALSE)</f>
        <v>23967.575094275646</v>
      </c>
      <c r="G90">
        <f>VLOOKUP(A90,'Targeted HH'!$B$1:$Y$321,23,FALSE)</f>
        <v>43694.589981259604</v>
      </c>
      <c r="H90">
        <f>VLOOKUP(A90,'EFIG HH'!$B$1:$Y$321,23,FALSE)</f>
        <v>60245.509718771616</v>
      </c>
      <c r="I90">
        <f t="shared" si="44"/>
        <v>219081.58325092029</v>
      </c>
      <c r="J90">
        <f t="shared" si="45"/>
        <v>189204.48816786293</v>
      </c>
      <c r="K90" s="44">
        <f t="shared" si="46"/>
        <v>203835.33919396132</v>
      </c>
      <c r="L90">
        <f t="shared" si="47"/>
        <v>0</v>
      </c>
      <c r="M90">
        <f t="shared" si="48"/>
        <v>203835.33919396132</v>
      </c>
      <c r="N90">
        <f t="shared" si="49"/>
        <v>193564.70438462961</v>
      </c>
      <c r="O90">
        <f t="shared" si="58"/>
        <v>0</v>
      </c>
      <c r="P90">
        <f t="shared" si="59"/>
        <v>193564.70438462961</v>
      </c>
      <c r="Q90">
        <f t="shared" si="60"/>
        <v>193564.70438462961</v>
      </c>
      <c r="R90">
        <f t="shared" si="61"/>
        <v>0</v>
      </c>
      <c r="S90">
        <f t="shared" si="62"/>
        <v>193564.70438462961</v>
      </c>
      <c r="T90">
        <f t="shared" si="63"/>
        <v>193564.70438462961</v>
      </c>
      <c r="U90">
        <f t="shared" si="64"/>
        <v>0</v>
      </c>
      <c r="V90">
        <f t="shared" si="65"/>
        <v>193564.70438462961</v>
      </c>
      <c r="W90">
        <f t="shared" si="66"/>
        <v>193564.70438462961</v>
      </c>
      <c r="X90" s="44">
        <f t="shared" si="50"/>
        <v>25516.878866290674</v>
      </c>
      <c r="Y90" s="28">
        <f t="shared" si="51"/>
        <v>1492.7452513430792</v>
      </c>
      <c r="Z90" s="28">
        <f t="shared" si="52"/>
        <v>192071.95913328652</v>
      </c>
      <c r="AA90">
        <f t="shared" si="53"/>
        <v>0</v>
      </c>
      <c r="AB90" s="28">
        <f t="shared" si="54"/>
        <v>192071.95913328652</v>
      </c>
      <c r="AD90" s="28">
        <f t="shared" si="55"/>
        <v>0</v>
      </c>
      <c r="AE90" s="28">
        <f t="shared" si="56"/>
        <v>192071.95913328652</v>
      </c>
      <c r="AF90" s="51"/>
      <c r="AG90" t="str">
        <f t="shared" si="57"/>
        <v>5303130</v>
      </c>
    </row>
    <row r="91" spans="1:33" x14ac:dyDescent="0.25">
      <c r="A91" s="7" t="s">
        <v>414</v>
      </c>
      <c r="B91" s="2" t="s">
        <v>837</v>
      </c>
      <c r="C91" s="4" t="s">
        <v>836</v>
      </c>
      <c r="D91">
        <f>_xlfn.IFNA(VLOOKUP(A91,'Prior Year data'!$A$1:$T$317,12,FALSE),0)</f>
        <v>1260958.7709648923</v>
      </c>
      <c r="E91">
        <f>VLOOKUP(A91,'Basic HH'!$B$1:$Y$321,23,FALSE)</f>
        <v>568546.73103605153</v>
      </c>
      <c r="F91">
        <f>VLOOKUP(A91,'Conc. HH'!$B$1:$Y$321,23,FALSE)</f>
        <v>149458.18054071887</v>
      </c>
      <c r="G91">
        <f>VLOOKUP(A91,'Targeted HH'!$B$1:$Y$321,23,FALSE)</f>
        <v>296623.37755652418</v>
      </c>
      <c r="H91">
        <f>VLOOKUP(A91,'EFIG HH'!$B$1:$Y$321,23,FALSE)</f>
        <v>408980.3012926979</v>
      </c>
      <c r="I91">
        <f t="shared" si="44"/>
        <v>1423608.5904259924</v>
      </c>
      <c r="J91">
        <f t="shared" si="45"/>
        <v>1260958.7709648923</v>
      </c>
      <c r="K91" s="44">
        <f t="shared" si="46"/>
        <v>1324537.3508943745</v>
      </c>
      <c r="L91">
        <f t="shared" si="47"/>
        <v>0</v>
      </c>
      <c r="M91">
        <f t="shared" si="48"/>
        <v>1324537.3508943745</v>
      </c>
      <c r="N91">
        <f t="shared" si="49"/>
        <v>1257797.9941363647</v>
      </c>
      <c r="O91">
        <f t="shared" si="58"/>
        <v>3160.7768285276834</v>
      </c>
      <c r="P91">
        <f t="shared" si="59"/>
        <v>0</v>
      </c>
      <c r="Q91">
        <f t="shared" si="60"/>
        <v>1257797.9941363647</v>
      </c>
      <c r="R91">
        <f t="shared" si="61"/>
        <v>0</v>
      </c>
      <c r="S91">
        <f t="shared" si="62"/>
        <v>0</v>
      </c>
      <c r="T91">
        <f t="shared" si="63"/>
        <v>1257797.9941363647</v>
      </c>
      <c r="U91">
        <f t="shared" si="64"/>
        <v>3160.7768285276834</v>
      </c>
      <c r="V91">
        <f t="shared" si="65"/>
        <v>0</v>
      </c>
      <c r="W91">
        <f t="shared" si="66"/>
        <v>1257797.9941363647</v>
      </c>
      <c r="X91" s="44">
        <f t="shared" si="50"/>
        <v>165810.59628962772</v>
      </c>
      <c r="Y91" s="28">
        <f t="shared" si="51"/>
        <v>9699.9708126798396</v>
      </c>
      <c r="Z91" s="28">
        <f t="shared" si="52"/>
        <v>1248098.0233236849</v>
      </c>
      <c r="AA91">
        <f t="shared" si="53"/>
        <v>0</v>
      </c>
      <c r="AB91" s="28">
        <f t="shared" si="54"/>
        <v>1248098.0233236849</v>
      </c>
      <c r="AD91" s="28">
        <f t="shared" si="55"/>
        <v>0</v>
      </c>
      <c r="AE91" s="28">
        <f t="shared" si="56"/>
        <v>1248098.0233236849</v>
      </c>
      <c r="AF91" s="51"/>
      <c r="AG91" t="str">
        <f t="shared" si="57"/>
        <v>5303150</v>
      </c>
    </row>
    <row r="92" spans="1:33" x14ac:dyDescent="0.25">
      <c r="A92" s="7" t="s">
        <v>416</v>
      </c>
      <c r="B92" s="2" t="s">
        <v>839</v>
      </c>
      <c r="C92" s="4" t="s">
        <v>838</v>
      </c>
      <c r="D92">
        <f>_xlfn.IFNA(VLOOKUP(A92,'Prior Year data'!$A$1:$T$317,12,FALSE),0)</f>
        <v>866810.14018499397</v>
      </c>
      <c r="E92">
        <f>VLOOKUP(A92,'Basic HH'!$B$1:$Y$321,23,FALSE)</f>
        <v>319968.81081000168</v>
      </c>
      <c r="F92">
        <f>VLOOKUP(A92,'Conc. HH'!$B$1:$Y$321,23,FALSE)</f>
        <v>84112.622028967351</v>
      </c>
      <c r="G92">
        <f>VLOOKUP(A92,'Targeted HH'!$B$1:$Y$321,23,FALSE)</f>
        <v>198140.30872363164</v>
      </c>
      <c r="H92">
        <f>VLOOKUP(A92,'EFIG HH'!$B$1:$Y$321,23,FALSE)</f>
        <v>273193.17791996029</v>
      </c>
      <c r="I92">
        <f t="shared" si="44"/>
        <v>875414.91948256106</v>
      </c>
      <c r="J92">
        <f t="shared" si="45"/>
        <v>866810.14018499397</v>
      </c>
      <c r="K92" s="44">
        <f t="shared" si="46"/>
        <v>814493.37000549817</v>
      </c>
      <c r="L92">
        <f t="shared" si="47"/>
        <v>52316.770179495797</v>
      </c>
      <c r="M92">
        <f t="shared" si="48"/>
        <v>0</v>
      </c>
      <c r="N92">
        <f t="shared" si="49"/>
        <v>866810.14018499397</v>
      </c>
      <c r="O92">
        <f t="shared" si="58"/>
        <v>0</v>
      </c>
      <c r="P92">
        <f t="shared" si="59"/>
        <v>0</v>
      </c>
      <c r="Q92">
        <f t="shared" si="60"/>
        <v>866810.14018499397</v>
      </c>
      <c r="R92">
        <f t="shared" si="61"/>
        <v>0</v>
      </c>
      <c r="S92">
        <f t="shared" si="62"/>
        <v>0</v>
      </c>
      <c r="T92">
        <f t="shared" si="63"/>
        <v>866810.14018499397</v>
      </c>
      <c r="U92">
        <f t="shared" si="64"/>
        <v>0</v>
      </c>
      <c r="V92">
        <f t="shared" si="65"/>
        <v>0</v>
      </c>
      <c r="W92">
        <f t="shared" si="66"/>
        <v>866810.14018499397</v>
      </c>
      <c r="X92" s="44">
        <f t="shared" si="50"/>
        <v>8604.7792975670891</v>
      </c>
      <c r="Y92" s="28">
        <f t="shared" si="51"/>
        <v>6684.7244940174396</v>
      </c>
      <c r="Z92" s="28">
        <f t="shared" si="52"/>
        <v>860125.41569097654</v>
      </c>
      <c r="AA92">
        <f t="shared" si="53"/>
        <v>0</v>
      </c>
      <c r="AB92" s="28">
        <f t="shared" si="54"/>
        <v>860125.41569097654</v>
      </c>
      <c r="AD92" s="28">
        <f t="shared" si="55"/>
        <v>0</v>
      </c>
      <c r="AE92" s="28">
        <f t="shared" si="56"/>
        <v>860125.41569097654</v>
      </c>
      <c r="AF92" s="51"/>
      <c r="AG92" t="str">
        <f t="shared" si="57"/>
        <v>5303180</v>
      </c>
    </row>
    <row r="93" spans="1:33" x14ac:dyDescent="0.25">
      <c r="A93" s="7" t="s">
        <v>139</v>
      </c>
      <c r="B93" s="2" t="s">
        <v>841</v>
      </c>
      <c r="C93" s="4" t="s">
        <v>840</v>
      </c>
      <c r="D93">
        <f>_xlfn.IFNA(VLOOKUP(A93,'Prior Year data'!$A$1:$T$317,12,FALSE),0)</f>
        <v>330912.22636314598</v>
      </c>
      <c r="E93">
        <f>VLOOKUP(A93,'Basic HH'!$B$1:$Y$321,23,FALSE)</f>
        <v>189228.86660806552</v>
      </c>
      <c r="F93">
        <f>VLOOKUP(A93,'Conc. HH'!$B$1:$Y$321,23,FALSE)</f>
        <v>0</v>
      </c>
      <c r="G93">
        <f>VLOOKUP(A93,'Targeted HH'!$B$1:$Y$321,23,FALSE)</f>
        <v>90551.186225897443</v>
      </c>
      <c r="H93">
        <f>VLOOKUP(A93,'EFIG HH'!$B$1:$Y$321,23,FALSE)</f>
        <v>124850.75090894221</v>
      </c>
      <c r="I93">
        <f t="shared" si="44"/>
        <v>404630.80374290515</v>
      </c>
      <c r="J93">
        <f t="shared" si="45"/>
        <v>330912.22636314598</v>
      </c>
      <c r="K93" s="44">
        <f t="shared" si="46"/>
        <v>376471.88734616654</v>
      </c>
      <c r="L93">
        <f t="shared" si="47"/>
        <v>0</v>
      </c>
      <c r="M93">
        <f t="shared" si="48"/>
        <v>376471.88734616654</v>
      </c>
      <c r="N93">
        <f t="shared" si="49"/>
        <v>357502.62869748328</v>
      </c>
      <c r="O93">
        <f t="shared" si="58"/>
        <v>0</v>
      </c>
      <c r="P93">
        <f t="shared" si="59"/>
        <v>357502.62869748328</v>
      </c>
      <c r="Q93">
        <f t="shared" si="60"/>
        <v>357502.62869748328</v>
      </c>
      <c r="R93">
        <f t="shared" si="61"/>
        <v>0</v>
      </c>
      <c r="S93">
        <f t="shared" si="62"/>
        <v>357502.62869748328</v>
      </c>
      <c r="T93">
        <f t="shared" si="63"/>
        <v>357502.62869748328</v>
      </c>
      <c r="U93">
        <f t="shared" si="64"/>
        <v>0</v>
      </c>
      <c r="V93">
        <f t="shared" si="65"/>
        <v>357502.62869748328</v>
      </c>
      <c r="W93">
        <f t="shared" si="66"/>
        <v>357502.62869748328</v>
      </c>
      <c r="X93" s="44">
        <f t="shared" si="50"/>
        <v>47128.175045421871</v>
      </c>
      <c r="Y93" s="28">
        <f t="shared" si="51"/>
        <v>2757.0127158637738</v>
      </c>
      <c r="Z93" s="28">
        <f t="shared" si="52"/>
        <v>354745.61598161951</v>
      </c>
      <c r="AA93">
        <f t="shared" si="53"/>
        <v>0</v>
      </c>
      <c r="AB93" s="28">
        <f t="shared" si="54"/>
        <v>354745.61598161951</v>
      </c>
      <c r="AD93" s="28">
        <f t="shared" si="55"/>
        <v>0</v>
      </c>
      <c r="AE93" s="28">
        <f t="shared" si="56"/>
        <v>354745.61598161951</v>
      </c>
      <c r="AF93" s="51"/>
      <c r="AG93" t="str">
        <f t="shared" si="57"/>
        <v>5303210</v>
      </c>
    </row>
    <row r="94" spans="1:33" x14ac:dyDescent="0.25">
      <c r="A94" s="7" t="s">
        <v>418</v>
      </c>
      <c r="B94" s="2" t="s">
        <v>843</v>
      </c>
      <c r="C94" s="4" t="s">
        <v>842</v>
      </c>
      <c r="D94">
        <f>_xlfn.IFNA(VLOOKUP(A94,'Prior Year data'!$A$1:$T$317,12,FALSE),0)</f>
        <v>80883.348653369278</v>
      </c>
      <c r="E94">
        <f>VLOOKUP(A94,'Basic HH'!$B$1:$Y$321,23,FALSE)</f>
        <v>32963.057348976843</v>
      </c>
      <c r="F94">
        <f>VLOOKUP(A94,'Conc. HH'!$B$1:$Y$321,23,FALSE)</f>
        <v>6737.4880259950523</v>
      </c>
      <c r="G94">
        <f>VLOOKUP(A94,'Targeted HH'!$B$1:$Y$321,23,FALSE)</f>
        <v>16023.15756449248</v>
      </c>
      <c r="H94">
        <f>VLOOKUP(A94,'EFIG HH'!$B$1:$Y$321,23,FALSE)</f>
        <v>22094.871349433746</v>
      </c>
      <c r="I94">
        <f t="shared" si="44"/>
        <v>77818.574288898119</v>
      </c>
      <c r="J94">
        <f t="shared" si="45"/>
        <v>80883.348653369278</v>
      </c>
      <c r="K94" s="44">
        <f t="shared" si="46"/>
        <v>72403.05301062495</v>
      </c>
      <c r="L94">
        <f t="shared" si="47"/>
        <v>5415.5212782731687</v>
      </c>
      <c r="M94">
        <f t="shared" si="48"/>
        <v>0</v>
      </c>
      <c r="N94">
        <f t="shared" si="49"/>
        <v>77818.574288898119</v>
      </c>
      <c r="O94">
        <f t="shared" si="58"/>
        <v>0</v>
      </c>
      <c r="P94">
        <f t="shared" si="59"/>
        <v>0</v>
      </c>
      <c r="Q94">
        <f t="shared" si="60"/>
        <v>77818.574288898119</v>
      </c>
      <c r="R94">
        <f t="shared" si="61"/>
        <v>0</v>
      </c>
      <c r="S94">
        <f t="shared" si="62"/>
        <v>0</v>
      </c>
      <c r="T94">
        <f t="shared" si="63"/>
        <v>77818.574288898119</v>
      </c>
      <c r="U94">
        <f t="shared" si="64"/>
        <v>0</v>
      </c>
      <c r="V94">
        <f t="shared" si="65"/>
        <v>0</v>
      </c>
      <c r="W94">
        <f t="shared" si="66"/>
        <v>77818.574288898119</v>
      </c>
      <c r="X94" s="44">
        <f t="shared" si="50"/>
        <v>0</v>
      </c>
      <c r="Y94" s="28">
        <f t="shared" si="51"/>
        <v>600.12649312973338</v>
      </c>
      <c r="Z94" s="28">
        <f t="shared" si="52"/>
        <v>77218.447795768385</v>
      </c>
      <c r="AA94">
        <f t="shared" si="53"/>
        <v>0</v>
      </c>
      <c r="AB94" s="28">
        <f t="shared" si="54"/>
        <v>77218.447795768385</v>
      </c>
      <c r="AD94" s="28">
        <f t="shared" si="55"/>
        <v>0</v>
      </c>
      <c r="AE94" s="28">
        <f t="shared" si="56"/>
        <v>77218.447795768385</v>
      </c>
      <c r="AF94" s="51"/>
      <c r="AG94" t="str">
        <f t="shared" si="57"/>
        <v>5303240</v>
      </c>
    </row>
    <row r="95" spans="1:33" x14ac:dyDescent="0.25">
      <c r="A95" s="7" t="s">
        <v>420</v>
      </c>
      <c r="B95" s="2" t="s">
        <v>845</v>
      </c>
      <c r="C95" s="4" t="s">
        <v>844</v>
      </c>
      <c r="D95">
        <f>_xlfn.IFNA(VLOOKUP(A95,'Prior Year data'!$A$1:$T$317,12,FALSE),0)</f>
        <v>86315.734050904561</v>
      </c>
      <c r="E95">
        <f>VLOOKUP(A95,'Basic HH'!$B$1:$Y$321,23,FALSE)</f>
        <v>36985.64210975825</v>
      </c>
      <c r="F95">
        <f>VLOOKUP(A95,'Conc. HH'!$B$1:$Y$321,23,FALSE)</f>
        <v>9722.6955571118142</v>
      </c>
      <c r="G95">
        <f>VLOOKUP(A95,'Targeted HH'!$B$1:$Y$321,23,FALSE)</f>
        <v>22489.529278936971</v>
      </c>
      <c r="H95">
        <f>VLOOKUP(A95,'EFIG HH'!$B$1:$Y$321,23,FALSE)</f>
        <v>31008.258810207477</v>
      </c>
      <c r="I95">
        <f t="shared" si="44"/>
        <v>100206.12575601452</v>
      </c>
      <c r="J95">
        <f t="shared" si="45"/>
        <v>86315.734050904561</v>
      </c>
      <c r="K95" s="44">
        <f t="shared" si="46"/>
        <v>93232.61832280994</v>
      </c>
      <c r="L95">
        <f t="shared" si="47"/>
        <v>0</v>
      </c>
      <c r="M95">
        <f t="shared" si="48"/>
        <v>93232.61832280994</v>
      </c>
      <c r="N95">
        <f t="shared" si="49"/>
        <v>88534.913896786864</v>
      </c>
      <c r="O95">
        <f t="shared" si="58"/>
        <v>0</v>
      </c>
      <c r="P95">
        <f t="shared" si="59"/>
        <v>88534.913896786864</v>
      </c>
      <c r="Q95">
        <f t="shared" si="60"/>
        <v>88534.913896786864</v>
      </c>
      <c r="R95">
        <f t="shared" si="61"/>
        <v>0</v>
      </c>
      <c r="S95">
        <f t="shared" si="62"/>
        <v>88534.913896786864</v>
      </c>
      <c r="T95">
        <f t="shared" si="63"/>
        <v>88534.913896786864</v>
      </c>
      <c r="U95">
        <f t="shared" si="64"/>
        <v>0</v>
      </c>
      <c r="V95">
        <f t="shared" si="65"/>
        <v>88534.913896786864</v>
      </c>
      <c r="W95">
        <f t="shared" si="66"/>
        <v>88534.913896786864</v>
      </c>
      <c r="X95" s="44">
        <f t="shared" si="50"/>
        <v>11671.211859227653</v>
      </c>
      <c r="Y95" s="28">
        <f t="shared" si="51"/>
        <v>682.7694786487707</v>
      </c>
      <c r="Z95" s="28">
        <f t="shared" si="52"/>
        <v>87852.144418138094</v>
      </c>
      <c r="AA95">
        <f t="shared" si="53"/>
        <v>0</v>
      </c>
      <c r="AB95" s="28">
        <f t="shared" si="54"/>
        <v>87852.144418138094</v>
      </c>
      <c r="AD95" s="28">
        <f t="shared" si="55"/>
        <v>0</v>
      </c>
      <c r="AE95" s="28">
        <f t="shared" si="56"/>
        <v>87852.144418138094</v>
      </c>
      <c r="AF95" s="51"/>
      <c r="AG95" t="str">
        <f t="shared" si="57"/>
        <v>5303270</v>
      </c>
    </row>
    <row r="96" spans="1:33" x14ac:dyDescent="0.25">
      <c r="A96" s="7" t="s">
        <v>141</v>
      </c>
      <c r="B96" s="2" t="s">
        <v>847</v>
      </c>
      <c r="C96" s="4" t="s">
        <v>846</v>
      </c>
      <c r="D96">
        <f>_xlfn.IFNA(VLOOKUP(A96,'Prior Year data'!$A$1:$T$317,12,FALSE),0)</f>
        <v>27704.279416449419</v>
      </c>
      <c r="E96">
        <f>VLOOKUP(A96,'Basic HH'!$B$1:$Y$321,23,FALSE)</f>
        <v>13762.099389677498</v>
      </c>
      <c r="F96">
        <f>VLOOKUP(A96,'Conc. HH'!$B$1:$Y$321,23,FALSE)</f>
        <v>0</v>
      </c>
      <c r="G96">
        <f>VLOOKUP(A96,'Targeted HH'!$B$1:$Y$321,23,FALSE)</f>
        <v>6585.5408164289001</v>
      </c>
      <c r="H96">
        <f>VLOOKUP(A96,'EFIG HH'!$B$1:$Y$321,23,FALSE)</f>
        <v>9080.0546115594298</v>
      </c>
      <c r="I96">
        <f t="shared" si="44"/>
        <v>29427.69481766583</v>
      </c>
      <c r="J96">
        <f t="shared" si="45"/>
        <v>27704.279416449419</v>
      </c>
      <c r="K96" s="44">
        <f t="shared" si="46"/>
        <v>27379.773625175749</v>
      </c>
      <c r="L96">
        <f t="shared" si="47"/>
        <v>324.50579127367018</v>
      </c>
      <c r="M96">
        <f t="shared" si="48"/>
        <v>0</v>
      </c>
      <c r="N96">
        <f t="shared" si="49"/>
        <v>27704.279416449419</v>
      </c>
      <c r="O96">
        <f t="shared" si="58"/>
        <v>0</v>
      </c>
      <c r="P96">
        <f t="shared" si="59"/>
        <v>0</v>
      </c>
      <c r="Q96">
        <f t="shared" si="60"/>
        <v>27704.279416449419</v>
      </c>
      <c r="R96">
        <f t="shared" si="61"/>
        <v>0</v>
      </c>
      <c r="S96">
        <f t="shared" si="62"/>
        <v>0</v>
      </c>
      <c r="T96">
        <f t="shared" si="63"/>
        <v>27704.279416449419</v>
      </c>
      <c r="U96">
        <f t="shared" si="64"/>
        <v>0</v>
      </c>
      <c r="V96">
        <f t="shared" si="65"/>
        <v>0</v>
      </c>
      <c r="W96">
        <f t="shared" si="66"/>
        <v>27704.279416449419</v>
      </c>
      <c r="X96" s="44">
        <f t="shared" si="50"/>
        <v>1723.4154012164108</v>
      </c>
      <c r="Y96" s="28">
        <f t="shared" si="51"/>
        <v>213.65171750842501</v>
      </c>
      <c r="Z96" s="28">
        <f t="shared" si="52"/>
        <v>27490.627698940993</v>
      </c>
      <c r="AA96">
        <f t="shared" si="53"/>
        <v>0</v>
      </c>
      <c r="AB96" s="28">
        <f t="shared" si="54"/>
        <v>27490.627698940993</v>
      </c>
      <c r="AD96" s="28">
        <f t="shared" si="55"/>
        <v>0</v>
      </c>
      <c r="AE96" s="28">
        <f t="shared" si="56"/>
        <v>27490.627698940993</v>
      </c>
      <c r="AF96" s="51"/>
      <c r="AG96" t="str">
        <f t="shared" si="57"/>
        <v>5303300</v>
      </c>
    </row>
    <row r="97" spans="1:33" x14ac:dyDescent="0.25">
      <c r="A97" s="7" t="s">
        <v>143</v>
      </c>
      <c r="B97" s="2" t="s">
        <v>849</v>
      </c>
      <c r="C97" s="4" t="s">
        <v>848</v>
      </c>
      <c r="D97">
        <f>_xlfn.IFNA(VLOOKUP(A97,'Prior Year data'!$A$1:$T$317,12,FALSE),0)</f>
        <v>109277.99103155048</v>
      </c>
      <c r="E97">
        <f>VLOOKUP(A97,'Basic HH'!$B$1:$Y$321,23,FALSE)</f>
        <v>48757.855662028225</v>
      </c>
      <c r="F97">
        <f>VLOOKUP(A97,'Conc. HH'!$B$1:$Y$321,23,FALSE)</f>
        <v>0</v>
      </c>
      <c r="G97">
        <f>VLOOKUP(A97,'Targeted HH'!$B$1:$Y$321,23,FALSE)</f>
        <v>23700.920564145108</v>
      </c>
      <c r="H97">
        <f>VLOOKUP(A97,'EFIG HH'!$B$1:$Y$321,23,FALSE)</f>
        <v>32681.99720437076</v>
      </c>
      <c r="I97">
        <f t="shared" si="44"/>
        <v>105140.7734305441</v>
      </c>
      <c r="J97">
        <f t="shared" si="45"/>
        <v>109277.99103155048</v>
      </c>
      <c r="K97" s="44">
        <f t="shared" si="46"/>
        <v>97823.855831753797</v>
      </c>
      <c r="L97">
        <f t="shared" si="47"/>
        <v>7316.9175987903</v>
      </c>
      <c r="M97">
        <f t="shared" si="48"/>
        <v>0</v>
      </c>
      <c r="N97">
        <f t="shared" si="49"/>
        <v>105140.7734305441</v>
      </c>
      <c r="O97">
        <f t="shared" si="58"/>
        <v>0</v>
      </c>
      <c r="P97">
        <f t="shared" si="59"/>
        <v>0</v>
      </c>
      <c r="Q97">
        <f t="shared" si="60"/>
        <v>105140.7734305441</v>
      </c>
      <c r="R97">
        <f t="shared" si="61"/>
        <v>0</v>
      </c>
      <c r="S97">
        <f t="shared" si="62"/>
        <v>0</v>
      </c>
      <c r="T97">
        <f t="shared" si="63"/>
        <v>105140.7734305441</v>
      </c>
      <c r="U97">
        <f t="shared" si="64"/>
        <v>0</v>
      </c>
      <c r="V97">
        <f t="shared" si="65"/>
        <v>0</v>
      </c>
      <c r="W97">
        <f t="shared" si="66"/>
        <v>105140.7734305441</v>
      </c>
      <c r="X97" s="44">
        <f t="shared" si="50"/>
        <v>0</v>
      </c>
      <c r="Y97" s="28">
        <f t="shared" si="51"/>
        <v>810.83165838495745</v>
      </c>
      <c r="Z97" s="28">
        <f t="shared" si="52"/>
        <v>104329.94177215915</v>
      </c>
      <c r="AA97">
        <f t="shared" si="53"/>
        <v>0</v>
      </c>
      <c r="AB97" s="28">
        <f t="shared" si="54"/>
        <v>104329.94177215915</v>
      </c>
      <c r="AD97" s="28">
        <f t="shared" si="55"/>
        <v>0</v>
      </c>
      <c r="AE97" s="28">
        <f t="shared" si="56"/>
        <v>104329.94177215915</v>
      </c>
      <c r="AF97" s="51"/>
      <c r="AG97" t="str">
        <f t="shared" si="57"/>
        <v>5303330</v>
      </c>
    </row>
    <row r="98" spans="1:33" x14ac:dyDescent="0.25">
      <c r="A98" s="7" t="s">
        <v>422</v>
      </c>
      <c r="B98" s="2" t="s">
        <v>851</v>
      </c>
      <c r="C98" s="4" t="s">
        <v>850</v>
      </c>
      <c r="D98">
        <f>_xlfn.IFNA(VLOOKUP(A98,'Prior Year data'!$A$1:$T$317,12,FALSE),0)</f>
        <v>66458.872013115179</v>
      </c>
      <c r="E98">
        <f>VLOOKUP(A98,'Basic HH'!$B$1:$Y$321,23,FALSE)</f>
        <v>20888.346748971675</v>
      </c>
      <c r="F98">
        <f>VLOOKUP(A98,'Conc. HH'!$B$1:$Y$321,23,FALSE)</f>
        <v>5431.1376224050373</v>
      </c>
      <c r="G98">
        <f>VLOOKUP(A98,'Targeted HH'!$B$1:$Y$321,23,FALSE)</f>
        <v>13000.348189112901</v>
      </c>
      <c r="H98">
        <f>VLOOKUP(A98,'EFIG HH'!$B$1:$Y$321,23,FALSE)</f>
        <v>17606.980663407961</v>
      </c>
      <c r="I98">
        <f t="shared" si="44"/>
        <v>56926.813223897567</v>
      </c>
      <c r="J98">
        <f t="shared" si="45"/>
        <v>66458.872013115179</v>
      </c>
      <c r="K98" s="44">
        <f t="shared" si="46"/>
        <v>52965.183611232191</v>
      </c>
      <c r="L98">
        <f t="shared" si="47"/>
        <v>3961.629612665376</v>
      </c>
      <c r="M98">
        <f t="shared" si="48"/>
        <v>0</v>
      </c>
      <c r="N98">
        <f t="shared" si="49"/>
        <v>56926.813223897567</v>
      </c>
      <c r="O98">
        <f t="shared" si="58"/>
        <v>0</v>
      </c>
      <c r="P98">
        <f t="shared" si="59"/>
        <v>0</v>
      </c>
      <c r="Q98">
        <f t="shared" si="60"/>
        <v>56926.813223897567</v>
      </c>
      <c r="R98">
        <f t="shared" si="61"/>
        <v>0</v>
      </c>
      <c r="S98">
        <f t="shared" si="62"/>
        <v>0</v>
      </c>
      <c r="T98">
        <f t="shared" si="63"/>
        <v>56926.813223897567</v>
      </c>
      <c r="U98">
        <f t="shared" si="64"/>
        <v>0</v>
      </c>
      <c r="V98">
        <f t="shared" si="65"/>
        <v>0</v>
      </c>
      <c r="W98">
        <f t="shared" si="66"/>
        <v>56926.813223897567</v>
      </c>
      <c r="X98" s="44">
        <f t="shared" si="50"/>
        <v>0</v>
      </c>
      <c r="Y98" s="28">
        <f t="shared" si="51"/>
        <v>439.01201091501929</v>
      </c>
      <c r="Z98" s="28">
        <f t="shared" si="52"/>
        <v>56487.801212982551</v>
      </c>
      <c r="AA98">
        <f t="shared" si="53"/>
        <v>0</v>
      </c>
      <c r="AB98" s="28">
        <f t="shared" si="54"/>
        <v>56487.801212982551</v>
      </c>
      <c r="AD98" s="28">
        <f t="shared" si="55"/>
        <v>0</v>
      </c>
      <c r="AE98" s="28">
        <f t="shared" si="56"/>
        <v>56487.801212982551</v>
      </c>
      <c r="AF98" s="51"/>
      <c r="AG98" t="str">
        <f t="shared" si="57"/>
        <v>5303360</v>
      </c>
    </row>
    <row r="99" spans="1:33" x14ac:dyDescent="0.25">
      <c r="A99" s="7" t="s">
        <v>424</v>
      </c>
      <c r="B99" s="2" t="s">
        <v>853</v>
      </c>
      <c r="C99" s="4" t="s">
        <v>852</v>
      </c>
      <c r="D99">
        <f>_xlfn.IFNA(VLOOKUP(A99,'Prior Year data'!$A$1:$T$317,12,FALSE),0)</f>
        <v>407581.4642160142</v>
      </c>
      <c r="E99">
        <f>VLOOKUP(A99,'Basic HH'!$B$1:$Y$321,23,FALSE)</f>
        <v>202990.96599774304</v>
      </c>
      <c r="F99">
        <f>VLOOKUP(A99,'Conc. HH'!$B$1:$Y$321,23,FALSE)</f>
        <v>53361.770964613679</v>
      </c>
      <c r="G99">
        <f>VLOOKUP(A99,'Targeted HH'!$B$1:$Y$321,23,FALSE)</f>
        <v>108812.39699429351</v>
      </c>
      <c r="H99">
        <f>VLOOKUP(A99,'EFIG HH'!$B$1:$Y$321,23,FALSE)</f>
        <v>150029.06134270053</v>
      </c>
      <c r="I99">
        <f t="shared" si="44"/>
        <v>515194.19529935077</v>
      </c>
      <c r="J99">
        <f t="shared" si="45"/>
        <v>407581.4642160142</v>
      </c>
      <c r="K99" s="44">
        <f t="shared" si="46"/>
        <v>479340.99248007871</v>
      </c>
      <c r="L99">
        <f t="shared" si="47"/>
        <v>0</v>
      </c>
      <c r="M99">
        <f t="shared" si="48"/>
        <v>479340.99248007871</v>
      </c>
      <c r="N99">
        <f t="shared" si="49"/>
        <v>455188.47652100428</v>
      </c>
      <c r="O99">
        <f t="shared" si="58"/>
        <v>0</v>
      </c>
      <c r="P99">
        <f t="shared" si="59"/>
        <v>455188.47652100428</v>
      </c>
      <c r="Q99">
        <f t="shared" si="60"/>
        <v>455188.47652100428</v>
      </c>
      <c r="R99">
        <f t="shared" si="61"/>
        <v>0</v>
      </c>
      <c r="S99">
        <f t="shared" si="62"/>
        <v>455188.47652100428</v>
      </c>
      <c r="T99">
        <f t="shared" si="63"/>
        <v>455188.47652100428</v>
      </c>
      <c r="U99">
        <f t="shared" si="64"/>
        <v>0</v>
      </c>
      <c r="V99">
        <f t="shared" si="65"/>
        <v>455188.47652100428</v>
      </c>
      <c r="W99">
        <f t="shared" si="66"/>
        <v>455188.47652100428</v>
      </c>
      <c r="X99" s="44">
        <f t="shared" si="50"/>
        <v>60005.718778346491</v>
      </c>
      <c r="Y99" s="28">
        <f t="shared" si="51"/>
        <v>3510.3529796560128</v>
      </c>
      <c r="Z99" s="28">
        <f t="shared" si="52"/>
        <v>451678.12354134826</v>
      </c>
      <c r="AA99">
        <f t="shared" si="53"/>
        <v>0</v>
      </c>
      <c r="AB99" s="28">
        <f t="shared" si="54"/>
        <v>451678.12354134826</v>
      </c>
      <c r="AD99" s="28">
        <f t="shared" si="55"/>
        <v>0</v>
      </c>
      <c r="AE99" s="28">
        <f t="shared" si="56"/>
        <v>451678.12354134826</v>
      </c>
      <c r="AF99" s="51"/>
      <c r="AG99" t="str">
        <f t="shared" si="57"/>
        <v>5303510</v>
      </c>
    </row>
    <row r="100" spans="1:33" x14ac:dyDescent="0.25">
      <c r="A100" s="7" t="s">
        <v>60</v>
      </c>
      <c r="B100" s="2" t="s">
        <v>854</v>
      </c>
      <c r="C100" s="4" t="s">
        <v>18</v>
      </c>
      <c r="D100">
        <f>_xlfn.IFNA(VLOOKUP(A100,'Prior Year data'!$A$1:$T$317,12,FALSE),0)</f>
        <v>7511449.8312141933</v>
      </c>
      <c r="E100">
        <f>VLOOKUP(A100,'Basic HH'!$B$1:$Y$321,23,FALSE)</f>
        <v>2595941.1611785637</v>
      </c>
      <c r="F100">
        <f>VLOOKUP(A100,'Conc. HH'!$B$1:$Y$321,23,FALSE)</f>
        <v>682414.69269112183</v>
      </c>
      <c r="G100">
        <f>VLOOKUP(A100,'Targeted HH'!$B$1:$Y$321,23,FALSE)</f>
        <v>1901977.9660230386</v>
      </c>
      <c r="H100">
        <f>VLOOKUP(A100,'EFIG HH'!$B$1:$Y$321,23,FALSE)</f>
        <v>2622701.4431826072</v>
      </c>
      <c r="I100">
        <f t="shared" si="44"/>
        <v>7803035.2630753312</v>
      </c>
      <c r="J100">
        <f t="shared" si="45"/>
        <v>7511449.8312141933</v>
      </c>
      <c r="K100" s="44">
        <f t="shared" si="46"/>
        <v>7260009.3352882052</v>
      </c>
      <c r="L100">
        <f t="shared" si="47"/>
        <v>251440.49592598807</v>
      </c>
      <c r="M100">
        <f t="shared" si="48"/>
        <v>0</v>
      </c>
      <c r="N100">
        <f t="shared" si="49"/>
        <v>7511449.8312141933</v>
      </c>
      <c r="O100">
        <f t="shared" si="58"/>
        <v>0</v>
      </c>
      <c r="P100">
        <f t="shared" si="59"/>
        <v>0</v>
      </c>
      <c r="Q100">
        <f t="shared" si="60"/>
        <v>7511449.8312141933</v>
      </c>
      <c r="R100">
        <f t="shared" si="61"/>
        <v>0</v>
      </c>
      <c r="S100">
        <f t="shared" si="62"/>
        <v>0</v>
      </c>
      <c r="T100">
        <f t="shared" si="63"/>
        <v>7511449.8312141933</v>
      </c>
      <c r="U100">
        <f t="shared" si="64"/>
        <v>0</v>
      </c>
      <c r="V100">
        <f t="shared" si="65"/>
        <v>0</v>
      </c>
      <c r="W100">
        <f t="shared" si="66"/>
        <v>7511449.8312141933</v>
      </c>
      <c r="X100" s="44">
        <f t="shared" si="50"/>
        <v>291585.43186113797</v>
      </c>
      <c r="Y100" s="28">
        <f t="shared" si="51"/>
        <v>57927.301890566807</v>
      </c>
      <c r="Z100" s="28">
        <f t="shared" si="52"/>
        <v>7453522.5293236263</v>
      </c>
      <c r="AA100">
        <f t="shared" si="53"/>
        <v>0</v>
      </c>
      <c r="AB100" s="28">
        <f t="shared" si="54"/>
        <v>7453522.5293236263</v>
      </c>
      <c r="AD100" s="28">
        <f t="shared" si="55"/>
        <v>0</v>
      </c>
      <c r="AE100" s="28">
        <f t="shared" si="56"/>
        <v>7453522.5293236263</v>
      </c>
      <c r="AF100" s="51"/>
      <c r="AG100" t="str">
        <f t="shared" si="57"/>
        <v>5303540</v>
      </c>
    </row>
    <row r="101" spans="1:33" x14ac:dyDescent="0.25">
      <c r="A101" s="7" t="s">
        <v>145</v>
      </c>
      <c r="B101" s="2" t="s">
        <v>856</v>
      </c>
      <c r="C101" s="4" t="s">
        <v>855</v>
      </c>
      <c r="D101">
        <f>_xlfn.IFNA(VLOOKUP(A101,'Prior Year data'!$A$1:$T$317,12,FALSE),0)</f>
        <v>227790.74186858415</v>
      </c>
      <c r="E101">
        <f>VLOOKUP(A101,'Basic HH'!$B$1:$Y$321,23,FALSE)</f>
        <v>101636.0934926786</v>
      </c>
      <c r="F101">
        <f>VLOOKUP(A101,'Conc. HH'!$B$1:$Y$321,23,FALSE)</f>
        <v>0</v>
      </c>
      <c r="G101">
        <f>VLOOKUP(A101,'Targeted HH'!$B$1:$Y$321,23,FALSE)</f>
        <v>0</v>
      </c>
      <c r="H101">
        <f>VLOOKUP(A101,'EFIG HH'!$B$1:$Y$321,23,FALSE)</f>
        <v>0</v>
      </c>
      <c r="I101">
        <f t="shared" si="44"/>
        <v>101636.0934926786</v>
      </c>
      <c r="J101">
        <f t="shared" si="45"/>
        <v>227790.74186858415</v>
      </c>
      <c r="K101" s="44">
        <f t="shared" si="46"/>
        <v>94563.072276602616</v>
      </c>
      <c r="L101">
        <f t="shared" si="47"/>
        <v>7073.0212160759838</v>
      </c>
      <c r="M101">
        <f t="shared" si="48"/>
        <v>0</v>
      </c>
      <c r="N101">
        <f t="shared" si="49"/>
        <v>101636.0934926786</v>
      </c>
      <c r="O101">
        <f t="shared" si="58"/>
        <v>0</v>
      </c>
      <c r="P101">
        <f t="shared" si="59"/>
        <v>0</v>
      </c>
      <c r="Q101">
        <f t="shared" si="60"/>
        <v>101636.0934926786</v>
      </c>
      <c r="R101">
        <f t="shared" si="61"/>
        <v>0</v>
      </c>
      <c r="S101">
        <f t="shared" si="62"/>
        <v>0</v>
      </c>
      <c r="T101">
        <f t="shared" si="63"/>
        <v>101636.0934926786</v>
      </c>
      <c r="U101">
        <f t="shared" si="64"/>
        <v>0</v>
      </c>
      <c r="V101">
        <f t="shared" si="65"/>
        <v>0</v>
      </c>
      <c r="W101">
        <f t="shared" si="66"/>
        <v>101636.0934926786</v>
      </c>
      <c r="X101" s="44">
        <f t="shared" si="50"/>
        <v>0</v>
      </c>
      <c r="Y101" s="28">
        <f t="shared" si="51"/>
        <v>783.80403291285461</v>
      </c>
      <c r="Z101" s="28">
        <f t="shared" si="52"/>
        <v>100852.28945976574</v>
      </c>
      <c r="AA101">
        <f t="shared" si="53"/>
        <v>0</v>
      </c>
      <c r="AB101" s="28">
        <f t="shared" si="54"/>
        <v>100852.28945976574</v>
      </c>
      <c r="AD101" s="28">
        <f t="shared" si="55"/>
        <v>0</v>
      </c>
      <c r="AE101" s="28">
        <f t="shared" si="56"/>
        <v>100852.28945976574</v>
      </c>
      <c r="AF101" s="51"/>
      <c r="AG101" t="str">
        <f t="shared" si="57"/>
        <v>5303570</v>
      </c>
    </row>
    <row r="102" spans="1:33" x14ac:dyDescent="0.25">
      <c r="A102" s="7" t="s">
        <v>426</v>
      </c>
      <c r="B102" s="2" t="s">
        <v>858</v>
      </c>
      <c r="C102" s="4" t="s">
        <v>857</v>
      </c>
      <c r="D102">
        <f>_xlfn.IFNA(VLOOKUP(A102,'Prior Year data'!$A$1:$T$317,12,FALSE),0)</f>
        <v>260770.32273786669</v>
      </c>
      <c r="E102">
        <f>VLOOKUP(A102,'Basic HH'!$B$1:$Y$321,23,FALSE)</f>
        <v>101797.67710713435</v>
      </c>
      <c r="F102">
        <f>VLOOKUP(A102,'Conc. HH'!$B$1:$Y$321,23,FALSE)</f>
        <v>26661.375010166557</v>
      </c>
      <c r="G102">
        <f>VLOOKUP(A102,'Targeted HH'!$B$1:$Y$321,23,FALSE)</f>
        <v>57685.134492198405</v>
      </c>
      <c r="H102">
        <f>VLOOKUP(A102,'EFIG HH'!$B$1:$Y$321,23,FALSE)</f>
        <v>79543.973792301535</v>
      </c>
      <c r="I102">
        <f t="shared" si="44"/>
        <v>265688.16040180088</v>
      </c>
      <c r="J102">
        <f t="shared" si="45"/>
        <v>260770.32273786669</v>
      </c>
      <c r="K102" s="44">
        <f t="shared" si="46"/>
        <v>247198.48876248795</v>
      </c>
      <c r="L102">
        <f t="shared" si="47"/>
        <v>13571.833975378744</v>
      </c>
      <c r="M102">
        <f t="shared" si="48"/>
        <v>0</v>
      </c>
      <c r="N102">
        <f t="shared" si="49"/>
        <v>260770.32273786669</v>
      </c>
      <c r="O102">
        <f t="shared" si="58"/>
        <v>0</v>
      </c>
      <c r="P102">
        <f t="shared" si="59"/>
        <v>0</v>
      </c>
      <c r="Q102">
        <f t="shared" si="60"/>
        <v>260770.32273786669</v>
      </c>
      <c r="R102">
        <f t="shared" si="61"/>
        <v>0</v>
      </c>
      <c r="S102">
        <f t="shared" si="62"/>
        <v>0</v>
      </c>
      <c r="T102">
        <f t="shared" si="63"/>
        <v>260770.32273786669</v>
      </c>
      <c r="U102">
        <f t="shared" si="64"/>
        <v>0</v>
      </c>
      <c r="V102">
        <f t="shared" si="65"/>
        <v>0</v>
      </c>
      <c r="W102">
        <f t="shared" si="66"/>
        <v>260770.32273786669</v>
      </c>
      <c r="X102" s="44">
        <f t="shared" si="50"/>
        <v>4917.8376639341877</v>
      </c>
      <c r="Y102" s="28">
        <f t="shared" si="51"/>
        <v>2011.0260400814216</v>
      </c>
      <c r="Z102" s="28">
        <f t="shared" si="52"/>
        <v>258759.29669778526</v>
      </c>
      <c r="AA102">
        <f t="shared" si="53"/>
        <v>0</v>
      </c>
      <c r="AB102" s="28">
        <f t="shared" si="54"/>
        <v>258759.29669778526</v>
      </c>
      <c r="AD102" s="28">
        <f t="shared" si="55"/>
        <v>0</v>
      </c>
      <c r="AE102" s="28">
        <f t="shared" si="56"/>
        <v>258759.29669778526</v>
      </c>
      <c r="AF102" s="51"/>
      <c r="AG102" t="str">
        <f t="shared" si="57"/>
        <v>5303600</v>
      </c>
    </row>
    <row r="103" spans="1:33" x14ac:dyDescent="0.25">
      <c r="A103" s="7" t="s">
        <v>428</v>
      </c>
      <c r="B103" s="2" t="s">
        <v>860</v>
      </c>
      <c r="C103" s="4" t="s">
        <v>859</v>
      </c>
      <c r="D103">
        <f>_xlfn.IFNA(VLOOKUP(A103,'Prior Year data'!$A$1:$T$317,12,FALSE),0)</f>
        <v>800724.74626631523</v>
      </c>
      <c r="E103">
        <f>VLOOKUP(A103,'Basic HH'!$B$1:$Y$321,23,FALSE)</f>
        <v>426625.08108000236</v>
      </c>
      <c r="F103">
        <f>VLOOKUP(A103,'Conc. HH'!$B$1:$Y$321,23,FALSE)</f>
        <v>112150.16270528975</v>
      </c>
      <c r="G103">
        <f>VLOOKUP(A103,'Targeted HH'!$B$1:$Y$321,23,FALSE)</f>
        <v>299091.47361600155</v>
      </c>
      <c r="H103">
        <f>VLOOKUP(A103,'EFIG HH'!$B$1:$Y$321,23,FALSE)</f>
        <v>412383.27875974507</v>
      </c>
      <c r="I103">
        <f t="shared" si="44"/>
        <v>1250249.9961610388</v>
      </c>
      <c r="J103">
        <f t="shared" si="45"/>
        <v>800724.74626631523</v>
      </c>
      <c r="K103" s="44">
        <f t="shared" si="46"/>
        <v>1163243.063442959</v>
      </c>
      <c r="L103">
        <f t="shared" si="47"/>
        <v>0</v>
      </c>
      <c r="M103">
        <f t="shared" si="48"/>
        <v>1163243.063442959</v>
      </c>
      <c r="N103">
        <f t="shared" si="49"/>
        <v>1104630.8289484174</v>
      </c>
      <c r="O103">
        <f t="shared" si="58"/>
        <v>0</v>
      </c>
      <c r="P103">
        <f t="shared" si="59"/>
        <v>1104630.8289484174</v>
      </c>
      <c r="Q103">
        <f t="shared" si="60"/>
        <v>1104630.8289484174</v>
      </c>
      <c r="R103">
        <f t="shared" si="61"/>
        <v>0</v>
      </c>
      <c r="S103">
        <f t="shared" si="62"/>
        <v>1104630.8289484174</v>
      </c>
      <c r="T103">
        <f t="shared" si="63"/>
        <v>1104630.8289484174</v>
      </c>
      <c r="U103">
        <f t="shared" si="64"/>
        <v>0</v>
      </c>
      <c r="V103">
        <f t="shared" si="65"/>
        <v>1104630.8289484174</v>
      </c>
      <c r="W103">
        <f t="shared" si="66"/>
        <v>1104630.8289484174</v>
      </c>
      <c r="X103" s="44">
        <f t="shared" si="50"/>
        <v>145619.16721262131</v>
      </c>
      <c r="Y103" s="28">
        <f t="shared" si="51"/>
        <v>8518.7660097542866</v>
      </c>
      <c r="Z103" s="28">
        <f t="shared" si="52"/>
        <v>1096112.0629386632</v>
      </c>
      <c r="AA103">
        <f t="shared" si="53"/>
        <v>0</v>
      </c>
      <c r="AB103" s="28">
        <f t="shared" si="54"/>
        <v>1096112.0629386632</v>
      </c>
      <c r="AD103" s="28">
        <f t="shared" si="55"/>
        <v>0</v>
      </c>
      <c r="AE103" s="28">
        <f t="shared" si="56"/>
        <v>1096112.0629386632</v>
      </c>
      <c r="AF103" s="51"/>
      <c r="AG103" t="str">
        <f t="shared" si="57"/>
        <v>5303660</v>
      </c>
    </row>
    <row r="104" spans="1:33" x14ac:dyDescent="0.25">
      <c r="A104" s="7" t="s">
        <v>83</v>
      </c>
      <c r="B104" s="2" t="s">
        <v>861</v>
      </c>
      <c r="C104" s="4" t="s">
        <v>38</v>
      </c>
      <c r="D104">
        <f>_xlfn.IFNA(VLOOKUP(A104,'Prior Year data'!$A$1:$T$317,12,FALSE),0)</f>
        <v>95271.908173239557</v>
      </c>
      <c r="E104">
        <f>VLOOKUP(A104,'Basic HH'!$B$1:$Y$321,23,FALSE)</f>
        <v>47427.563335023609</v>
      </c>
      <c r="F104">
        <f>VLOOKUP(A104,'Conc. HH'!$B$1:$Y$321,23,FALSE)</f>
        <v>0</v>
      </c>
      <c r="G104">
        <f>VLOOKUP(A104,'Targeted HH'!$B$1:$Y$321,23,FALSE)</f>
        <v>37800.797055344068</v>
      </c>
      <c r="H104">
        <f>VLOOKUP(A104,'EFIG HH'!$B$1:$Y$321,23,FALSE)</f>
        <v>52119.227743109179</v>
      </c>
      <c r="I104">
        <f t="shared" si="44"/>
        <v>137347.58813347685</v>
      </c>
      <c r="J104">
        <f t="shared" si="45"/>
        <v>95271.908173239557</v>
      </c>
      <c r="K104" s="44">
        <f t="shared" si="46"/>
        <v>127789.34586479966</v>
      </c>
      <c r="L104">
        <f t="shared" si="47"/>
        <v>0</v>
      </c>
      <c r="M104">
        <f t="shared" si="48"/>
        <v>127789.34586479966</v>
      </c>
      <c r="N104">
        <f t="shared" si="49"/>
        <v>121350.43439296779</v>
      </c>
      <c r="O104">
        <f t="shared" si="58"/>
        <v>0</v>
      </c>
      <c r="P104">
        <f t="shared" si="59"/>
        <v>121350.43439296779</v>
      </c>
      <c r="Q104">
        <f t="shared" si="60"/>
        <v>121350.43439296779</v>
      </c>
      <c r="R104">
        <f t="shared" si="61"/>
        <v>0</v>
      </c>
      <c r="S104">
        <f t="shared" si="62"/>
        <v>121350.43439296779</v>
      </c>
      <c r="T104">
        <f t="shared" si="63"/>
        <v>121350.43439296779</v>
      </c>
      <c r="U104">
        <f t="shared" si="64"/>
        <v>0</v>
      </c>
      <c r="V104">
        <f t="shared" si="65"/>
        <v>121350.43439296779</v>
      </c>
      <c r="W104">
        <f t="shared" si="66"/>
        <v>121350.43439296779</v>
      </c>
      <c r="X104" s="44">
        <f t="shared" si="50"/>
        <v>15997.153740509064</v>
      </c>
      <c r="Y104" s="28">
        <f t="shared" si="51"/>
        <v>935.83840744318434</v>
      </c>
      <c r="Z104" s="28">
        <f t="shared" si="52"/>
        <v>120414.5959855246</v>
      </c>
      <c r="AA104">
        <f t="shared" si="53"/>
        <v>0</v>
      </c>
      <c r="AB104" s="28">
        <f t="shared" si="54"/>
        <v>120414.5959855246</v>
      </c>
      <c r="AD104" s="28">
        <f t="shared" si="55"/>
        <v>0</v>
      </c>
      <c r="AE104" s="28">
        <f t="shared" si="56"/>
        <v>120414.5959855246</v>
      </c>
      <c r="AF104" s="51"/>
      <c r="AG104" t="str">
        <f t="shared" si="57"/>
        <v>5303705</v>
      </c>
    </row>
    <row r="105" spans="1:33" x14ac:dyDescent="0.25">
      <c r="A105" s="7" t="s">
        <v>78</v>
      </c>
      <c r="B105" s="2" t="s">
        <v>862</v>
      </c>
      <c r="C105" s="4" t="s">
        <v>43</v>
      </c>
      <c r="D105">
        <f>_xlfn.IFNA(VLOOKUP(A105,'Prior Year data'!$A$1:$T$317,12,FALSE),0)</f>
        <v>203469.55607124013</v>
      </c>
      <c r="E105">
        <f>VLOOKUP(A105,'Basic HH'!$B$1:$Y$321,23,FALSE)</f>
        <v>75958.143167542788</v>
      </c>
      <c r="F105">
        <f>VLOOKUP(A105,'Conc. HH'!$B$1:$Y$321,23,FALSE)</f>
        <v>19893.858068435708</v>
      </c>
      <c r="G105">
        <f>VLOOKUP(A105,'Targeted HH'!$B$1:$Y$321,23,FALSE)</f>
        <v>46850.096294803756</v>
      </c>
      <c r="H105">
        <f>VLOOKUP(A105,'EFIG HH'!$B$1:$Y$321,23,FALSE)</f>
        <v>64603.174884591455</v>
      </c>
      <c r="I105">
        <f t="shared" si="44"/>
        <v>207305.27241537371</v>
      </c>
      <c r="J105">
        <f t="shared" si="45"/>
        <v>203469.55607124013</v>
      </c>
      <c r="K105" s="44">
        <f t="shared" si="46"/>
        <v>192878.56100203143</v>
      </c>
      <c r="L105">
        <f t="shared" si="47"/>
        <v>10590.9950692087</v>
      </c>
      <c r="M105">
        <f t="shared" si="48"/>
        <v>0</v>
      </c>
      <c r="N105">
        <f t="shared" si="49"/>
        <v>203469.55607124013</v>
      </c>
      <c r="O105">
        <f t="shared" si="58"/>
        <v>0</v>
      </c>
      <c r="P105">
        <f t="shared" si="59"/>
        <v>0</v>
      </c>
      <c r="Q105">
        <f t="shared" si="60"/>
        <v>203469.55607124013</v>
      </c>
      <c r="R105">
        <f t="shared" si="61"/>
        <v>0</v>
      </c>
      <c r="S105">
        <f t="shared" si="62"/>
        <v>0</v>
      </c>
      <c r="T105">
        <f t="shared" si="63"/>
        <v>203469.55607124013</v>
      </c>
      <c r="U105">
        <f t="shared" si="64"/>
        <v>0</v>
      </c>
      <c r="V105">
        <f t="shared" si="65"/>
        <v>0</v>
      </c>
      <c r="W105">
        <f t="shared" si="66"/>
        <v>203469.55607124013</v>
      </c>
      <c r="X105" s="44">
        <f t="shared" si="50"/>
        <v>3835.7163441335724</v>
      </c>
      <c r="Y105" s="28">
        <f t="shared" si="51"/>
        <v>1569.1301499610909</v>
      </c>
      <c r="Z105" s="28">
        <f t="shared" si="52"/>
        <v>201900.42592127903</v>
      </c>
      <c r="AA105">
        <f t="shared" si="53"/>
        <v>0</v>
      </c>
      <c r="AB105" s="28">
        <f t="shared" si="54"/>
        <v>201900.42592127903</v>
      </c>
      <c r="AD105" s="28">
        <f t="shared" si="55"/>
        <v>0</v>
      </c>
      <c r="AE105" s="28">
        <f t="shared" si="56"/>
        <v>201900.42592127903</v>
      </c>
      <c r="AF105" s="51"/>
      <c r="AG105" t="str">
        <f t="shared" si="57"/>
        <v>5303700</v>
      </c>
    </row>
    <row r="106" spans="1:33" x14ac:dyDescent="0.25">
      <c r="A106" t="s">
        <v>1409</v>
      </c>
      <c r="B106" t="s">
        <v>1415</v>
      </c>
      <c r="C106" t="s">
        <v>1413</v>
      </c>
      <c r="D106">
        <f>_xlfn.IFNA(VLOOKUP(A106,'Prior Year data'!$A$1:$T$317,12,FALSE),0)</f>
        <v>46624.632209475392</v>
      </c>
      <c r="E106">
        <f>VLOOKUP(A106,'Basic HH'!$B$1:$Y$321,23,FALSE)</f>
        <v>38981.650213276844</v>
      </c>
      <c r="F106">
        <f>VLOOKUP(A106,'Conc. HH'!$B$1:$Y$321,23,FALSE)</f>
        <v>0</v>
      </c>
      <c r="G106">
        <f>VLOOKUP(A106,'Targeted HH'!$B$1:$Y$321,23,FALSE)</f>
        <v>25399.955510181382</v>
      </c>
      <c r="H106">
        <f>VLOOKUP(A106,'EFIG HH'!$B$1:$Y$321,23,FALSE)</f>
        <v>35021.115135793902</v>
      </c>
      <c r="I106">
        <f t="shared" si="44"/>
        <v>99402.72085925212</v>
      </c>
      <c r="J106">
        <f t="shared" si="45"/>
        <v>46624.632209475392</v>
      </c>
      <c r="K106" s="44">
        <f t="shared" si="46"/>
        <v>92485.12368080669</v>
      </c>
      <c r="L106">
        <f t="shared" si="47"/>
        <v>0</v>
      </c>
      <c r="M106">
        <f t="shared" si="48"/>
        <v>92485.12368080669</v>
      </c>
      <c r="N106">
        <f t="shared" si="49"/>
        <v>87825.083207071308</v>
      </c>
      <c r="O106">
        <f t="shared" si="58"/>
        <v>0</v>
      </c>
      <c r="P106">
        <f t="shared" si="59"/>
        <v>87825.083207071308</v>
      </c>
      <c r="Q106">
        <f t="shared" si="60"/>
        <v>87825.083207071308</v>
      </c>
      <c r="R106">
        <f t="shared" si="61"/>
        <v>0</v>
      </c>
      <c r="S106">
        <f t="shared" si="62"/>
        <v>87825.083207071308</v>
      </c>
      <c r="T106">
        <f t="shared" si="63"/>
        <v>87825.083207071308</v>
      </c>
      <c r="U106">
        <f t="shared" si="64"/>
        <v>0</v>
      </c>
      <c r="V106">
        <f t="shared" si="65"/>
        <v>87825.083207071308</v>
      </c>
      <c r="W106">
        <f t="shared" si="66"/>
        <v>87825.083207071308</v>
      </c>
      <c r="X106" s="44">
        <f t="shared" si="50"/>
        <v>11577.637652180812</v>
      </c>
      <c r="Y106" s="28">
        <f t="shared" si="51"/>
        <v>677.29535879464186</v>
      </c>
      <c r="Z106" s="28">
        <f t="shared" si="52"/>
        <v>87147.787848276668</v>
      </c>
      <c r="AA106">
        <f t="shared" si="53"/>
        <v>0</v>
      </c>
      <c r="AB106" s="28">
        <f t="shared" si="54"/>
        <v>87147.787848276668</v>
      </c>
      <c r="AD106" s="28">
        <f t="shared" si="55"/>
        <v>0</v>
      </c>
      <c r="AE106" s="28">
        <f t="shared" si="56"/>
        <v>87147.787848276668</v>
      </c>
      <c r="AF106" s="51"/>
      <c r="AG106" t="str">
        <f t="shared" si="57"/>
        <v>5307790</v>
      </c>
    </row>
    <row r="107" spans="1:33" x14ac:dyDescent="0.25">
      <c r="A107" s="7" t="s">
        <v>79</v>
      </c>
      <c r="B107" s="2" t="s">
        <v>863</v>
      </c>
      <c r="C107" s="4" t="s">
        <v>47</v>
      </c>
      <c r="D107">
        <f>_xlfn.IFNA(VLOOKUP(A107,'Prior Year data'!$A$1:$T$317,12,FALSE),0)</f>
        <v>97899.618371424018</v>
      </c>
      <c r="E107">
        <f>VLOOKUP(A107,'Basic HH'!$B$1:$Y$321,23,FALSE)</f>
        <v>46021.81110388344</v>
      </c>
      <c r="F107">
        <f>VLOOKUP(A107,'Conc. HH'!$B$1:$Y$321,23,FALSE)</f>
        <v>12024.02184811082</v>
      </c>
      <c r="G107">
        <f>VLOOKUP(A107,'Targeted HH'!$B$1:$Y$321,23,FALSE)</f>
        <v>28383.612932197957</v>
      </c>
      <c r="H107">
        <f>VLOOKUP(A107,'EFIG HH'!$B$1:$Y$321,23,FALSE)</f>
        <v>39139.551998635427</v>
      </c>
      <c r="I107">
        <f t="shared" si="44"/>
        <v>125568.99788282765</v>
      </c>
      <c r="J107">
        <f t="shared" si="45"/>
        <v>97899.618371424018</v>
      </c>
      <c r="K107" s="44">
        <f t="shared" si="46"/>
        <v>116830.44688597515</v>
      </c>
      <c r="L107">
        <f t="shared" si="47"/>
        <v>0</v>
      </c>
      <c r="M107">
        <f t="shared" si="48"/>
        <v>116830.44688597515</v>
      </c>
      <c r="N107">
        <f t="shared" si="49"/>
        <v>110943.72057383614</v>
      </c>
      <c r="O107">
        <f t="shared" si="58"/>
        <v>0</v>
      </c>
      <c r="P107">
        <f t="shared" si="59"/>
        <v>110943.72057383614</v>
      </c>
      <c r="Q107">
        <f t="shared" si="60"/>
        <v>110943.72057383614</v>
      </c>
      <c r="R107">
        <f t="shared" si="61"/>
        <v>0</v>
      </c>
      <c r="S107">
        <f t="shared" si="62"/>
        <v>110943.72057383614</v>
      </c>
      <c r="T107">
        <f t="shared" si="63"/>
        <v>110943.72057383614</v>
      </c>
      <c r="U107">
        <f t="shared" si="64"/>
        <v>0</v>
      </c>
      <c r="V107">
        <f t="shared" si="65"/>
        <v>110943.72057383614</v>
      </c>
      <c r="W107">
        <f t="shared" si="66"/>
        <v>110943.72057383614</v>
      </c>
      <c r="X107" s="44">
        <f t="shared" si="50"/>
        <v>14625.277308991514</v>
      </c>
      <c r="Y107" s="28">
        <f t="shared" si="51"/>
        <v>855.58321481918892</v>
      </c>
      <c r="Z107" s="28">
        <f t="shared" si="52"/>
        <v>110088.13735901695</v>
      </c>
      <c r="AA107">
        <f t="shared" si="53"/>
        <v>0</v>
      </c>
      <c r="AB107" s="28">
        <f t="shared" si="54"/>
        <v>110088.13735901695</v>
      </c>
      <c r="AD107" s="28">
        <f t="shared" si="55"/>
        <v>0</v>
      </c>
      <c r="AE107" s="28">
        <f t="shared" si="56"/>
        <v>110088.13735901695</v>
      </c>
      <c r="AF107" s="51"/>
      <c r="AG107" t="str">
        <f t="shared" si="57"/>
        <v>5303710</v>
      </c>
    </row>
    <row r="108" spans="1:33" x14ac:dyDescent="0.25">
      <c r="A108" s="7" t="s">
        <v>430</v>
      </c>
      <c r="B108" s="2" t="s">
        <v>865</v>
      </c>
      <c r="C108" s="4" t="s">
        <v>864</v>
      </c>
      <c r="D108">
        <f>_xlfn.IFNA(VLOOKUP(A108,'Prior Year data'!$A$1:$T$317,12,FALSE),0)</f>
        <v>110466.80363949927</v>
      </c>
      <c r="E108">
        <f>VLOOKUP(A108,'Basic HH'!$B$1:$Y$321,23,FALSE)</f>
        <v>38705.904533467925</v>
      </c>
      <c r="F108">
        <f>VLOOKUP(A108,'Conc. HH'!$B$1:$Y$321,23,FALSE)</f>
        <v>10174.913955117019</v>
      </c>
      <c r="G108">
        <f>VLOOKUP(A108,'Targeted HH'!$B$1:$Y$321,23,FALSE)</f>
        <v>24314.814815285492</v>
      </c>
      <c r="H108">
        <f>VLOOKUP(A108,'EFIG HH'!$B$1:$Y$321,23,FALSE)</f>
        <v>33524.937821654465</v>
      </c>
      <c r="I108">
        <f t="shared" si="44"/>
        <v>106720.5711255249</v>
      </c>
      <c r="J108">
        <f t="shared" si="45"/>
        <v>110466.80363949927</v>
      </c>
      <c r="K108" s="44">
        <f t="shared" si="46"/>
        <v>99293.712833131372</v>
      </c>
      <c r="L108">
        <f t="shared" si="47"/>
        <v>7426.8582923935319</v>
      </c>
      <c r="M108">
        <f t="shared" si="48"/>
        <v>0</v>
      </c>
      <c r="N108">
        <f t="shared" si="49"/>
        <v>106720.5711255249</v>
      </c>
      <c r="O108">
        <f t="shared" si="58"/>
        <v>0</v>
      </c>
      <c r="P108">
        <f t="shared" si="59"/>
        <v>0</v>
      </c>
      <c r="Q108">
        <f t="shared" si="60"/>
        <v>106720.5711255249</v>
      </c>
      <c r="R108">
        <f t="shared" si="61"/>
        <v>0</v>
      </c>
      <c r="S108">
        <f t="shared" si="62"/>
        <v>0</v>
      </c>
      <c r="T108">
        <f t="shared" si="63"/>
        <v>106720.5711255249</v>
      </c>
      <c r="U108">
        <f t="shared" si="64"/>
        <v>0</v>
      </c>
      <c r="V108">
        <f t="shared" si="65"/>
        <v>0</v>
      </c>
      <c r="W108">
        <f t="shared" si="66"/>
        <v>106720.5711255249</v>
      </c>
      <c r="X108" s="44">
        <f t="shared" si="50"/>
        <v>0</v>
      </c>
      <c r="Y108" s="28">
        <f t="shared" si="51"/>
        <v>823.014848056662</v>
      </c>
      <c r="Z108" s="28">
        <f t="shared" si="52"/>
        <v>105897.55627746825</v>
      </c>
      <c r="AA108">
        <f t="shared" si="53"/>
        <v>0</v>
      </c>
      <c r="AB108" s="28">
        <f t="shared" si="54"/>
        <v>105897.55627746825</v>
      </c>
      <c r="AD108" s="28">
        <f t="shared" si="55"/>
        <v>0</v>
      </c>
      <c r="AE108" s="28">
        <f t="shared" si="56"/>
        <v>105897.55627746825</v>
      </c>
      <c r="AF108" s="51"/>
      <c r="AG108" t="str">
        <f t="shared" si="57"/>
        <v>5300002</v>
      </c>
    </row>
    <row r="109" spans="1:33" x14ac:dyDescent="0.25">
      <c r="A109" s="7" t="s">
        <v>432</v>
      </c>
      <c r="B109" s="2" t="s">
        <v>867</v>
      </c>
      <c r="C109" s="4" t="s">
        <v>866</v>
      </c>
      <c r="D109">
        <f>_xlfn.IFNA(VLOOKUP(A109,'Prior Year data'!$A$1:$T$317,12,FALSE),0)</f>
        <v>2517.5711459920344</v>
      </c>
      <c r="E109">
        <f>VLOOKUP(A109,'Basic HH'!$B$1:$Y$321,23,FALSE)</f>
        <v>0</v>
      </c>
      <c r="F109">
        <f>VLOOKUP(A109,'Conc. HH'!$B$1:$Y$321,23,FALSE)</f>
        <v>2283.3329450595575</v>
      </c>
      <c r="G109">
        <f>VLOOKUP(A109,'Targeted HH'!$B$1:$Y$321,23,FALSE)</f>
        <v>0</v>
      </c>
      <c r="H109">
        <f>VLOOKUP(A109,'EFIG HH'!$B$1:$Y$321,23,FALSE)</f>
        <v>0</v>
      </c>
      <c r="I109">
        <f t="shared" si="44"/>
        <v>2283.3329450595575</v>
      </c>
      <c r="J109">
        <f t="shared" si="45"/>
        <v>2517.5711459920344</v>
      </c>
      <c r="K109" s="44">
        <f t="shared" si="46"/>
        <v>2124.43208800394</v>
      </c>
      <c r="L109">
        <f t="shared" si="47"/>
        <v>158.90085705561751</v>
      </c>
      <c r="M109">
        <f t="shared" si="48"/>
        <v>0</v>
      </c>
      <c r="N109">
        <f t="shared" si="49"/>
        <v>2283.3329450595575</v>
      </c>
      <c r="O109">
        <f t="shared" si="58"/>
        <v>0</v>
      </c>
      <c r="P109">
        <f t="shared" si="59"/>
        <v>0</v>
      </c>
      <c r="Q109">
        <f t="shared" si="60"/>
        <v>2283.3329450595575</v>
      </c>
      <c r="R109">
        <f t="shared" si="61"/>
        <v>0</v>
      </c>
      <c r="S109">
        <f t="shared" si="62"/>
        <v>0</v>
      </c>
      <c r="T109">
        <f t="shared" si="63"/>
        <v>2283.3329450595575</v>
      </c>
      <c r="U109">
        <f t="shared" si="64"/>
        <v>0</v>
      </c>
      <c r="V109">
        <f t="shared" si="65"/>
        <v>0</v>
      </c>
      <c r="W109">
        <f t="shared" si="66"/>
        <v>2283.3329450595575</v>
      </c>
      <c r="X109" s="44">
        <f t="shared" si="50"/>
        <v>0</v>
      </c>
      <c r="Y109" s="28">
        <f t="shared" si="51"/>
        <v>17.608759932802688</v>
      </c>
      <c r="Z109" s="28">
        <f t="shared" si="52"/>
        <v>2265.7241851267549</v>
      </c>
      <c r="AA109">
        <f t="shared" si="53"/>
        <v>0</v>
      </c>
      <c r="AB109" s="28">
        <f t="shared" si="54"/>
        <v>2265.7241851267549</v>
      </c>
      <c r="AD109" s="28">
        <f t="shared" si="55"/>
        <v>0</v>
      </c>
      <c r="AE109" s="28">
        <f t="shared" si="56"/>
        <v>2265.7241851267549</v>
      </c>
      <c r="AF109" s="51"/>
      <c r="AG109" t="str">
        <f t="shared" si="57"/>
        <v>5303720</v>
      </c>
    </row>
    <row r="110" spans="1:33" x14ac:dyDescent="0.25">
      <c r="A110" s="7" t="s">
        <v>147</v>
      </c>
      <c r="B110" s="2" t="s">
        <v>869</v>
      </c>
      <c r="C110" s="4" t="s">
        <v>868</v>
      </c>
      <c r="D110">
        <f>_xlfn.IFNA(VLOOKUP(A110,'Prior Year data'!$A$1:$T$317,12,FALSE),0)</f>
        <v>674461.16449352552</v>
      </c>
      <c r="E110">
        <f>VLOOKUP(A110,'Basic HH'!$B$1:$Y$321,23,FALSE)</f>
        <v>736272.31734774599</v>
      </c>
      <c r="F110">
        <f>VLOOKUP(A110,'Conc. HH'!$B$1:$Y$321,23,FALSE)</f>
        <v>0</v>
      </c>
      <c r="G110">
        <f>VLOOKUP(A110,'Targeted HH'!$B$1:$Y$321,23,FALSE)</f>
        <v>0</v>
      </c>
      <c r="H110">
        <f>VLOOKUP(A110,'EFIG HH'!$B$1:$Y$321,23,FALSE)</f>
        <v>0</v>
      </c>
      <c r="I110">
        <f t="shared" si="44"/>
        <v>736272.31734774599</v>
      </c>
      <c r="J110">
        <f t="shared" si="45"/>
        <v>674461.16449352552</v>
      </c>
      <c r="K110" s="44">
        <f t="shared" si="46"/>
        <v>685033.92808610864</v>
      </c>
      <c r="L110">
        <f t="shared" si="47"/>
        <v>0</v>
      </c>
      <c r="M110">
        <f t="shared" si="48"/>
        <v>685033.92808610864</v>
      </c>
      <c r="N110">
        <f t="shared" si="49"/>
        <v>650517.17875698721</v>
      </c>
      <c r="O110">
        <f t="shared" si="58"/>
        <v>23943.985736538307</v>
      </c>
      <c r="P110">
        <f t="shared" si="59"/>
        <v>0</v>
      </c>
      <c r="Q110">
        <f t="shared" si="60"/>
        <v>650517.17875698721</v>
      </c>
      <c r="R110">
        <f t="shared" si="61"/>
        <v>0</v>
      </c>
      <c r="S110">
        <f t="shared" si="62"/>
        <v>0</v>
      </c>
      <c r="T110">
        <f t="shared" si="63"/>
        <v>650517.17875698721</v>
      </c>
      <c r="U110">
        <f t="shared" si="64"/>
        <v>23943.985736538307</v>
      </c>
      <c r="V110">
        <f t="shared" si="65"/>
        <v>0</v>
      </c>
      <c r="W110">
        <f t="shared" si="66"/>
        <v>650517.17875698721</v>
      </c>
      <c r="X110" s="44">
        <f t="shared" si="50"/>
        <v>85755.138590758783</v>
      </c>
      <c r="Y110" s="28">
        <f t="shared" si="51"/>
        <v>5016.7019477735857</v>
      </c>
      <c r="Z110" s="28">
        <f t="shared" si="52"/>
        <v>645500.47680921364</v>
      </c>
      <c r="AA110">
        <f t="shared" si="53"/>
        <v>0</v>
      </c>
      <c r="AB110" s="28">
        <f t="shared" si="54"/>
        <v>645500.47680921364</v>
      </c>
      <c r="AD110" s="28">
        <f t="shared" si="55"/>
        <v>0</v>
      </c>
      <c r="AE110" s="28">
        <f t="shared" si="56"/>
        <v>645500.47680921364</v>
      </c>
      <c r="AF110" s="51"/>
      <c r="AG110" t="str">
        <f t="shared" si="57"/>
        <v>5303750</v>
      </c>
    </row>
    <row r="111" spans="1:33" x14ac:dyDescent="0.25">
      <c r="A111" s="7" t="s">
        <v>149</v>
      </c>
      <c r="B111" s="2" t="s">
        <v>871</v>
      </c>
      <c r="C111" s="4" t="s">
        <v>870</v>
      </c>
      <c r="D111">
        <f>_xlfn.IFNA(VLOOKUP(A111,'Prior Year data'!$A$1:$T$317,12,FALSE),0)</f>
        <v>27262.590895355446</v>
      </c>
      <c r="E111">
        <f>VLOOKUP(A111,'Basic HH'!$B$1:$Y$321,23,FALSE)</f>
        <v>18922.886660806558</v>
      </c>
      <c r="F111">
        <f>VLOOKUP(A111,'Conc. HH'!$B$1:$Y$321,23,FALSE)</f>
        <v>4974.4023780572088</v>
      </c>
      <c r="G111">
        <f>VLOOKUP(A111,'Targeted HH'!$B$1:$Y$321,23,FALSE)</f>
        <v>16862.071462315689</v>
      </c>
      <c r="H111">
        <f>VLOOKUP(A111,'EFIG HH'!$B$1:$Y$321,23,FALSE)</f>
        <v>23249.196081191305</v>
      </c>
      <c r="I111">
        <f t="shared" si="44"/>
        <v>64008.556582370758</v>
      </c>
      <c r="J111">
        <f t="shared" si="45"/>
        <v>27262.590895355446</v>
      </c>
      <c r="K111" s="44">
        <f t="shared" si="46"/>
        <v>59554.096919867879</v>
      </c>
      <c r="L111">
        <f t="shared" si="47"/>
        <v>0</v>
      </c>
      <c r="M111">
        <f t="shared" si="48"/>
        <v>59554.096919867879</v>
      </c>
      <c r="N111">
        <f t="shared" si="49"/>
        <v>56553.349437698067</v>
      </c>
      <c r="O111">
        <f t="shared" si="58"/>
        <v>0</v>
      </c>
      <c r="P111">
        <f t="shared" si="59"/>
        <v>56553.349437698067</v>
      </c>
      <c r="Q111">
        <f t="shared" si="60"/>
        <v>56553.349437698067</v>
      </c>
      <c r="R111">
        <f t="shared" si="61"/>
        <v>0</v>
      </c>
      <c r="S111">
        <f t="shared" si="62"/>
        <v>56553.349437698067</v>
      </c>
      <c r="T111">
        <f t="shared" si="63"/>
        <v>56553.349437698067</v>
      </c>
      <c r="U111">
        <f t="shared" si="64"/>
        <v>0</v>
      </c>
      <c r="V111">
        <f t="shared" si="65"/>
        <v>56553.349437698067</v>
      </c>
      <c r="W111">
        <f t="shared" si="66"/>
        <v>56553.349437698067</v>
      </c>
      <c r="X111" s="44">
        <f t="shared" si="50"/>
        <v>7455.2071446726914</v>
      </c>
      <c r="Y111" s="28">
        <f t="shared" si="51"/>
        <v>436.13190787572688</v>
      </c>
      <c r="Z111" s="28">
        <f t="shared" si="52"/>
        <v>56117.217529822337</v>
      </c>
      <c r="AA111">
        <f t="shared" si="53"/>
        <v>0</v>
      </c>
      <c r="AB111" s="28">
        <f t="shared" si="54"/>
        <v>56117.217529822337</v>
      </c>
      <c r="AD111" s="28">
        <f t="shared" si="55"/>
        <v>0</v>
      </c>
      <c r="AE111" s="28">
        <f t="shared" si="56"/>
        <v>56117.217529822337</v>
      </c>
      <c r="AF111" s="51"/>
      <c r="AG111" t="str">
        <f t="shared" si="57"/>
        <v>5303780</v>
      </c>
    </row>
    <row r="112" spans="1:33" x14ac:dyDescent="0.25">
      <c r="A112" s="7" t="s">
        <v>151</v>
      </c>
      <c r="B112" s="2" t="s">
        <v>873</v>
      </c>
      <c r="C112" s="4" t="s">
        <v>872</v>
      </c>
      <c r="D112">
        <f>_xlfn.IFNA(VLOOKUP(A112,'Prior Year data'!$A$1:$T$317,12,FALSE),0)</f>
        <v>193929.95591514595</v>
      </c>
      <c r="E112">
        <f>VLOOKUP(A112,'Basic HH'!$B$1:$Y$321,23,FALSE)</f>
        <v>98915.089363306979</v>
      </c>
      <c r="F112">
        <f>VLOOKUP(A112,'Conc. HH'!$B$1:$Y$321,23,FALSE)</f>
        <v>0</v>
      </c>
      <c r="G112">
        <f>VLOOKUP(A112,'Targeted HH'!$B$1:$Y$321,23,FALSE)</f>
        <v>47333.574618082734</v>
      </c>
      <c r="H112">
        <f>VLOOKUP(A112,'EFIG HH'!$B$1:$Y$321,23,FALSE)</f>
        <v>65262.892520583402</v>
      </c>
      <c r="I112">
        <f t="shared" si="44"/>
        <v>211511.55650197313</v>
      </c>
      <c r="J112">
        <f t="shared" si="45"/>
        <v>193929.95591514595</v>
      </c>
      <c r="K112" s="44">
        <f t="shared" si="46"/>
        <v>196792.12293095066</v>
      </c>
      <c r="L112">
        <f t="shared" si="47"/>
        <v>0</v>
      </c>
      <c r="M112">
        <f t="shared" si="48"/>
        <v>196792.12293095066</v>
      </c>
      <c r="N112">
        <f t="shared" si="49"/>
        <v>186876.37409186622</v>
      </c>
      <c r="O112">
        <f t="shared" si="58"/>
        <v>7053.5818232797319</v>
      </c>
      <c r="P112">
        <f t="shared" si="59"/>
        <v>0</v>
      </c>
      <c r="Q112">
        <f t="shared" si="60"/>
        <v>186876.37409186622</v>
      </c>
      <c r="R112">
        <f t="shared" si="61"/>
        <v>0</v>
      </c>
      <c r="S112">
        <f t="shared" si="62"/>
        <v>0</v>
      </c>
      <c r="T112">
        <f t="shared" si="63"/>
        <v>186876.37409186622</v>
      </c>
      <c r="U112">
        <f t="shared" si="64"/>
        <v>7053.5818232797319</v>
      </c>
      <c r="V112">
        <f t="shared" si="65"/>
        <v>0</v>
      </c>
      <c r="W112">
        <f t="shared" si="66"/>
        <v>186876.37409186622</v>
      </c>
      <c r="X112" s="44">
        <f t="shared" si="50"/>
        <v>24635.182410106907</v>
      </c>
      <c r="Y112" s="28">
        <f t="shared" si="51"/>
        <v>1441.1657378378814</v>
      </c>
      <c r="Z112" s="28">
        <f t="shared" si="52"/>
        <v>185435.20835402835</v>
      </c>
      <c r="AA112">
        <f t="shared" si="53"/>
        <v>0</v>
      </c>
      <c r="AB112" s="28">
        <f t="shared" si="54"/>
        <v>185435.20835402835</v>
      </c>
      <c r="AD112" s="28">
        <f t="shared" si="55"/>
        <v>0</v>
      </c>
      <c r="AE112" s="28">
        <f t="shared" si="56"/>
        <v>185435.20835402835</v>
      </c>
      <c r="AF112" s="51"/>
      <c r="AG112" t="str">
        <f t="shared" si="57"/>
        <v>5303810</v>
      </c>
    </row>
    <row r="113" spans="1:33" x14ac:dyDescent="0.25">
      <c r="A113" s="7" t="s">
        <v>434</v>
      </c>
      <c r="B113" s="2" t="s">
        <v>875</v>
      </c>
      <c r="C113" s="4" t="s">
        <v>874</v>
      </c>
      <c r="D113">
        <f>_xlfn.IFNA(VLOOKUP(A113,'Prior Year data'!$A$1:$T$317,12,FALSE),0)</f>
        <v>69070.148547208097</v>
      </c>
      <c r="E113">
        <f>VLOOKUP(A113,'Basic HH'!$B$1:$Y$321,23,FALSE)</f>
        <v>27524.198779354996</v>
      </c>
      <c r="F113">
        <f>VLOOKUP(A113,'Conc. HH'!$B$1:$Y$321,23,FALSE)</f>
        <v>7235.4943680832139</v>
      </c>
      <c r="G113">
        <f>VLOOKUP(A113,'Targeted HH'!$B$1:$Y$321,23,FALSE)</f>
        <v>21232.555335231205</v>
      </c>
      <c r="H113">
        <f>VLOOKUP(A113,'EFIG HH'!$B$1:$Y$321,23,FALSE)</f>
        <v>29275.160136567392</v>
      </c>
      <c r="I113">
        <f t="shared" si="44"/>
        <v>85267.408619236812</v>
      </c>
      <c r="J113">
        <f t="shared" si="45"/>
        <v>69070.148547208097</v>
      </c>
      <c r="K113" s="44">
        <f t="shared" si="46"/>
        <v>79333.51083274695</v>
      </c>
      <c r="L113">
        <f t="shared" si="47"/>
        <v>0</v>
      </c>
      <c r="M113">
        <f t="shared" si="48"/>
        <v>79333.51083274695</v>
      </c>
      <c r="N113">
        <f t="shared" si="49"/>
        <v>75336.139615727661</v>
      </c>
      <c r="O113">
        <f t="shared" si="58"/>
        <v>0</v>
      </c>
      <c r="P113">
        <f t="shared" si="59"/>
        <v>75336.139615727661</v>
      </c>
      <c r="Q113">
        <f t="shared" si="60"/>
        <v>75336.139615727661</v>
      </c>
      <c r="R113">
        <f t="shared" si="61"/>
        <v>0</v>
      </c>
      <c r="S113">
        <f t="shared" si="62"/>
        <v>75336.139615727661</v>
      </c>
      <c r="T113">
        <f t="shared" si="63"/>
        <v>75336.139615727661</v>
      </c>
      <c r="U113">
        <f t="shared" si="64"/>
        <v>0</v>
      </c>
      <c r="V113">
        <f t="shared" si="65"/>
        <v>75336.139615727661</v>
      </c>
      <c r="W113">
        <f t="shared" si="66"/>
        <v>75336.139615727661</v>
      </c>
      <c r="X113" s="44">
        <f t="shared" si="50"/>
        <v>9931.2690035091509</v>
      </c>
      <c r="Y113" s="28">
        <f t="shared" si="51"/>
        <v>580.98228715517109</v>
      </c>
      <c r="Z113" s="28">
        <f t="shared" si="52"/>
        <v>74755.157328572488</v>
      </c>
      <c r="AA113">
        <f t="shared" si="53"/>
        <v>0</v>
      </c>
      <c r="AB113" s="28">
        <f t="shared" si="54"/>
        <v>74755.157328572488</v>
      </c>
      <c r="AD113" s="28">
        <f t="shared" si="55"/>
        <v>0</v>
      </c>
      <c r="AE113" s="28">
        <f t="shared" si="56"/>
        <v>74755.157328572488</v>
      </c>
      <c r="AF113" s="51"/>
      <c r="AG113" t="str">
        <f t="shared" si="57"/>
        <v>5303870</v>
      </c>
    </row>
    <row r="114" spans="1:33" x14ac:dyDescent="0.25">
      <c r="A114" s="7" t="s">
        <v>436</v>
      </c>
      <c r="B114" s="2" t="s">
        <v>877</v>
      </c>
      <c r="C114" s="8" t="s">
        <v>876</v>
      </c>
      <c r="D114">
        <f>_xlfn.IFNA(VLOOKUP(A114,'Prior Year data'!$A$1:$T$317,12,FALSE),0)</f>
        <v>1622397.0939286796</v>
      </c>
      <c r="E114">
        <f>VLOOKUP(A114,'Basic HH'!$B$1:$Y$321,23,FALSE)</f>
        <v>805082.8142961337</v>
      </c>
      <c r="F114">
        <f>VLOOKUP(A114,'Conc. HH'!$B$1:$Y$321,23,FALSE)</f>
        <v>211638.21026643392</v>
      </c>
      <c r="G114">
        <f>VLOOKUP(A114,'Targeted HH'!$B$1:$Y$321,23,FALSE)</f>
        <v>435674.68463687459</v>
      </c>
      <c r="H114">
        <f>VLOOKUP(A114,'EFIG HH'!$B$1:$Y$321,23,FALSE)</f>
        <v>600702.36289597861</v>
      </c>
      <c r="I114">
        <f t="shared" si="44"/>
        <v>2053098.0720954207</v>
      </c>
      <c r="J114">
        <f t="shared" si="45"/>
        <v>1622397.0939286796</v>
      </c>
      <c r="K114" s="44">
        <f t="shared" si="46"/>
        <v>1910219.6346861583</v>
      </c>
      <c r="L114">
        <f t="shared" si="47"/>
        <v>0</v>
      </c>
      <c r="M114">
        <f t="shared" si="48"/>
        <v>1910219.6346861583</v>
      </c>
      <c r="N114">
        <f t="shared" si="49"/>
        <v>1813969.5518935581</v>
      </c>
      <c r="O114">
        <f t="shared" si="58"/>
        <v>0</v>
      </c>
      <c r="P114">
        <f t="shared" si="59"/>
        <v>1813969.5518935581</v>
      </c>
      <c r="Q114">
        <f t="shared" si="60"/>
        <v>1813969.5518935581</v>
      </c>
      <c r="R114">
        <f t="shared" si="61"/>
        <v>0</v>
      </c>
      <c r="S114">
        <f t="shared" si="62"/>
        <v>1813969.5518935581</v>
      </c>
      <c r="T114">
        <f t="shared" si="63"/>
        <v>1813969.5518935581</v>
      </c>
      <c r="U114">
        <f t="shared" si="64"/>
        <v>0</v>
      </c>
      <c r="V114">
        <f t="shared" si="65"/>
        <v>1813969.5518935581</v>
      </c>
      <c r="W114">
        <f t="shared" si="66"/>
        <v>1813969.5518935581</v>
      </c>
      <c r="X114" s="44">
        <f t="shared" si="50"/>
        <v>239128.52020186256</v>
      </c>
      <c r="Y114" s="28">
        <f t="shared" si="51"/>
        <v>13989.091881593367</v>
      </c>
      <c r="Z114" s="28">
        <f t="shared" si="52"/>
        <v>1799980.4600119647</v>
      </c>
      <c r="AA114">
        <f t="shared" si="53"/>
        <v>0</v>
      </c>
      <c r="AB114" s="28">
        <f t="shared" si="54"/>
        <v>1799980.4600119647</v>
      </c>
      <c r="AD114" s="28">
        <f t="shared" si="55"/>
        <v>0</v>
      </c>
      <c r="AE114" s="28">
        <f t="shared" si="56"/>
        <v>1799980.4600119647</v>
      </c>
      <c r="AF114" s="51"/>
      <c r="AG114" t="str">
        <f t="shared" si="57"/>
        <v>5300003</v>
      </c>
    </row>
    <row r="115" spans="1:33" x14ac:dyDescent="0.25">
      <c r="A115" s="7" t="s">
        <v>438</v>
      </c>
      <c r="B115" s="2" t="s">
        <v>879</v>
      </c>
      <c r="C115" s="4" t="s">
        <v>878</v>
      </c>
      <c r="D115">
        <f>_xlfn.IFNA(VLOOKUP(A115,'Prior Year data'!$A$1:$T$317,12,FALSE),0)</f>
        <v>6180129.4619145431</v>
      </c>
      <c r="E115">
        <f>VLOOKUP(A115,'Basic HH'!$B$1:$Y$321,23,FALSE)</f>
        <v>2447073.2977270288</v>
      </c>
      <c r="F115">
        <f>VLOOKUP(A115,'Conc. HH'!$B$1:$Y$321,23,FALSE)</f>
        <v>464490.35096860031</v>
      </c>
      <c r="G115">
        <f>VLOOKUP(A115,'Targeted HH'!$B$1:$Y$321,23,FALSE)</f>
        <v>1734261.0143764489</v>
      </c>
      <c r="H115">
        <f>VLOOKUP(A115,'EFIG HH'!$B$1:$Y$321,23,FALSE)</f>
        <v>2391175.6316128536</v>
      </c>
      <c r="I115">
        <f t="shared" si="44"/>
        <v>7037000.2946849316</v>
      </c>
      <c r="J115">
        <f t="shared" si="45"/>
        <v>6180129.4619145431</v>
      </c>
      <c r="K115" s="44">
        <f t="shared" si="46"/>
        <v>6547283.98750096</v>
      </c>
      <c r="L115">
        <f t="shared" si="47"/>
        <v>0</v>
      </c>
      <c r="M115">
        <f t="shared" si="48"/>
        <v>6547283.98750096</v>
      </c>
      <c r="N115">
        <f t="shared" si="49"/>
        <v>6217386.516853733</v>
      </c>
      <c r="O115">
        <f t="shared" si="58"/>
        <v>0</v>
      </c>
      <c r="P115">
        <f t="shared" si="59"/>
        <v>6217386.516853733</v>
      </c>
      <c r="Q115">
        <f t="shared" si="60"/>
        <v>6217386.516853733</v>
      </c>
      <c r="R115">
        <f t="shared" si="61"/>
        <v>0</v>
      </c>
      <c r="S115">
        <f t="shared" si="62"/>
        <v>6217386.516853733</v>
      </c>
      <c r="T115">
        <f t="shared" si="63"/>
        <v>6217386.516853733</v>
      </c>
      <c r="U115">
        <f t="shared" si="64"/>
        <v>0</v>
      </c>
      <c r="V115">
        <f t="shared" si="65"/>
        <v>6217386.516853733</v>
      </c>
      <c r="W115">
        <f t="shared" si="66"/>
        <v>6217386.516853733</v>
      </c>
      <c r="X115" s="44">
        <f t="shared" si="50"/>
        <v>819613.77783119865</v>
      </c>
      <c r="Y115" s="28">
        <f t="shared" si="51"/>
        <v>47947.657752499174</v>
      </c>
      <c r="Z115" s="28">
        <f t="shared" si="52"/>
        <v>6169438.859101234</v>
      </c>
      <c r="AA115">
        <f t="shared" si="53"/>
        <v>0</v>
      </c>
      <c r="AB115" s="28">
        <f t="shared" si="54"/>
        <v>6169438.859101234</v>
      </c>
      <c r="AD115" s="28">
        <f t="shared" si="55"/>
        <v>0</v>
      </c>
      <c r="AE115" s="28">
        <f t="shared" si="56"/>
        <v>6169438.859101234</v>
      </c>
      <c r="AF115" s="51"/>
      <c r="AG115" t="str">
        <f t="shared" si="57"/>
        <v>5303930</v>
      </c>
    </row>
    <row r="116" spans="1:33" x14ac:dyDescent="0.25">
      <c r="A116" s="7" t="s">
        <v>440</v>
      </c>
      <c r="B116" s="2" t="s">
        <v>881</v>
      </c>
      <c r="C116" s="4" t="s">
        <v>880</v>
      </c>
      <c r="D116">
        <f>_xlfn.IFNA(VLOOKUP(A116,'Prior Year data'!$A$1:$T$317,12,FALSE),0)</f>
        <v>9926183.893273484</v>
      </c>
      <c r="E116">
        <f>VLOOKUP(A116,'Basic HH'!$B$1:$Y$321,23,FALSE)</f>
        <v>3709745.9167299415</v>
      </c>
      <c r="F116">
        <f>VLOOKUP(A116,'Conc. HH'!$B$1:$Y$321,23,FALSE)</f>
        <v>0</v>
      </c>
      <c r="G116">
        <f>VLOOKUP(A116,'Targeted HH'!$B$1:$Y$321,23,FALSE)</f>
        <v>2942707.7541911518</v>
      </c>
      <c r="H116">
        <f>VLOOKUP(A116,'EFIG HH'!$B$1:$Y$321,23,FALSE)</f>
        <v>4057365.652834008</v>
      </c>
      <c r="I116">
        <f t="shared" si="44"/>
        <v>10709819.3237551</v>
      </c>
      <c r="J116">
        <f t="shared" si="45"/>
        <v>9926183.893273484</v>
      </c>
      <c r="K116" s="44">
        <f t="shared" si="46"/>
        <v>9964505.5607589148</v>
      </c>
      <c r="L116">
        <f t="shared" si="47"/>
        <v>0</v>
      </c>
      <c r="M116">
        <f t="shared" si="48"/>
        <v>9964505.5607589148</v>
      </c>
      <c r="N116">
        <f t="shared" si="49"/>
        <v>9462424.8220861889</v>
      </c>
      <c r="O116">
        <f t="shared" si="58"/>
        <v>463759.07118729502</v>
      </c>
      <c r="P116">
        <f t="shared" si="59"/>
        <v>0</v>
      </c>
      <c r="Q116">
        <f t="shared" si="60"/>
        <v>9462424.8220861889</v>
      </c>
      <c r="R116">
        <f t="shared" si="61"/>
        <v>0</v>
      </c>
      <c r="S116">
        <f t="shared" si="62"/>
        <v>0</v>
      </c>
      <c r="T116">
        <f t="shared" si="63"/>
        <v>9462424.8220861889</v>
      </c>
      <c r="U116">
        <f t="shared" si="64"/>
        <v>463759.07118729502</v>
      </c>
      <c r="V116">
        <f t="shared" si="65"/>
        <v>0</v>
      </c>
      <c r="W116">
        <f t="shared" si="66"/>
        <v>9462424.8220861889</v>
      </c>
      <c r="X116" s="44">
        <f t="shared" si="50"/>
        <v>1247394.5016689114</v>
      </c>
      <c r="Y116" s="28">
        <f t="shared" si="51"/>
        <v>72972.961492465474</v>
      </c>
      <c r="Z116" s="28">
        <f t="shared" si="52"/>
        <v>9389451.8605937231</v>
      </c>
      <c r="AA116">
        <f t="shared" si="53"/>
        <v>0</v>
      </c>
      <c r="AB116" s="28">
        <f t="shared" si="54"/>
        <v>9389451.8605937231</v>
      </c>
      <c r="AD116" s="28">
        <f t="shared" si="55"/>
        <v>0</v>
      </c>
      <c r="AE116" s="28">
        <f t="shared" si="56"/>
        <v>9389451.8605937231</v>
      </c>
      <c r="AF116" s="51"/>
      <c r="AG116" t="str">
        <f t="shared" si="57"/>
        <v>5303960</v>
      </c>
    </row>
    <row r="117" spans="1:33" x14ac:dyDescent="0.25">
      <c r="A117" s="7" t="s">
        <v>442</v>
      </c>
      <c r="B117" s="2" t="s">
        <v>883</v>
      </c>
      <c r="C117" s="4" t="s">
        <v>882</v>
      </c>
      <c r="D117">
        <f>_xlfn.IFNA(VLOOKUP(A117,'Prior Year data'!$A$1:$T$317,12,FALSE),0)</f>
        <v>323221.2639962266</v>
      </c>
      <c r="E117">
        <f>VLOOKUP(A117,'Basic HH'!$B$1:$Y$321,23,FALSE)</f>
        <v>127299.41935451684</v>
      </c>
      <c r="F117">
        <f>VLOOKUP(A117,'Conc. HH'!$B$1:$Y$321,23,FALSE)</f>
        <v>33464.161452384848</v>
      </c>
      <c r="G117">
        <f>VLOOKUP(A117,'Targeted HH'!$B$1:$Y$321,23,FALSE)</f>
        <v>65710.615719978538</v>
      </c>
      <c r="H117">
        <f>VLOOKUP(A117,'EFIG HH'!$B$1:$Y$321,23,FALSE)</f>
        <v>90610.580017159838</v>
      </c>
      <c r="I117">
        <f t="shared" si="44"/>
        <v>317084.77654404007</v>
      </c>
      <c r="J117">
        <f t="shared" si="45"/>
        <v>323221.2639962266</v>
      </c>
      <c r="K117" s="44">
        <f t="shared" si="46"/>
        <v>295018.33071048127</v>
      </c>
      <c r="L117">
        <f t="shared" si="47"/>
        <v>22066.445833558799</v>
      </c>
      <c r="M117">
        <f t="shared" si="48"/>
        <v>0</v>
      </c>
      <c r="N117">
        <f t="shared" si="49"/>
        <v>317084.77654404007</v>
      </c>
      <c r="O117">
        <f t="shared" si="58"/>
        <v>0</v>
      </c>
      <c r="P117">
        <f t="shared" si="59"/>
        <v>0</v>
      </c>
      <c r="Q117">
        <f t="shared" si="60"/>
        <v>317084.77654404007</v>
      </c>
      <c r="R117">
        <f t="shared" si="61"/>
        <v>0</v>
      </c>
      <c r="S117">
        <f t="shared" si="62"/>
        <v>0</v>
      </c>
      <c r="T117">
        <f t="shared" si="63"/>
        <v>317084.77654404007</v>
      </c>
      <c r="U117">
        <f t="shared" si="64"/>
        <v>0</v>
      </c>
      <c r="V117">
        <f t="shared" si="65"/>
        <v>0</v>
      </c>
      <c r="W117">
        <f t="shared" si="66"/>
        <v>317084.77654404007</v>
      </c>
      <c r="X117" s="44">
        <f t="shared" si="50"/>
        <v>0</v>
      </c>
      <c r="Y117" s="28">
        <f t="shared" si="51"/>
        <v>2445.3156166258309</v>
      </c>
      <c r="Z117" s="28">
        <f t="shared" si="52"/>
        <v>314639.46092741424</v>
      </c>
      <c r="AA117">
        <f t="shared" si="53"/>
        <v>0</v>
      </c>
      <c r="AB117" s="28">
        <f t="shared" si="54"/>
        <v>314639.46092741424</v>
      </c>
      <c r="AD117" s="28">
        <f t="shared" si="55"/>
        <v>0</v>
      </c>
      <c r="AE117" s="28">
        <f t="shared" si="56"/>
        <v>314639.46092741424</v>
      </c>
      <c r="AF117" s="51"/>
      <c r="AG117" t="str">
        <f t="shared" si="57"/>
        <v>5303990</v>
      </c>
    </row>
    <row r="118" spans="1:33" x14ac:dyDescent="0.25">
      <c r="A118" s="7" t="s">
        <v>444</v>
      </c>
      <c r="B118" s="2" t="s">
        <v>885</v>
      </c>
      <c r="C118" s="8" t="s">
        <v>884</v>
      </c>
      <c r="D118">
        <f>_xlfn.IFNA(VLOOKUP(A118,'Prior Year data'!$A$1:$T$317,12,FALSE),0)</f>
        <v>475353.68261765898</v>
      </c>
      <c r="E118">
        <f>VLOOKUP(A118,'Basic HH'!$B$1:$Y$321,23,FALSE)</f>
        <v>214172.67175185593</v>
      </c>
      <c r="F118">
        <f>VLOOKUP(A118,'Conc. HH'!$B$1:$Y$321,23,FALSE)</f>
        <v>49281.224125934845</v>
      </c>
      <c r="G118">
        <f>VLOOKUP(A118,'Targeted HH'!$B$1:$Y$321,23,FALSE)</f>
        <v>102487.47895567474</v>
      </c>
      <c r="H118">
        <f>VLOOKUP(A118,'EFIG HH'!$B$1:$Y$321,23,FALSE)</f>
        <v>141308.34989239363</v>
      </c>
      <c r="I118">
        <f t="shared" si="44"/>
        <v>507249.72472585912</v>
      </c>
      <c r="J118">
        <f t="shared" si="45"/>
        <v>475353.68261765898</v>
      </c>
      <c r="K118" s="44">
        <f t="shared" si="46"/>
        <v>471949.39054789161</v>
      </c>
      <c r="L118">
        <f t="shared" si="47"/>
        <v>3404.292069767369</v>
      </c>
      <c r="M118">
        <f t="shared" si="48"/>
        <v>0</v>
      </c>
      <c r="N118">
        <f t="shared" si="49"/>
        <v>475353.68261765898</v>
      </c>
      <c r="O118">
        <f t="shared" si="58"/>
        <v>0</v>
      </c>
      <c r="P118">
        <f t="shared" si="59"/>
        <v>0</v>
      </c>
      <c r="Q118">
        <f t="shared" si="60"/>
        <v>475353.68261765898</v>
      </c>
      <c r="R118">
        <f t="shared" si="61"/>
        <v>0</v>
      </c>
      <c r="S118">
        <f t="shared" si="62"/>
        <v>0</v>
      </c>
      <c r="T118">
        <f t="shared" si="63"/>
        <v>475353.68261765898</v>
      </c>
      <c r="U118">
        <f t="shared" si="64"/>
        <v>0</v>
      </c>
      <c r="V118">
        <f t="shared" si="65"/>
        <v>0</v>
      </c>
      <c r="W118">
        <f t="shared" si="66"/>
        <v>475353.68261765898</v>
      </c>
      <c r="X118" s="44">
        <f t="shared" si="50"/>
        <v>31896.042108200141</v>
      </c>
      <c r="Y118" s="28">
        <f t="shared" si="51"/>
        <v>3665.8643666045418</v>
      </c>
      <c r="Z118" s="28">
        <f t="shared" si="52"/>
        <v>471687.81825105444</v>
      </c>
      <c r="AA118">
        <f t="shared" si="53"/>
        <v>0</v>
      </c>
      <c r="AB118" s="28">
        <f t="shared" si="54"/>
        <v>471687.81825105444</v>
      </c>
      <c r="AD118" s="28">
        <f t="shared" si="55"/>
        <v>0</v>
      </c>
      <c r="AE118" s="28">
        <f t="shared" si="56"/>
        <v>471687.81825105444</v>
      </c>
      <c r="AF118" s="51"/>
      <c r="AG118" t="str">
        <f t="shared" si="57"/>
        <v>5304020</v>
      </c>
    </row>
    <row r="119" spans="1:33" x14ac:dyDescent="0.25">
      <c r="A119" s="7" t="s">
        <v>282</v>
      </c>
      <c r="B119" s="2" t="s">
        <v>887</v>
      </c>
      <c r="C119" s="4" t="s">
        <v>886</v>
      </c>
      <c r="D119">
        <f>_xlfn.IFNA(VLOOKUP(A119,'Prior Year data'!$A$1:$T$317,12,FALSE),0)</f>
        <v>98988.091631158532</v>
      </c>
      <c r="E119">
        <f>VLOOKUP(A119,'Basic HH'!$B$1:$Y$321,23,FALSE)</f>
        <v>49027.479075726049</v>
      </c>
      <c r="F119">
        <f>VLOOKUP(A119,'Conc. HH'!$B$1:$Y$321,23,FALSE)</f>
        <v>0</v>
      </c>
      <c r="G119">
        <f>VLOOKUP(A119,'Targeted HH'!$B$1:$Y$321,23,FALSE)</f>
        <v>23460.989158527955</v>
      </c>
      <c r="H119">
        <f>VLOOKUP(A119,'EFIG HH'!$B$1:$Y$321,23,FALSE)</f>
        <v>32347.694553680467</v>
      </c>
      <c r="I119">
        <f t="shared" si="44"/>
        <v>104836.16278793447</v>
      </c>
      <c r="J119">
        <f t="shared" si="45"/>
        <v>98988.091631158532</v>
      </c>
      <c r="K119" s="44">
        <f t="shared" si="46"/>
        <v>97540.443539688567</v>
      </c>
      <c r="L119">
        <f t="shared" si="47"/>
        <v>1447.6480914699641</v>
      </c>
      <c r="M119">
        <f t="shared" si="48"/>
        <v>0</v>
      </c>
      <c r="N119">
        <f t="shared" si="49"/>
        <v>98988.091631158532</v>
      </c>
      <c r="O119">
        <f t="shared" si="58"/>
        <v>0</v>
      </c>
      <c r="P119">
        <f t="shared" si="59"/>
        <v>0</v>
      </c>
      <c r="Q119">
        <f t="shared" si="60"/>
        <v>98988.091631158532</v>
      </c>
      <c r="R119">
        <f t="shared" si="61"/>
        <v>0</v>
      </c>
      <c r="S119">
        <f t="shared" si="62"/>
        <v>0</v>
      </c>
      <c r="T119">
        <f t="shared" si="63"/>
        <v>98988.091631158532</v>
      </c>
      <c r="U119">
        <f t="shared" si="64"/>
        <v>0</v>
      </c>
      <c r="V119">
        <f t="shared" si="65"/>
        <v>0</v>
      </c>
      <c r="W119">
        <f t="shared" si="66"/>
        <v>98988.091631158532</v>
      </c>
      <c r="X119" s="44">
        <f t="shared" si="50"/>
        <v>5848.0711567759427</v>
      </c>
      <c r="Y119" s="28">
        <f t="shared" si="51"/>
        <v>763.38299480625244</v>
      </c>
      <c r="Z119" s="28">
        <f t="shared" si="52"/>
        <v>98224.708636352283</v>
      </c>
      <c r="AA119">
        <f t="shared" si="53"/>
        <v>0</v>
      </c>
      <c r="AB119" s="28">
        <f t="shared" si="54"/>
        <v>98224.708636352283</v>
      </c>
      <c r="AD119" s="28">
        <f t="shared" si="55"/>
        <v>0</v>
      </c>
      <c r="AE119" s="28">
        <f t="shared" si="56"/>
        <v>98224.708636352283</v>
      </c>
      <c r="AF119" s="51"/>
      <c r="AG119" t="str">
        <f t="shared" si="57"/>
        <v>5304050</v>
      </c>
    </row>
    <row r="120" spans="1:33" x14ac:dyDescent="0.25">
      <c r="A120" s="7" t="s">
        <v>445</v>
      </c>
      <c r="B120" s="2" t="s">
        <v>889</v>
      </c>
      <c r="C120" s="4" t="s">
        <v>888</v>
      </c>
      <c r="D120">
        <f>_xlfn.IFNA(VLOOKUP(A120,'Prior Year data'!$A$1:$T$317,12,FALSE),0)</f>
        <v>32428.313997218185</v>
      </c>
      <c r="E120">
        <f>VLOOKUP(A120,'Basic HH'!$B$1:$Y$321,23,FALSE)</f>
        <v>14622.230601532345</v>
      </c>
      <c r="F120">
        <f>VLOOKUP(A120,'Conc. HH'!$B$1:$Y$321,23,FALSE)</f>
        <v>3843.8563830442076</v>
      </c>
      <c r="G120">
        <f>VLOOKUP(A120,'Targeted HH'!$B$1:$Y$321,23,FALSE)</f>
        <v>8397.3877335489051</v>
      </c>
      <c r="H120">
        <f>VLOOKUP(A120,'EFIG HH'!$B$1:$Y$321,23,FALSE)</f>
        <v>11578.204636564717</v>
      </c>
      <c r="I120">
        <f t="shared" si="44"/>
        <v>38441.679354690175</v>
      </c>
      <c r="J120">
        <f t="shared" si="45"/>
        <v>32428.313997218185</v>
      </c>
      <c r="K120" s="44">
        <f t="shared" si="46"/>
        <v>35766.460302937659</v>
      </c>
      <c r="L120">
        <f t="shared" si="47"/>
        <v>0</v>
      </c>
      <c r="M120">
        <f t="shared" si="48"/>
        <v>35766.460302937659</v>
      </c>
      <c r="N120">
        <f t="shared" si="49"/>
        <v>33964.298549992644</v>
      </c>
      <c r="O120">
        <f t="shared" si="58"/>
        <v>0</v>
      </c>
      <c r="P120">
        <f t="shared" si="59"/>
        <v>33964.298549992644</v>
      </c>
      <c r="Q120">
        <f t="shared" si="60"/>
        <v>33964.298549992644</v>
      </c>
      <c r="R120">
        <f t="shared" si="61"/>
        <v>0</v>
      </c>
      <c r="S120">
        <f t="shared" si="62"/>
        <v>33964.298549992644</v>
      </c>
      <c r="T120">
        <f t="shared" si="63"/>
        <v>33964.298549992644</v>
      </c>
      <c r="U120">
        <f t="shared" si="64"/>
        <v>0</v>
      </c>
      <c r="V120">
        <f t="shared" si="65"/>
        <v>33964.298549992644</v>
      </c>
      <c r="W120">
        <f t="shared" si="66"/>
        <v>33964.298549992644</v>
      </c>
      <c r="X120" s="44">
        <f t="shared" si="50"/>
        <v>4477.3808046975319</v>
      </c>
      <c r="Y120" s="28">
        <f t="shared" si="51"/>
        <v>261.92815232964591</v>
      </c>
      <c r="Z120" s="28">
        <f t="shared" si="52"/>
        <v>33702.370397662999</v>
      </c>
      <c r="AA120">
        <f t="shared" si="53"/>
        <v>0</v>
      </c>
      <c r="AB120" s="28">
        <f t="shared" si="54"/>
        <v>33702.370397662999</v>
      </c>
      <c r="AD120" s="28">
        <f t="shared" si="55"/>
        <v>0</v>
      </c>
      <c r="AE120" s="28">
        <f t="shared" si="56"/>
        <v>33702.370397662999</v>
      </c>
      <c r="AF120" s="51"/>
      <c r="AG120" t="str">
        <f t="shared" si="57"/>
        <v>5304080</v>
      </c>
    </row>
    <row r="121" spans="1:33" x14ac:dyDescent="0.25">
      <c r="A121" s="7" t="s">
        <v>153</v>
      </c>
      <c r="B121" s="2" t="s">
        <v>891</v>
      </c>
      <c r="C121" s="4" t="s">
        <v>890</v>
      </c>
      <c r="D121">
        <f>_xlfn.IFNA(VLOOKUP(A121,'Prior Year data'!$A$1:$T$317,12,FALSE),0)</f>
        <v>240103.75494256165</v>
      </c>
      <c r="E121">
        <f>VLOOKUP(A121,'Basic HH'!$B$1:$Y$321,23,FALSE)</f>
        <v>107129.9363841747</v>
      </c>
      <c r="F121">
        <f>VLOOKUP(A121,'Conc. HH'!$B$1:$Y$321,23,FALSE)</f>
        <v>0</v>
      </c>
      <c r="G121">
        <f>VLOOKUP(A121,'Targeted HH'!$B$1:$Y$321,23,FALSE)</f>
        <v>52075.262084600537</v>
      </c>
      <c r="H121">
        <f>VLOOKUP(A121,'EFIG HH'!$B$1:$Y$321,23,FALSE)</f>
        <v>71808.331885659689</v>
      </c>
      <c r="I121">
        <f t="shared" si="44"/>
        <v>231013.53035443492</v>
      </c>
      <c r="J121">
        <f t="shared" si="45"/>
        <v>240103.75494256165</v>
      </c>
      <c r="K121" s="44">
        <f t="shared" si="46"/>
        <v>214936.92267258579</v>
      </c>
      <c r="L121">
        <f t="shared" si="47"/>
        <v>16076.607681849127</v>
      </c>
      <c r="M121">
        <f t="shared" si="48"/>
        <v>0</v>
      </c>
      <c r="N121">
        <f t="shared" si="49"/>
        <v>231013.53035443492</v>
      </c>
      <c r="O121">
        <f t="shared" si="58"/>
        <v>0</v>
      </c>
      <c r="P121">
        <f t="shared" si="59"/>
        <v>0</v>
      </c>
      <c r="Q121">
        <f t="shared" si="60"/>
        <v>231013.53035443492</v>
      </c>
      <c r="R121">
        <f t="shared" si="61"/>
        <v>0</v>
      </c>
      <c r="S121">
        <f t="shared" si="62"/>
        <v>0</v>
      </c>
      <c r="T121">
        <f t="shared" si="63"/>
        <v>231013.53035443492</v>
      </c>
      <c r="U121">
        <f t="shared" si="64"/>
        <v>0</v>
      </c>
      <c r="V121">
        <f t="shared" si="65"/>
        <v>0</v>
      </c>
      <c r="W121">
        <f t="shared" si="66"/>
        <v>231013.53035443492</v>
      </c>
      <c r="X121" s="44">
        <f t="shared" si="50"/>
        <v>0</v>
      </c>
      <c r="Y121" s="28">
        <f t="shared" si="51"/>
        <v>1781.5456156063856</v>
      </c>
      <c r="Z121" s="28">
        <f t="shared" si="52"/>
        <v>229231.98473882853</v>
      </c>
      <c r="AA121">
        <f t="shared" si="53"/>
        <v>0</v>
      </c>
      <c r="AB121" s="28">
        <f t="shared" si="54"/>
        <v>229231.98473882853</v>
      </c>
      <c r="AD121" s="28">
        <f t="shared" si="55"/>
        <v>0</v>
      </c>
      <c r="AE121" s="28">
        <f t="shared" si="56"/>
        <v>229231.98473882853</v>
      </c>
      <c r="AF121" s="51"/>
      <c r="AG121" t="str">
        <f t="shared" si="57"/>
        <v>5304170</v>
      </c>
    </row>
    <row r="122" spans="1:33" x14ac:dyDescent="0.25">
      <c r="A122" s="7" t="s">
        <v>284</v>
      </c>
      <c r="B122" s="2" t="s">
        <v>893</v>
      </c>
      <c r="C122" s="4" t="s">
        <v>892</v>
      </c>
      <c r="D122">
        <f>_xlfn.IFNA(VLOOKUP(A122,'Prior Year data'!$A$1:$T$317,12,FALSE),0)</f>
        <v>265600.64381900697</v>
      </c>
      <c r="E122">
        <f>VLOOKUP(A122,'Basic HH'!$B$1:$Y$321,23,FALSE)</f>
        <v>99616.298311981445</v>
      </c>
      <c r="F122">
        <f>VLOOKUP(A122,'Conc. HH'!$B$1:$Y$321,23,FALSE)</f>
        <v>26090.059831377272</v>
      </c>
      <c r="G122">
        <f>VLOOKUP(A122,'Targeted HH'!$B$1:$Y$321,23,FALSE)</f>
        <v>60910.260330525867</v>
      </c>
      <c r="H122">
        <f>VLOOKUP(A122,'EFIG HH'!$B$1:$Y$321,23,FALSE)</f>
        <v>83991.20837741789</v>
      </c>
      <c r="I122">
        <f t="shared" si="44"/>
        <v>270607.82685130247</v>
      </c>
      <c r="J122">
        <f t="shared" si="45"/>
        <v>265600.64381900697</v>
      </c>
      <c r="K122" s="44">
        <f t="shared" si="46"/>
        <v>251775.78761424386</v>
      </c>
      <c r="L122">
        <f t="shared" si="47"/>
        <v>13824.856204763113</v>
      </c>
      <c r="M122">
        <f t="shared" si="48"/>
        <v>0</v>
      </c>
      <c r="N122">
        <f t="shared" si="49"/>
        <v>265600.64381900697</v>
      </c>
      <c r="O122">
        <f t="shared" si="58"/>
        <v>0</v>
      </c>
      <c r="P122">
        <f t="shared" si="59"/>
        <v>0</v>
      </c>
      <c r="Q122">
        <f t="shared" si="60"/>
        <v>265600.64381900697</v>
      </c>
      <c r="R122">
        <f t="shared" si="61"/>
        <v>0</v>
      </c>
      <c r="S122">
        <f t="shared" si="62"/>
        <v>0</v>
      </c>
      <c r="T122">
        <f t="shared" si="63"/>
        <v>265600.64381900697</v>
      </c>
      <c r="U122">
        <f t="shared" si="64"/>
        <v>0</v>
      </c>
      <c r="V122">
        <f t="shared" si="65"/>
        <v>0</v>
      </c>
      <c r="W122">
        <f t="shared" si="66"/>
        <v>265600.64381900697</v>
      </c>
      <c r="X122" s="44">
        <f t="shared" si="50"/>
        <v>5007.183032295492</v>
      </c>
      <c r="Y122" s="28">
        <f t="shared" si="51"/>
        <v>2048.2768337075508</v>
      </c>
      <c r="Z122" s="28">
        <f t="shared" si="52"/>
        <v>263552.36698529945</v>
      </c>
      <c r="AA122">
        <f t="shared" si="53"/>
        <v>0</v>
      </c>
      <c r="AB122" s="28">
        <f t="shared" si="54"/>
        <v>263552.36698529945</v>
      </c>
      <c r="AD122" s="28">
        <f t="shared" si="55"/>
        <v>0</v>
      </c>
      <c r="AE122" s="28">
        <f t="shared" si="56"/>
        <v>263552.36698529945</v>
      </c>
      <c r="AF122" s="51"/>
      <c r="AG122" t="str">
        <f t="shared" si="57"/>
        <v>5304110</v>
      </c>
    </row>
    <row r="123" spans="1:33" x14ac:dyDescent="0.25">
      <c r="A123" s="7" t="s">
        <v>447</v>
      </c>
      <c r="B123" s="2" t="s">
        <v>895</v>
      </c>
      <c r="C123" s="4" t="s">
        <v>894</v>
      </c>
      <c r="D123">
        <f>_xlfn.IFNA(VLOOKUP(A123,'Prior Year data'!$A$1:$T$317,12,FALSE),0)</f>
        <v>4572.4139239027527</v>
      </c>
      <c r="E123">
        <f>VLOOKUP(A123,'Basic HH'!$B$1:$Y$321,23,FALSE)</f>
        <v>15482.361813387182</v>
      </c>
      <c r="F123">
        <f>VLOOKUP(A123,'Conc. HH'!$B$1:$Y$321,23,FALSE)</f>
        <v>4146.9903909238847</v>
      </c>
      <c r="G123">
        <f>VLOOKUP(A123,'Targeted HH'!$B$1:$Y$321,23,FALSE)</f>
        <v>8781.0160659209341</v>
      </c>
      <c r="H123">
        <f>VLOOKUP(A123,'EFIG HH'!$B$1:$Y$321,23,FALSE)</f>
        <v>12107.146192858716</v>
      </c>
      <c r="I123">
        <f t="shared" si="44"/>
        <v>40517.514463090716</v>
      </c>
      <c r="J123">
        <f t="shared" si="45"/>
        <v>4572.4139239027527</v>
      </c>
      <c r="K123" s="44">
        <f t="shared" si="46"/>
        <v>37697.834666555143</v>
      </c>
      <c r="L123">
        <f t="shared" si="47"/>
        <v>0</v>
      </c>
      <c r="M123">
        <f t="shared" si="48"/>
        <v>37697.834666555143</v>
      </c>
      <c r="N123">
        <f t="shared" si="49"/>
        <v>35798.356909195674</v>
      </c>
      <c r="O123">
        <f t="shared" si="58"/>
        <v>0</v>
      </c>
      <c r="P123">
        <f t="shared" si="59"/>
        <v>35798.356909195674</v>
      </c>
      <c r="Q123">
        <f t="shared" si="60"/>
        <v>35798.356909195674</v>
      </c>
      <c r="R123">
        <f t="shared" si="61"/>
        <v>0</v>
      </c>
      <c r="S123">
        <f t="shared" si="62"/>
        <v>35798.356909195674</v>
      </c>
      <c r="T123">
        <f t="shared" si="63"/>
        <v>35798.356909195674</v>
      </c>
      <c r="U123">
        <f t="shared" si="64"/>
        <v>0</v>
      </c>
      <c r="V123">
        <f t="shared" si="65"/>
        <v>35798.356909195674</v>
      </c>
      <c r="W123">
        <f t="shared" si="66"/>
        <v>35798.356909195674</v>
      </c>
      <c r="X123" s="44">
        <f t="shared" si="50"/>
        <v>4719.1575538950419</v>
      </c>
      <c r="Y123" s="28">
        <f t="shared" si="51"/>
        <v>276.07216642090395</v>
      </c>
      <c r="Z123" s="28">
        <f t="shared" si="52"/>
        <v>35522.284742774769</v>
      </c>
      <c r="AA123">
        <f t="shared" si="53"/>
        <v>0</v>
      </c>
      <c r="AB123" s="28">
        <f t="shared" si="54"/>
        <v>35522.284742774769</v>
      </c>
      <c r="AD123" s="28">
        <f t="shared" si="55"/>
        <v>0</v>
      </c>
      <c r="AE123" s="28">
        <f t="shared" si="56"/>
        <v>35522.284742774769</v>
      </c>
      <c r="AF123" s="51"/>
      <c r="AG123" t="str">
        <f t="shared" si="57"/>
        <v>5304150</v>
      </c>
    </row>
    <row r="124" spans="1:33" x14ac:dyDescent="0.25">
      <c r="A124" s="7" t="s">
        <v>286</v>
      </c>
      <c r="B124" s="2" t="s">
        <v>897</v>
      </c>
      <c r="C124" s="8" t="s">
        <v>896</v>
      </c>
      <c r="D124">
        <f>_xlfn.IFNA(VLOOKUP(A124,'Prior Year data'!$A$1:$T$317,12,FALSE),0)</f>
        <v>263190.65445626946</v>
      </c>
      <c r="E124">
        <f>VLOOKUP(A124,'Basic HH'!$B$1:$Y$321,23,FALSE)</f>
        <v>141061.5187441943</v>
      </c>
      <c r="F124">
        <f>VLOOKUP(A124,'Conc. HH'!$B$1:$Y$321,23,FALSE)</f>
        <v>0</v>
      </c>
      <c r="G124">
        <f>VLOOKUP(A124,'Targeted HH'!$B$1:$Y$321,23,FALSE)</f>
        <v>67501.793368396189</v>
      </c>
      <c r="H124">
        <f>VLOOKUP(A124,'EFIG HH'!$B$1:$Y$321,23,FALSE)</f>
        <v>93070.559768484178</v>
      </c>
      <c r="I124">
        <f t="shared" si="44"/>
        <v>301633.87188107462</v>
      </c>
      <c r="J124">
        <f t="shared" si="45"/>
        <v>263190.65445626946</v>
      </c>
      <c r="K124" s="44">
        <f t="shared" si="46"/>
        <v>280642.67965805129</v>
      </c>
      <c r="L124">
        <f t="shared" si="47"/>
        <v>0</v>
      </c>
      <c r="M124">
        <f t="shared" si="48"/>
        <v>280642.67965805129</v>
      </c>
      <c r="N124">
        <f t="shared" si="49"/>
        <v>266501.95957448741</v>
      </c>
      <c r="O124">
        <f t="shared" si="58"/>
        <v>0</v>
      </c>
      <c r="P124">
        <f t="shared" si="59"/>
        <v>266501.95957448741</v>
      </c>
      <c r="Q124">
        <f t="shared" si="60"/>
        <v>266501.95957448741</v>
      </c>
      <c r="R124">
        <f t="shared" si="61"/>
        <v>0</v>
      </c>
      <c r="S124">
        <f t="shared" si="62"/>
        <v>266501.95957448741</v>
      </c>
      <c r="T124">
        <f t="shared" si="63"/>
        <v>266501.95957448741</v>
      </c>
      <c r="U124">
        <f t="shared" si="64"/>
        <v>0</v>
      </c>
      <c r="V124">
        <f t="shared" si="65"/>
        <v>266501.95957448741</v>
      </c>
      <c r="W124">
        <f t="shared" si="66"/>
        <v>266501.95957448741</v>
      </c>
      <c r="X124" s="44">
        <f t="shared" si="50"/>
        <v>35131.912306587212</v>
      </c>
      <c r="Y124" s="28">
        <f t="shared" si="51"/>
        <v>2055.2276609166302</v>
      </c>
      <c r="Z124" s="28">
        <f t="shared" si="52"/>
        <v>264446.73191357078</v>
      </c>
      <c r="AA124">
        <f t="shared" si="53"/>
        <v>0</v>
      </c>
      <c r="AB124" s="28">
        <f t="shared" si="54"/>
        <v>264446.73191357078</v>
      </c>
      <c r="AD124" s="28">
        <f t="shared" si="55"/>
        <v>0</v>
      </c>
      <c r="AE124" s="28">
        <f t="shared" si="56"/>
        <v>264446.73191357078</v>
      </c>
      <c r="AF124" s="51"/>
      <c r="AG124" t="str">
        <f t="shared" si="57"/>
        <v>5301200</v>
      </c>
    </row>
    <row r="125" spans="1:33" x14ac:dyDescent="0.25">
      <c r="A125" s="7" t="s">
        <v>155</v>
      </c>
      <c r="B125" s="2" t="s">
        <v>899</v>
      </c>
      <c r="C125" s="4" t="s">
        <v>898</v>
      </c>
      <c r="D125">
        <f>_xlfn.IFNA(VLOOKUP(A125,'Prior Year data'!$A$1:$T$317,12,FALSE),0)</f>
        <v>824971.8759564939</v>
      </c>
      <c r="E125">
        <f>VLOOKUP(A125,'Basic HH'!$B$1:$Y$321,23,FALSE)</f>
        <v>500596.36529951892</v>
      </c>
      <c r="F125">
        <f>VLOOKUP(A125,'Conc. HH'!$B$1:$Y$321,23,FALSE)</f>
        <v>0</v>
      </c>
      <c r="G125">
        <f>VLOOKUP(A125,'Targeted HH'!$B$1:$Y$321,23,FALSE)</f>
        <v>239549.04719760126</v>
      </c>
      <c r="H125">
        <f>VLOOKUP(A125,'EFIG HH'!$B$1:$Y$321,23,FALSE)</f>
        <v>330286.98649547424</v>
      </c>
      <c r="I125">
        <f t="shared" si="44"/>
        <v>1070432.3989925943</v>
      </c>
      <c r="J125">
        <f t="shared" si="45"/>
        <v>824971.8759564939</v>
      </c>
      <c r="K125" s="44">
        <f t="shared" si="46"/>
        <v>995939.26561576768</v>
      </c>
      <c r="L125">
        <f t="shared" si="47"/>
        <v>0</v>
      </c>
      <c r="M125">
        <f t="shared" si="48"/>
        <v>995939.26561576768</v>
      </c>
      <c r="N125">
        <f t="shared" si="49"/>
        <v>945756.95409970556</v>
      </c>
      <c r="O125">
        <f t="shared" si="58"/>
        <v>0</v>
      </c>
      <c r="P125">
        <f t="shared" si="59"/>
        <v>945756.95409970556</v>
      </c>
      <c r="Q125">
        <f t="shared" si="60"/>
        <v>945756.95409970556</v>
      </c>
      <c r="R125">
        <f t="shared" si="61"/>
        <v>0</v>
      </c>
      <c r="S125">
        <f t="shared" si="62"/>
        <v>945756.95409970556</v>
      </c>
      <c r="T125">
        <f t="shared" si="63"/>
        <v>945756.95409970556</v>
      </c>
      <c r="U125">
        <f t="shared" si="64"/>
        <v>0</v>
      </c>
      <c r="V125">
        <f t="shared" si="65"/>
        <v>945756.95409970556</v>
      </c>
      <c r="W125">
        <f t="shared" si="66"/>
        <v>945756.95409970556</v>
      </c>
      <c r="X125" s="44">
        <f t="shared" si="50"/>
        <v>124675.44489288877</v>
      </c>
      <c r="Y125" s="28">
        <f t="shared" si="51"/>
        <v>7293.5518210577993</v>
      </c>
      <c r="Z125" s="28">
        <f t="shared" si="52"/>
        <v>938463.40227864776</v>
      </c>
      <c r="AA125">
        <f t="shared" si="53"/>
        <v>0</v>
      </c>
      <c r="AB125" s="28">
        <f t="shared" si="54"/>
        <v>938463.40227864776</v>
      </c>
      <c r="AD125" s="28">
        <f t="shared" si="55"/>
        <v>0</v>
      </c>
      <c r="AE125" s="28">
        <f t="shared" si="56"/>
        <v>938463.40227864776</v>
      </c>
      <c r="AF125" s="51"/>
      <c r="AG125" t="str">
        <f t="shared" si="57"/>
        <v>5304200</v>
      </c>
    </row>
    <row r="126" spans="1:33" x14ac:dyDescent="0.25">
      <c r="A126" s="7" t="s">
        <v>157</v>
      </c>
      <c r="B126" s="2" t="s">
        <v>901</v>
      </c>
      <c r="C126" s="4" t="s">
        <v>900</v>
      </c>
      <c r="D126">
        <f>_xlfn.IFNA(VLOOKUP(A126,'Prior Year data'!$A$1:$T$317,12,FALSE),0)</f>
        <v>1106972.768390961</v>
      </c>
      <c r="E126">
        <f>VLOOKUP(A126,'Basic HH'!$B$1:$Y$321,23,FALSE)</f>
        <v>1215365.4023508932</v>
      </c>
      <c r="F126">
        <f>VLOOKUP(A126,'Conc. HH'!$B$1:$Y$321,23,FALSE)</f>
        <v>0</v>
      </c>
      <c r="G126">
        <f>VLOOKUP(A126,'Targeted HH'!$B$1:$Y$321,23,FALSE)</f>
        <v>0</v>
      </c>
      <c r="H126">
        <f>VLOOKUP(A126,'EFIG HH'!$B$1:$Y$321,23,FALSE)</f>
        <v>0</v>
      </c>
      <c r="I126">
        <f t="shared" si="44"/>
        <v>1215365.4023508932</v>
      </c>
      <c r="J126">
        <f t="shared" si="45"/>
        <v>1106972.768390961</v>
      </c>
      <c r="K126" s="44">
        <f t="shared" si="46"/>
        <v>1130786.1453103633</v>
      </c>
      <c r="L126">
        <f t="shared" si="47"/>
        <v>0</v>
      </c>
      <c r="M126">
        <f t="shared" si="48"/>
        <v>1130786.1453103633</v>
      </c>
      <c r="N126">
        <f t="shared" si="49"/>
        <v>1073809.3149341382</v>
      </c>
      <c r="O126">
        <f t="shared" si="58"/>
        <v>33163.453456822783</v>
      </c>
      <c r="P126">
        <f t="shared" si="59"/>
        <v>0</v>
      </c>
      <c r="Q126">
        <f t="shared" si="60"/>
        <v>1073809.3149341382</v>
      </c>
      <c r="R126">
        <f t="shared" si="61"/>
        <v>0</v>
      </c>
      <c r="S126">
        <f t="shared" si="62"/>
        <v>0</v>
      </c>
      <c r="T126">
        <f t="shared" si="63"/>
        <v>1073809.3149341382</v>
      </c>
      <c r="U126">
        <f t="shared" si="64"/>
        <v>33163.453456822783</v>
      </c>
      <c r="V126">
        <f t="shared" si="65"/>
        <v>0</v>
      </c>
      <c r="W126">
        <f t="shared" si="66"/>
        <v>1073809.3149341382</v>
      </c>
      <c r="X126" s="44">
        <f t="shared" si="50"/>
        <v>141556.08741675504</v>
      </c>
      <c r="Y126" s="28">
        <f t="shared" si="51"/>
        <v>8281.0745936963449</v>
      </c>
      <c r="Z126" s="28">
        <f t="shared" si="52"/>
        <v>1065528.2403404419</v>
      </c>
      <c r="AA126">
        <f t="shared" si="53"/>
        <v>0</v>
      </c>
      <c r="AB126" s="28">
        <f t="shared" si="54"/>
        <v>1065528.2403404419</v>
      </c>
      <c r="AD126" s="28">
        <f t="shared" si="55"/>
        <v>0</v>
      </c>
      <c r="AE126" s="28">
        <f t="shared" si="56"/>
        <v>1065528.2403404419</v>
      </c>
      <c r="AF126" s="51"/>
      <c r="AG126" t="str">
        <f t="shared" si="57"/>
        <v>5304230</v>
      </c>
    </row>
    <row r="127" spans="1:33" x14ac:dyDescent="0.25">
      <c r="A127" s="7" t="s">
        <v>159</v>
      </c>
      <c r="B127" s="2" t="s">
        <v>903</v>
      </c>
      <c r="C127" s="4" t="s">
        <v>902</v>
      </c>
      <c r="D127">
        <f>_xlfn.IFNA(VLOOKUP(A127,'Prior Year data'!$A$1:$T$317,12,FALSE),0)</f>
        <v>475590.12998238171</v>
      </c>
      <c r="E127">
        <f>VLOOKUP(A127,'Basic HH'!$B$1:$Y$321,23,FALSE)</f>
        <v>312227.62990330817</v>
      </c>
      <c r="F127">
        <f>VLOOKUP(A127,'Conc. HH'!$B$1:$Y$321,23,FALSE)</f>
        <v>0</v>
      </c>
      <c r="G127">
        <f>VLOOKUP(A127,'Targeted HH'!$B$1:$Y$321,23,FALSE)</f>
        <v>149409.45727273071</v>
      </c>
      <c r="H127">
        <f>VLOOKUP(A127,'EFIG HH'!$B$1:$Y$321,23,FALSE)</f>
        <v>206003.73899975454</v>
      </c>
      <c r="I127">
        <f t="shared" si="44"/>
        <v>667640.82617579342</v>
      </c>
      <c r="J127">
        <f t="shared" si="45"/>
        <v>475590.12998238171</v>
      </c>
      <c r="K127" s="44">
        <f t="shared" si="46"/>
        <v>621178.61412117467</v>
      </c>
      <c r="L127">
        <f t="shared" si="47"/>
        <v>0</v>
      </c>
      <c r="M127">
        <f t="shared" si="48"/>
        <v>621178.61412117467</v>
      </c>
      <c r="N127">
        <f t="shared" si="49"/>
        <v>589879.33735084732</v>
      </c>
      <c r="O127">
        <f t="shared" si="58"/>
        <v>0</v>
      </c>
      <c r="P127">
        <f t="shared" si="59"/>
        <v>589879.33735084732</v>
      </c>
      <c r="Q127">
        <f t="shared" si="60"/>
        <v>589879.33735084732</v>
      </c>
      <c r="R127">
        <f t="shared" si="61"/>
        <v>0</v>
      </c>
      <c r="S127">
        <f t="shared" si="62"/>
        <v>589879.33735084732</v>
      </c>
      <c r="T127">
        <f t="shared" si="63"/>
        <v>589879.33735084732</v>
      </c>
      <c r="U127">
        <f t="shared" si="64"/>
        <v>0</v>
      </c>
      <c r="V127">
        <f t="shared" si="65"/>
        <v>589879.33735084732</v>
      </c>
      <c r="W127">
        <f t="shared" si="66"/>
        <v>589879.33735084732</v>
      </c>
      <c r="X127" s="44">
        <f t="shared" si="50"/>
        <v>77761.488824946107</v>
      </c>
      <c r="Y127" s="28">
        <f t="shared" si="51"/>
        <v>4549.0709811752258</v>
      </c>
      <c r="Z127" s="28">
        <f t="shared" si="52"/>
        <v>585330.26636967214</v>
      </c>
      <c r="AA127">
        <f t="shared" si="53"/>
        <v>0</v>
      </c>
      <c r="AB127" s="28">
        <f t="shared" si="54"/>
        <v>585330.26636967214</v>
      </c>
      <c r="AD127" s="28">
        <f t="shared" si="55"/>
        <v>0</v>
      </c>
      <c r="AE127" s="28">
        <f t="shared" si="56"/>
        <v>585330.26636967214</v>
      </c>
      <c r="AF127" s="51"/>
      <c r="AG127" t="str">
        <f t="shared" si="57"/>
        <v>5304260</v>
      </c>
    </row>
    <row r="128" spans="1:33" x14ac:dyDescent="0.25">
      <c r="A128" s="7" t="s">
        <v>161</v>
      </c>
      <c r="B128" s="2" t="s">
        <v>905</v>
      </c>
      <c r="C128" s="4" t="s">
        <v>904</v>
      </c>
      <c r="D128">
        <f>_xlfn.IFNA(VLOOKUP(A128,'Prior Year data'!$A$1:$T$317,12,FALSE),0)</f>
        <v>0</v>
      </c>
      <c r="E128">
        <f>VLOOKUP(A128,'Basic HH'!$B$1:$Y$321,23,FALSE)</f>
        <v>0</v>
      </c>
      <c r="F128">
        <f>VLOOKUP(A128,'Conc. HH'!$B$1:$Y$321,23,FALSE)</f>
        <v>0</v>
      </c>
      <c r="G128">
        <f>VLOOKUP(A128,'Targeted HH'!$B$1:$Y$321,23,FALSE)</f>
        <v>0</v>
      </c>
      <c r="H128">
        <f>VLOOKUP(A128,'EFIG HH'!$B$1:$Y$321,23,FALSE)</f>
        <v>0</v>
      </c>
      <c r="I128">
        <f t="shared" si="44"/>
        <v>0</v>
      </c>
      <c r="J128">
        <f t="shared" si="45"/>
        <v>0</v>
      </c>
      <c r="K128" s="44">
        <f t="shared" si="46"/>
        <v>0</v>
      </c>
      <c r="L128">
        <f t="shared" si="47"/>
        <v>0</v>
      </c>
      <c r="M128">
        <f t="shared" si="48"/>
        <v>0</v>
      </c>
      <c r="N128">
        <f t="shared" si="49"/>
        <v>0</v>
      </c>
      <c r="O128">
        <f t="shared" si="58"/>
        <v>0</v>
      </c>
      <c r="P128">
        <f t="shared" si="59"/>
        <v>0</v>
      </c>
      <c r="Q128">
        <f t="shared" si="60"/>
        <v>0</v>
      </c>
      <c r="R128">
        <f t="shared" si="61"/>
        <v>0</v>
      </c>
      <c r="S128">
        <f t="shared" si="62"/>
        <v>0</v>
      </c>
      <c r="T128">
        <f t="shared" si="63"/>
        <v>0</v>
      </c>
      <c r="U128">
        <f t="shared" si="64"/>
        <v>0</v>
      </c>
      <c r="V128">
        <f t="shared" si="65"/>
        <v>0</v>
      </c>
      <c r="W128">
        <f t="shared" si="66"/>
        <v>0</v>
      </c>
      <c r="X128" s="44">
        <f t="shared" si="50"/>
        <v>0</v>
      </c>
      <c r="Y128" s="28">
        <f t="shared" si="51"/>
        <v>0</v>
      </c>
      <c r="Z128" s="28">
        <f t="shared" si="52"/>
        <v>0</v>
      </c>
      <c r="AA128">
        <f t="shared" si="53"/>
        <v>0</v>
      </c>
      <c r="AB128" s="28">
        <f t="shared" si="54"/>
        <v>0</v>
      </c>
      <c r="AD128" s="28">
        <f t="shared" si="55"/>
        <v>0</v>
      </c>
      <c r="AE128" s="28">
        <f t="shared" si="56"/>
        <v>0</v>
      </c>
      <c r="AF128" s="51"/>
      <c r="AG128" t="str">
        <f t="shared" si="57"/>
        <v>5304290</v>
      </c>
    </row>
    <row r="129" spans="1:33" x14ac:dyDescent="0.25">
      <c r="A129" s="7" t="s">
        <v>163</v>
      </c>
      <c r="B129" s="2" t="s">
        <v>907</v>
      </c>
      <c r="C129" s="4" t="s">
        <v>906</v>
      </c>
      <c r="D129">
        <f>_xlfn.IFNA(VLOOKUP(A129,'Prior Year data'!$A$1:$T$317,12,FALSE),0)</f>
        <v>104660.61112880892</v>
      </c>
      <c r="E129">
        <f>VLOOKUP(A129,'Basic HH'!$B$1:$Y$321,23,FALSE)</f>
        <v>67090.23452467774</v>
      </c>
      <c r="F129">
        <f>VLOOKUP(A129,'Conc. HH'!$B$1:$Y$321,23,FALSE)</f>
        <v>0</v>
      </c>
      <c r="G129">
        <f>VLOOKUP(A129,'Targeted HH'!$B$1:$Y$321,23,FALSE)</f>
        <v>32104.511480090903</v>
      </c>
      <c r="H129">
        <f>VLOOKUP(A129,'EFIG HH'!$B$1:$Y$321,23,FALSE)</f>
        <v>44265.266231352223</v>
      </c>
      <c r="I129">
        <f t="shared" si="44"/>
        <v>143460.01223612088</v>
      </c>
      <c r="J129">
        <f t="shared" si="45"/>
        <v>104660.61112880892</v>
      </c>
      <c r="K129" s="44">
        <f t="shared" si="46"/>
        <v>133476.39642273175</v>
      </c>
      <c r="L129">
        <f t="shared" si="47"/>
        <v>0</v>
      </c>
      <c r="M129">
        <f t="shared" si="48"/>
        <v>133476.39642273175</v>
      </c>
      <c r="N129">
        <f t="shared" si="49"/>
        <v>126750.93199274405</v>
      </c>
      <c r="O129">
        <f t="shared" si="58"/>
        <v>0</v>
      </c>
      <c r="P129">
        <f t="shared" si="59"/>
        <v>126750.93199274405</v>
      </c>
      <c r="Q129">
        <f t="shared" si="60"/>
        <v>126750.93199274405</v>
      </c>
      <c r="R129">
        <f t="shared" si="61"/>
        <v>0</v>
      </c>
      <c r="S129">
        <f t="shared" si="62"/>
        <v>126750.93199274405</v>
      </c>
      <c r="T129">
        <f t="shared" si="63"/>
        <v>126750.93199274405</v>
      </c>
      <c r="U129">
        <f t="shared" si="64"/>
        <v>0</v>
      </c>
      <c r="V129">
        <f t="shared" si="65"/>
        <v>126750.93199274405</v>
      </c>
      <c r="W129">
        <f t="shared" si="66"/>
        <v>126750.93199274405</v>
      </c>
      <c r="X129" s="44">
        <f t="shared" si="50"/>
        <v>16709.080243376826</v>
      </c>
      <c r="Y129" s="28">
        <f t="shared" si="51"/>
        <v>977.48632653351956</v>
      </c>
      <c r="Z129" s="28">
        <f t="shared" si="52"/>
        <v>125773.44566621054</v>
      </c>
      <c r="AA129">
        <f t="shared" si="53"/>
        <v>0</v>
      </c>
      <c r="AB129" s="28">
        <f t="shared" si="54"/>
        <v>125773.44566621054</v>
      </c>
      <c r="AD129" s="28">
        <f t="shared" si="55"/>
        <v>0</v>
      </c>
      <c r="AE129" s="28">
        <f t="shared" si="56"/>
        <v>125773.44566621054</v>
      </c>
      <c r="AF129" s="51"/>
      <c r="AG129" t="str">
        <f t="shared" si="57"/>
        <v>5304380</v>
      </c>
    </row>
    <row r="130" spans="1:33" x14ac:dyDescent="0.25">
      <c r="A130" s="7" t="s">
        <v>451</v>
      </c>
      <c r="B130" s="2" t="s">
        <v>909</v>
      </c>
      <c r="C130" s="4" t="s">
        <v>908</v>
      </c>
      <c r="D130">
        <f>_xlfn.IFNA(VLOOKUP(A130,'Prior Year data'!$A$1:$T$317,12,FALSE),0)</f>
        <v>127208.45810508136</v>
      </c>
      <c r="E130">
        <f>VLOOKUP(A130,'Basic HH'!$B$1:$Y$321,23,FALSE)</f>
        <v>70530.759372097149</v>
      </c>
      <c r="F130">
        <f>VLOOKUP(A130,'Conc. HH'!$B$1:$Y$321,23,FALSE)</f>
        <v>18540.954318213233</v>
      </c>
      <c r="G130">
        <f>VLOOKUP(A130,'Targeted HH'!$B$1:$Y$321,23,FALSE)</f>
        <v>48658.410501920298</v>
      </c>
      <c r="H130">
        <f>VLOOKUP(A130,'EFIG HH'!$B$1:$Y$321,23,FALSE)</f>
        <v>67089.558319478543</v>
      </c>
      <c r="I130">
        <f t="shared" si="44"/>
        <v>204819.68251170922</v>
      </c>
      <c r="J130">
        <f t="shared" si="45"/>
        <v>127208.45810508136</v>
      </c>
      <c r="K130" s="44">
        <f t="shared" si="46"/>
        <v>190565.94734645885</v>
      </c>
      <c r="L130">
        <f t="shared" si="47"/>
        <v>0</v>
      </c>
      <c r="M130">
        <f t="shared" si="48"/>
        <v>190565.94734645885</v>
      </c>
      <c r="N130">
        <f t="shared" si="49"/>
        <v>180963.91631479663</v>
      </c>
      <c r="O130">
        <f t="shared" si="58"/>
        <v>0</v>
      </c>
      <c r="P130">
        <f t="shared" si="59"/>
        <v>180963.91631479663</v>
      </c>
      <c r="Q130">
        <f t="shared" si="60"/>
        <v>180963.91631479663</v>
      </c>
      <c r="R130">
        <f t="shared" si="61"/>
        <v>0</v>
      </c>
      <c r="S130">
        <f t="shared" si="62"/>
        <v>180963.91631479663</v>
      </c>
      <c r="T130">
        <f t="shared" si="63"/>
        <v>180963.91631479663</v>
      </c>
      <c r="U130">
        <f t="shared" si="64"/>
        <v>0</v>
      </c>
      <c r="V130">
        <f t="shared" si="65"/>
        <v>180963.91631479663</v>
      </c>
      <c r="W130">
        <f t="shared" si="66"/>
        <v>180963.91631479663</v>
      </c>
      <c r="X130" s="44">
        <f t="shared" si="50"/>
        <v>23855.766196912591</v>
      </c>
      <c r="Y130" s="28">
        <f t="shared" si="51"/>
        <v>1395.5696499635678</v>
      </c>
      <c r="Z130" s="28">
        <f t="shared" si="52"/>
        <v>179568.34666483305</v>
      </c>
      <c r="AA130">
        <f t="shared" si="53"/>
        <v>0</v>
      </c>
      <c r="AB130" s="28">
        <f t="shared" si="54"/>
        <v>179568.34666483305</v>
      </c>
      <c r="AD130" s="28">
        <f t="shared" si="55"/>
        <v>0</v>
      </c>
      <c r="AE130" s="28">
        <f t="shared" si="56"/>
        <v>179568.34666483305</v>
      </c>
      <c r="AF130" s="51"/>
      <c r="AG130" t="str">
        <f t="shared" si="57"/>
        <v>5304410</v>
      </c>
    </row>
    <row r="131" spans="1:33" x14ac:dyDescent="0.25">
      <c r="A131" s="7" t="s">
        <v>453</v>
      </c>
      <c r="B131" s="2" t="s">
        <v>911</v>
      </c>
      <c r="C131" s="4" t="s">
        <v>910</v>
      </c>
      <c r="D131">
        <f>_xlfn.IFNA(VLOOKUP(A131,'Prior Year data'!$A$1:$T$317,12,FALSE),0)</f>
        <v>2545836.7795296675</v>
      </c>
      <c r="E131">
        <f>VLOOKUP(A131,'Basic HH'!$B$1:$Y$321,23,FALSE)</f>
        <v>1156016.3487329092</v>
      </c>
      <c r="F131">
        <f>VLOOKUP(A131,'Conc. HH'!$B$1:$Y$321,23,FALSE)</f>
        <v>303890.76345949492</v>
      </c>
      <c r="G131">
        <f>VLOOKUP(A131,'Targeted HH'!$B$1:$Y$321,23,FALSE)</f>
        <v>687571.62086528016</v>
      </c>
      <c r="H131">
        <f>VLOOKUP(A131,'EFIG HH'!$B$1:$Y$321,23,FALSE)</f>
        <v>948014.45178812661</v>
      </c>
      <c r="I131">
        <f t="shared" si="44"/>
        <v>3095493.1848458108</v>
      </c>
      <c r="J131">
        <f t="shared" si="45"/>
        <v>2545836.7795296675</v>
      </c>
      <c r="K131" s="44">
        <f t="shared" si="46"/>
        <v>2880072.7744557732</v>
      </c>
      <c r="L131">
        <f t="shared" si="47"/>
        <v>0</v>
      </c>
      <c r="M131">
        <f t="shared" si="48"/>
        <v>2880072.7744557732</v>
      </c>
      <c r="N131">
        <f t="shared" si="49"/>
        <v>2734954.7796678985</v>
      </c>
      <c r="O131">
        <f t="shared" si="58"/>
        <v>0</v>
      </c>
      <c r="P131">
        <f t="shared" si="59"/>
        <v>2734954.7796678985</v>
      </c>
      <c r="Q131">
        <f t="shared" si="60"/>
        <v>2734954.7796678985</v>
      </c>
      <c r="R131">
        <f t="shared" si="61"/>
        <v>0</v>
      </c>
      <c r="S131">
        <f t="shared" si="62"/>
        <v>2734954.7796678985</v>
      </c>
      <c r="T131">
        <f t="shared" si="63"/>
        <v>2734954.7796678985</v>
      </c>
      <c r="U131">
        <f t="shared" si="64"/>
        <v>0</v>
      </c>
      <c r="V131">
        <f t="shared" si="65"/>
        <v>2734954.7796678985</v>
      </c>
      <c r="W131">
        <f t="shared" si="66"/>
        <v>2734954.7796678985</v>
      </c>
      <c r="X131" s="44">
        <f t="shared" si="50"/>
        <v>360538.40517791221</v>
      </c>
      <c r="Y131" s="28">
        <f t="shared" si="51"/>
        <v>21091.607444479425</v>
      </c>
      <c r="Z131" s="28">
        <f t="shared" si="52"/>
        <v>2713863.172223419</v>
      </c>
      <c r="AA131">
        <f t="shared" si="53"/>
        <v>0</v>
      </c>
      <c r="AB131" s="28">
        <f t="shared" si="54"/>
        <v>2713863.172223419</v>
      </c>
      <c r="AD131" s="28">
        <f t="shared" si="55"/>
        <v>0</v>
      </c>
      <c r="AE131" s="28">
        <f t="shared" si="56"/>
        <v>2713863.172223419</v>
      </c>
      <c r="AF131" s="51"/>
      <c r="AG131" t="str">
        <f t="shared" si="57"/>
        <v>5304470</v>
      </c>
    </row>
    <row r="132" spans="1:33" x14ac:dyDescent="0.25">
      <c r="A132" s="7" t="s">
        <v>455</v>
      </c>
      <c r="B132" s="2" t="s">
        <v>913</v>
      </c>
      <c r="C132" s="4" t="s">
        <v>912</v>
      </c>
      <c r="D132">
        <f>_xlfn.IFNA(VLOOKUP(A132,'Prior Year data'!$A$1:$T$317,12,FALSE),0)</f>
        <v>129106.58594336173</v>
      </c>
      <c r="E132">
        <f>VLOOKUP(A132,'Basic HH'!$B$1:$Y$321,23,FALSE)</f>
        <v>50747.74149943576</v>
      </c>
      <c r="F132">
        <f>VLOOKUP(A132,'Conc. HH'!$B$1:$Y$321,23,FALSE)</f>
        <v>13340.44274115342</v>
      </c>
      <c r="G132">
        <f>VLOOKUP(A132,'Targeted HH'!$B$1:$Y$321,23,FALSE)</f>
        <v>31041.718381302053</v>
      </c>
      <c r="H132">
        <f>VLOOKUP(A132,'EFIG HH'!$B$1:$Y$321,23,FALSE)</f>
        <v>42799.901480485161</v>
      </c>
      <c r="I132">
        <f t="shared" ref="I132:I195" si="67">SUM(E132:H132)</f>
        <v>137929.80410237639</v>
      </c>
      <c r="J132">
        <f t="shared" ref="J132:J195" si="68">IF(D132=0,I132,D132)</f>
        <v>129106.58594336173</v>
      </c>
      <c r="K132" s="44">
        <f t="shared" ref="K132:K195" si="69">I132*(1-$K$1)</f>
        <v>128331.04447653945</v>
      </c>
      <c r="L132">
        <f t="shared" ref="L132:L195" si="70">IF(K132&lt;J132,MIN(J132,I132)-K132,0)</f>
        <v>775.5414668222802</v>
      </c>
      <c r="M132">
        <f t="shared" ref="M132:M195" si="71">IF(L132=0,K132,0)</f>
        <v>0</v>
      </c>
      <c r="N132">
        <f t="shared" ref="N132:N195" si="72">M132-(M132/$M$3*$L$3)+IF(L132&gt;0,K132+L132)</f>
        <v>129106.58594336173</v>
      </c>
      <c r="O132">
        <f t="shared" si="58"/>
        <v>0</v>
      </c>
      <c r="P132">
        <f t="shared" si="59"/>
        <v>0</v>
      </c>
      <c r="Q132">
        <f t="shared" si="60"/>
        <v>129106.58594336173</v>
      </c>
      <c r="R132">
        <f t="shared" si="61"/>
        <v>0</v>
      </c>
      <c r="S132">
        <f t="shared" si="62"/>
        <v>0</v>
      </c>
      <c r="T132">
        <f t="shared" si="63"/>
        <v>129106.58594336173</v>
      </c>
      <c r="U132">
        <f t="shared" si="64"/>
        <v>0</v>
      </c>
      <c r="V132">
        <f t="shared" si="65"/>
        <v>0</v>
      </c>
      <c r="W132">
        <f t="shared" si="66"/>
        <v>129106.58594336173</v>
      </c>
      <c r="X132" s="44">
        <f t="shared" ref="X132:X195" si="73">I132-W132</f>
        <v>8823.2181590146647</v>
      </c>
      <c r="Y132" s="28">
        <f t="shared" ref="Y132:Y195" si="74">W132/$W$3*$Y$1</f>
        <v>995.65281644071229</v>
      </c>
      <c r="Z132" s="28">
        <f t="shared" ref="Z132:Z195" si="75">W132-Y132</f>
        <v>128110.93312692102</v>
      </c>
      <c r="AA132">
        <f t="shared" ref="AA132:AA195" si="76">Z132/$Z$3*$AA$1</f>
        <v>0</v>
      </c>
      <c r="AB132" s="28">
        <f t="shared" ref="AB132:AB195" si="77">Z132-AA132</f>
        <v>128110.93312692102</v>
      </c>
      <c r="AD132" s="28">
        <f t="shared" ref="AD132:AD195" si="78">IF(AC132&gt;0,AC132*AB132,0)</f>
        <v>0</v>
      </c>
      <c r="AE132" s="28">
        <f t="shared" ref="AE132:AE195" si="79">AB132-AD132</f>
        <v>128110.93312692102</v>
      </c>
      <c r="AF132" s="51"/>
      <c r="AG132" t="str">
        <f t="shared" si="57"/>
        <v>5304500</v>
      </c>
    </row>
    <row r="133" spans="1:33" x14ac:dyDescent="0.25">
      <c r="A133" s="7" t="s">
        <v>457</v>
      </c>
      <c r="B133" s="2" t="s">
        <v>915</v>
      </c>
      <c r="C133" s="4" t="s">
        <v>914</v>
      </c>
      <c r="D133">
        <f>_xlfn.IFNA(VLOOKUP(A133,'Prior Year data'!$A$1:$T$317,12,FALSE),0)</f>
        <v>105784.97710181792</v>
      </c>
      <c r="E133">
        <f>VLOOKUP(A133,'Basic HH'!$B$1:$Y$321,23,FALSE)</f>
        <v>41446.1971079047</v>
      </c>
      <c r="F133">
        <f>VLOOKUP(A133,'Conc. HH'!$B$1:$Y$321,23,FALSE)</f>
        <v>10854.988396996381</v>
      </c>
      <c r="G133">
        <f>VLOOKUP(A133,'Targeted HH'!$B$1:$Y$321,23,FALSE)</f>
        <v>23320.887004640317</v>
      </c>
      <c r="H133">
        <f>VLOOKUP(A133,'EFIG HH'!$B$1:$Y$321,23,FALSE)</f>
        <v>32157.95613618995</v>
      </c>
      <c r="I133">
        <f t="shared" si="67"/>
        <v>107780.02864573135</v>
      </c>
      <c r="J133">
        <f t="shared" si="68"/>
        <v>105784.97710181792</v>
      </c>
      <c r="K133" s="44">
        <f t="shared" si="69"/>
        <v>100279.44097964351</v>
      </c>
      <c r="L133">
        <f t="shared" si="70"/>
        <v>5505.5361221744097</v>
      </c>
      <c r="M133">
        <f t="shared" si="71"/>
        <v>0</v>
      </c>
      <c r="N133">
        <f t="shared" si="72"/>
        <v>105784.97710181792</v>
      </c>
      <c r="O133">
        <f t="shared" si="58"/>
        <v>0</v>
      </c>
      <c r="P133">
        <f t="shared" si="59"/>
        <v>0</v>
      </c>
      <c r="Q133">
        <f t="shared" si="60"/>
        <v>105784.97710181792</v>
      </c>
      <c r="R133">
        <f t="shared" si="61"/>
        <v>0</v>
      </c>
      <c r="S133">
        <f t="shared" si="62"/>
        <v>0</v>
      </c>
      <c r="T133">
        <f t="shared" si="63"/>
        <v>105784.97710181792</v>
      </c>
      <c r="U133">
        <f t="shared" si="64"/>
        <v>0</v>
      </c>
      <c r="V133">
        <f t="shared" si="65"/>
        <v>0</v>
      </c>
      <c r="W133">
        <f t="shared" si="66"/>
        <v>105784.97710181792</v>
      </c>
      <c r="X133" s="44">
        <f t="shared" si="73"/>
        <v>1995.0515439134324</v>
      </c>
      <c r="Y133" s="28">
        <f t="shared" si="74"/>
        <v>815.79967140287295</v>
      </c>
      <c r="Z133" s="28">
        <f t="shared" si="75"/>
        <v>104969.17743041505</v>
      </c>
      <c r="AA133">
        <f t="shared" si="76"/>
        <v>0</v>
      </c>
      <c r="AB133" s="28">
        <f t="shared" si="77"/>
        <v>104969.17743041505</v>
      </c>
      <c r="AD133" s="28">
        <f t="shared" si="78"/>
        <v>0</v>
      </c>
      <c r="AE133" s="28">
        <f t="shared" si="79"/>
        <v>104969.17743041505</v>
      </c>
      <c r="AF133" s="51"/>
      <c r="AG133" t="str">
        <f t="shared" ref="AG133:AG196" si="80">A133</f>
        <v>5304530</v>
      </c>
    </row>
    <row r="134" spans="1:33" x14ac:dyDescent="0.25">
      <c r="A134" s="7" t="s">
        <v>80</v>
      </c>
      <c r="B134" s="2" t="s">
        <v>916</v>
      </c>
      <c r="C134" s="4" t="s">
        <v>30</v>
      </c>
      <c r="D134">
        <f>_xlfn.IFNA(VLOOKUP(A134,'Prior Year data'!$A$1:$T$317,12,FALSE),0)</f>
        <v>2363.5096113463756</v>
      </c>
      <c r="E134">
        <f>VLOOKUP(A134,'Basic HH'!$B$1:$Y$321,23,FALSE)</f>
        <v>0</v>
      </c>
      <c r="F134">
        <f>VLOOKUP(A134,'Conc. HH'!$B$1:$Y$321,23,FALSE)</f>
        <v>1974.7212844946155</v>
      </c>
      <c r="G134">
        <f>VLOOKUP(A134,'Targeted HH'!$B$1:$Y$321,23,FALSE)</f>
        <v>0</v>
      </c>
      <c r="H134">
        <f>VLOOKUP(A134,'EFIG HH'!$B$1:$Y$321,23,FALSE)</f>
        <v>0</v>
      </c>
      <c r="I134">
        <f t="shared" si="67"/>
        <v>1974.7212844946155</v>
      </c>
      <c r="J134">
        <f t="shared" si="68"/>
        <v>2363.5096113463756</v>
      </c>
      <c r="K134" s="44">
        <f t="shared" si="69"/>
        <v>1837.2972153368082</v>
      </c>
      <c r="L134">
        <f t="shared" si="70"/>
        <v>137.42406915780725</v>
      </c>
      <c r="M134">
        <f t="shared" si="71"/>
        <v>0</v>
      </c>
      <c r="N134">
        <f t="shared" si="72"/>
        <v>1974.7212844946155</v>
      </c>
      <c r="O134">
        <f t="shared" si="58"/>
        <v>0</v>
      </c>
      <c r="P134">
        <f t="shared" si="59"/>
        <v>0</v>
      </c>
      <c r="Q134">
        <f t="shared" si="60"/>
        <v>1974.7212844946155</v>
      </c>
      <c r="R134">
        <f t="shared" si="61"/>
        <v>0</v>
      </c>
      <c r="S134">
        <f t="shared" si="62"/>
        <v>0</v>
      </c>
      <c r="T134">
        <f t="shared" si="63"/>
        <v>1974.7212844946155</v>
      </c>
      <c r="U134">
        <f t="shared" si="64"/>
        <v>0</v>
      </c>
      <c r="V134">
        <f t="shared" si="65"/>
        <v>0</v>
      </c>
      <c r="W134">
        <f t="shared" si="66"/>
        <v>1974.7212844946155</v>
      </c>
      <c r="X134" s="44">
        <f t="shared" si="73"/>
        <v>0</v>
      </c>
      <c r="Y134" s="28">
        <f t="shared" si="74"/>
        <v>15.228787859474629</v>
      </c>
      <c r="Z134" s="28">
        <f t="shared" si="75"/>
        <v>1959.4924966351409</v>
      </c>
      <c r="AA134">
        <f t="shared" si="76"/>
        <v>0</v>
      </c>
      <c r="AB134" s="28">
        <f t="shared" si="77"/>
        <v>1959.4924966351409</v>
      </c>
      <c r="AD134" s="28">
        <f t="shared" si="78"/>
        <v>0</v>
      </c>
      <c r="AE134" s="28">
        <f t="shared" si="79"/>
        <v>1959.4924966351409</v>
      </c>
      <c r="AF134" s="51"/>
      <c r="AG134" t="str">
        <f t="shared" si="80"/>
        <v>5304550</v>
      </c>
    </row>
    <row r="135" spans="1:33" x14ac:dyDescent="0.25">
      <c r="A135" s="7" t="s">
        <v>459</v>
      </c>
      <c r="B135" s="2" t="s">
        <v>918</v>
      </c>
      <c r="C135" s="4" t="s">
        <v>917</v>
      </c>
      <c r="D135">
        <f>_xlfn.IFNA(VLOOKUP(A135,'Prior Year data'!$A$1:$T$317,12,FALSE),0)</f>
        <v>209888.73413200202</v>
      </c>
      <c r="E135">
        <f>VLOOKUP(A135,'Basic HH'!$B$1:$Y$321,23,FALSE)</f>
        <v>71623.720276266133</v>
      </c>
      <c r="F135">
        <f>VLOOKUP(A135,'Conc. HH'!$B$1:$Y$321,23,FALSE)</f>
        <v>18190.999866069473</v>
      </c>
      <c r="G135">
        <f>VLOOKUP(A135,'Targeted HH'!$B$1:$Y$321,23,FALSE)</f>
        <v>43381.81107452741</v>
      </c>
      <c r="H135">
        <f>VLOOKUP(A135,'EFIG HH'!$B$1:$Y$321,23,FALSE)</f>
        <v>57163.873176635258</v>
      </c>
      <c r="I135">
        <f t="shared" si="67"/>
        <v>190360.40439349826</v>
      </c>
      <c r="J135">
        <f t="shared" si="68"/>
        <v>209888.73413200202</v>
      </c>
      <c r="K135" s="44">
        <f t="shared" si="69"/>
        <v>177112.91393310382</v>
      </c>
      <c r="L135">
        <f t="shared" si="70"/>
        <v>13247.490460394445</v>
      </c>
      <c r="M135">
        <f t="shared" si="71"/>
        <v>0</v>
      </c>
      <c r="N135">
        <f t="shared" si="72"/>
        <v>190360.40439349826</v>
      </c>
      <c r="O135">
        <f t="shared" si="58"/>
        <v>0</v>
      </c>
      <c r="P135">
        <f t="shared" si="59"/>
        <v>0</v>
      </c>
      <c r="Q135">
        <f t="shared" si="60"/>
        <v>190360.40439349826</v>
      </c>
      <c r="R135">
        <f t="shared" si="61"/>
        <v>0</v>
      </c>
      <c r="S135">
        <f t="shared" si="62"/>
        <v>0</v>
      </c>
      <c r="T135">
        <f t="shared" si="63"/>
        <v>190360.40439349826</v>
      </c>
      <c r="U135">
        <f t="shared" si="64"/>
        <v>0</v>
      </c>
      <c r="V135">
        <f t="shared" si="65"/>
        <v>0</v>
      </c>
      <c r="W135">
        <f t="shared" si="66"/>
        <v>190360.40439349826</v>
      </c>
      <c r="X135" s="44">
        <f t="shared" si="73"/>
        <v>0</v>
      </c>
      <c r="Y135" s="28">
        <f t="shared" si="74"/>
        <v>1468.0341160622618</v>
      </c>
      <c r="Z135" s="28">
        <f t="shared" si="75"/>
        <v>188892.37027743601</v>
      </c>
      <c r="AA135">
        <f t="shared" si="76"/>
        <v>0</v>
      </c>
      <c r="AB135" s="28">
        <f t="shared" si="77"/>
        <v>188892.37027743601</v>
      </c>
      <c r="AD135" s="28">
        <f t="shared" si="78"/>
        <v>0</v>
      </c>
      <c r="AE135" s="28">
        <f t="shared" si="79"/>
        <v>188892.37027743601</v>
      </c>
      <c r="AF135" s="51"/>
      <c r="AG135" t="str">
        <f t="shared" si="80"/>
        <v>5304590</v>
      </c>
    </row>
    <row r="136" spans="1:33" x14ac:dyDescent="0.25">
      <c r="A136" s="7" t="s">
        <v>165</v>
      </c>
      <c r="B136" s="2" t="s">
        <v>920</v>
      </c>
      <c r="C136" s="4" t="s">
        <v>919</v>
      </c>
      <c r="D136">
        <f>_xlfn.IFNA(VLOOKUP(A136,'Prior Year data'!$A$1:$T$317,12,FALSE),0)</f>
        <v>646433.18638381991</v>
      </c>
      <c r="E136">
        <f>VLOOKUP(A136,'Basic HH'!$B$1:$Y$321,23,FALSE)</f>
        <v>288426.75180354732</v>
      </c>
      <c r="F136">
        <f>VLOOKUP(A136,'Conc. HH'!$B$1:$Y$321,23,FALSE)</f>
        <v>0</v>
      </c>
      <c r="G136">
        <f>VLOOKUP(A136,'Targeted HH'!$B$1:$Y$321,23,FALSE)</f>
        <v>140202.62868930915</v>
      </c>
      <c r="H136">
        <f>VLOOKUP(A136,'EFIG HH'!$B$1:$Y$321,23,FALSE)</f>
        <v>193330.12430754534</v>
      </c>
      <c r="I136">
        <f t="shared" si="67"/>
        <v>621959.50480040186</v>
      </c>
      <c r="J136">
        <f t="shared" si="68"/>
        <v>646433.18638381991</v>
      </c>
      <c r="K136" s="44">
        <f t="shared" si="69"/>
        <v>578676.3302723465</v>
      </c>
      <c r="L136">
        <f t="shared" si="70"/>
        <v>43283.174528055359</v>
      </c>
      <c r="M136">
        <f t="shared" si="71"/>
        <v>0</v>
      </c>
      <c r="N136">
        <f t="shared" si="72"/>
        <v>621959.50480040186</v>
      </c>
      <c r="O136">
        <f t="shared" si="58"/>
        <v>0</v>
      </c>
      <c r="P136">
        <f t="shared" si="59"/>
        <v>0</v>
      </c>
      <c r="Q136">
        <f t="shared" si="60"/>
        <v>621959.50480040186</v>
      </c>
      <c r="R136">
        <f t="shared" si="61"/>
        <v>0</v>
      </c>
      <c r="S136">
        <f t="shared" si="62"/>
        <v>0</v>
      </c>
      <c r="T136">
        <f t="shared" si="63"/>
        <v>621959.50480040186</v>
      </c>
      <c r="U136">
        <f t="shared" si="64"/>
        <v>0</v>
      </c>
      <c r="V136">
        <f t="shared" si="65"/>
        <v>0</v>
      </c>
      <c r="W136">
        <f t="shared" si="66"/>
        <v>621959.50480040186</v>
      </c>
      <c r="X136" s="44">
        <f t="shared" si="73"/>
        <v>0</v>
      </c>
      <c r="Y136" s="28">
        <f t="shared" si="74"/>
        <v>4796.4689650941164</v>
      </c>
      <c r="Z136" s="28">
        <f t="shared" si="75"/>
        <v>617163.03583530779</v>
      </c>
      <c r="AA136">
        <f t="shared" si="76"/>
        <v>0</v>
      </c>
      <c r="AB136" s="28">
        <f t="shared" si="77"/>
        <v>617163.03583530779</v>
      </c>
      <c r="AD136" s="28">
        <f t="shared" si="78"/>
        <v>0</v>
      </c>
      <c r="AE136" s="28">
        <f t="shared" si="79"/>
        <v>617163.03583530779</v>
      </c>
      <c r="AF136" s="51"/>
      <c r="AG136" t="str">
        <f t="shared" si="80"/>
        <v>5304620</v>
      </c>
    </row>
    <row r="137" spans="1:33" x14ac:dyDescent="0.25">
      <c r="A137" s="7" t="s">
        <v>461</v>
      </c>
      <c r="B137" s="2" t="s">
        <v>922</v>
      </c>
      <c r="C137" s="4" t="s">
        <v>921</v>
      </c>
      <c r="D137">
        <f>_xlfn.IFNA(VLOOKUP(A137,'Prior Year data'!$A$1:$T$317,12,FALSE),0)</f>
        <v>350560.72809546569</v>
      </c>
      <c r="E137">
        <f>VLOOKUP(A137,'Basic HH'!$B$1:$Y$321,23,FALSE)</f>
        <v>164285.06146427509</v>
      </c>
      <c r="F137">
        <f>VLOOKUP(A137,'Conc. HH'!$B$1:$Y$321,23,FALSE)</f>
        <v>43186.857009496678</v>
      </c>
      <c r="G137">
        <f>VLOOKUP(A137,'Targeted HH'!$B$1:$Y$321,23,FALSE)</f>
        <v>106949.2857578806</v>
      </c>
      <c r="H137">
        <f>VLOOKUP(A137,'EFIG HH'!$B$1:$Y$321,23,FALSE)</f>
        <v>147460.2287675784</v>
      </c>
      <c r="I137">
        <f t="shared" si="67"/>
        <v>461881.4329992308</v>
      </c>
      <c r="J137">
        <f t="shared" si="68"/>
        <v>350560.72809546569</v>
      </c>
      <c r="K137" s="44">
        <f t="shared" si="69"/>
        <v>429738.35210493737</v>
      </c>
      <c r="L137">
        <f t="shared" si="70"/>
        <v>0</v>
      </c>
      <c r="M137">
        <f t="shared" si="71"/>
        <v>429738.35210493737</v>
      </c>
      <c r="N137">
        <f t="shared" si="72"/>
        <v>408085.16038907925</v>
      </c>
      <c r="O137">
        <f t="shared" si="58"/>
        <v>0</v>
      </c>
      <c r="P137">
        <f t="shared" si="59"/>
        <v>408085.16038907925</v>
      </c>
      <c r="Q137">
        <f t="shared" si="60"/>
        <v>408085.16038907925</v>
      </c>
      <c r="R137">
        <f t="shared" si="61"/>
        <v>0</v>
      </c>
      <c r="S137">
        <f t="shared" si="62"/>
        <v>408085.16038907925</v>
      </c>
      <c r="T137">
        <f t="shared" si="63"/>
        <v>408085.16038907925</v>
      </c>
      <c r="U137">
        <f t="shared" si="64"/>
        <v>0</v>
      </c>
      <c r="V137">
        <f t="shared" si="65"/>
        <v>408085.16038907925</v>
      </c>
      <c r="W137">
        <f t="shared" si="66"/>
        <v>408085.16038907925</v>
      </c>
      <c r="X137" s="44">
        <f t="shared" si="73"/>
        <v>53796.272610151558</v>
      </c>
      <c r="Y137" s="28">
        <f t="shared" si="74"/>
        <v>3147.098471547321</v>
      </c>
      <c r="Z137" s="28">
        <f t="shared" si="75"/>
        <v>404938.06191753194</v>
      </c>
      <c r="AA137">
        <f t="shared" si="76"/>
        <v>0</v>
      </c>
      <c r="AB137" s="28">
        <f t="shared" si="77"/>
        <v>404938.06191753194</v>
      </c>
      <c r="AD137" s="28">
        <f t="shared" si="78"/>
        <v>0</v>
      </c>
      <c r="AE137" s="28">
        <f t="shared" si="79"/>
        <v>404938.06191753194</v>
      </c>
      <c r="AF137" s="51"/>
      <c r="AG137" t="str">
        <f t="shared" si="80"/>
        <v>5304650</v>
      </c>
    </row>
    <row r="138" spans="1:33" x14ac:dyDescent="0.25">
      <c r="A138" s="7" t="s">
        <v>463</v>
      </c>
      <c r="B138" s="2" t="s">
        <v>924</v>
      </c>
      <c r="C138" s="4" t="s">
        <v>923</v>
      </c>
      <c r="D138">
        <f>_xlfn.IFNA(VLOOKUP(A138,'Prior Year data'!$A$1:$T$317,12,FALSE),0)</f>
        <v>59778.488402726514</v>
      </c>
      <c r="E138">
        <f>VLOOKUP(A138,'Basic HH'!$B$1:$Y$321,23,FALSE)</f>
        <v>19632.409156375907</v>
      </c>
      <c r="F138">
        <f>VLOOKUP(A138,'Conc. HH'!$B$1:$Y$321,23,FALSE)</f>
        <v>5141.8366091035523</v>
      </c>
      <c r="G138">
        <f>VLOOKUP(A138,'Targeted HH'!$B$1:$Y$321,23,FALSE)</f>
        <v>15187.479207103177</v>
      </c>
      <c r="H138">
        <f>VLOOKUP(A138,'EFIG HH'!$B$1:$Y$321,23,FALSE)</f>
        <v>20942.526331187182</v>
      </c>
      <c r="I138">
        <f t="shared" si="67"/>
        <v>60904.251303769823</v>
      </c>
      <c r="J138">
        <f t="shared" si="68"/>
        <v>59778.488402726514</v>
      </c>
      <c r="K138" s="44">
        <f t="shared" si="69"/>
        <v>56665.825299608034</v>
      </c>
      <c r="L138">
        <f t="shared" si="70"/>
        <v>3112.6631031184806</v>
      </c>
      <c r="M138">
        <f t="shared" si="71"/>
        <v>0</v>
      </c>
      <c r="N138">
        <f t="shared" si="72"/>
        <v>59778.488402726514</v>
      </c>
      <c r="O138">
        <f t="shared" si="58"/>
        <v>0</v>
      </c>
      <c r="P138">
        <f t="shared" si="59"/>
        <v>0</v>
      </c>
      <c r="Q138">
        <f t="shared" si="60"/>
        <v>59778.488402726514</v>
      </c>
      <c r="R138">
        <f t="shared" si="61"/>
        <v>0</v>
      </c>
      <c r="S138">
        <f t="shared" si="62"/>
        <v>0</v>
      </c>
      <c r="T138">
        <f t="shared" si="63"/>
        <v>59778.488402726514</v>
      </c>
      <c r="U138">
        <f t="shared" si="64"/>
        <v>0</v>
      </c>
      <c r="V138">
        <f t="shared" si="65"/>
        <v>0</v>
      </c>
      <c r="W138">
        <f t="shared" si="66"/>
        <v>59778.488402726514</v>
      </c>
      <c r="X138" s="44">
        <f t="shared" si="73"/>
        <v>1125.7629010433084</v>
      </c>
      <c r="Y138" s="28">
        <f t="shared" si="74"/>
        <v>461.00375055114205</v>
      </c>
      <c r="Z138" s="28">
        <f t="shared" si="75"/>
        <v>59317.484652175372</v>
      </c>
      <c r="AA138">
        <f t="shared" si="76"/>
        <v>0</v>
      </c>
      <c r="AB138" s="28">
        <f t="shared" si="77"/>
        <v>59317.484652175372</v>
      </c>
      <c r="AD138" s="28">
        <f t="shared" si="78"/>
        <v>0</v>
      </c>
      <c r="AE138" s="28">
        <f t="shared" si="79"/>
        <v>59317.484652175372</v>
      </c>
      <c r="AF138" s="51"/>
      <c r="AG138" t="str">
        <f t="shared" si="80"/>
        <v>5304710</v>
      </c>
    </row>
    <row r="139" spans="1:33" x14ac:dyDescent="0.25">
      <c r="A139" s="7" t="s">
        <v>288</v>
      </c>
      <c r="B139" s="2" t="s">
        <v>926</v>
      </c>
      <c r="C139" s="4" t="s">
        <v>925</v>
      </c>
      <c r="D139">
        <f>_xlfn.IFNA(VLOOKUP(A139,'Prior Year data'!$A$1:$T$317,12,FALSE),0)</f>
        <v>193160.38655899171</v>
      </c>
      <c r="E139">
        <f>VLOOKUP(A139,'Basic HH'!$B$1:$Y$321,23,FALSE)</f>
        <v>104936.00784629084</v>
      </c>
      <c r="F139">
        <f>VLOOKUP(A139,'Conc. HH'!$B$1:$Y$321,23,FALSE)</f>
        <v>27585.322278317242</v>
      </c>
      <c r="G139">
        <f>VLOOKUP(A139,'Targeted HH'!$B$1:$Y$321,23,FALSE)</f>
        <v>58585.93835425892</v>
      </c>
      <c r="H139">
        <f>VLOOKUP(A139,'EFIG HH'!$B$1:$Y$321,23,FALSE)</f>
        <v>80777.499457453756</v>
      </c>
      <c r="I139">
        <f t="shared" si="67"/>
        <v>271884.76793632074</v>
      </c>
      <c r="J139">
        <f t="shared" si="68"/>
        <v>193160.38655899171</v>
      </c>
      <c r="K139" s="44">
        <f t="shared" si="69"/>
        <v>252963.86429021574</v>
      </c>
      <c r="L139">
        <f t="shared" si="70"/>
        <v>0</v>
      </c>
      <c r="M139">
        <f t="shared" si="71"/>
        <v>252963.86429021574</v>
      </c>
      <c r="N139">
        <f t="shared" si="72"/>
        <v>240217.79444601713</v>
      </c>
      <c r="O139">
        <f t="shared" si="58"/>
        <v>0</v>
      </c>
      <c r="P139">
        <f t="shared" si="59"/>
        <v>240217.79444601713</v>
      </c>
      <c r="Q139">
        <f t="shared" si="60"/>
        <v>240217.79444601713</v>
      </c>
      <c r="R139">
        <f t="shared" si="61"/>
        <v>0</v>
      </c>
      <c r="S139">
        <f t="shared" si="62"/>
        <v>240217.79444601713</v>
      </c>
      <c r="T139">
        <f t="shared" si="63"/>
        <v>240217.79444601713</v>
      </c>
      <c r="U139">
        <f t="shared" si="64"/>
        <v>0</v>
      </c>
      <c r="V139">
        <f t="shared" si="65"/>
        <v>240217.79444601713</v>
      </c>
      <c r="W139">
        <f t="shared" si="66"/>
        <v>240217.79444601713</v>
      </c>
      <c r="X139" s="44">
        <f t="shared" si="73"/>
        <v>31666.973490303615</v>
      </c>
      <c r="Y139" s="28">
        <f t="shared" si="74"/>
        <v>1852.5276758869375</v>
      </c>
      <c r="Z139" s="28">
        <f t="shared" si="75"/>
        <v>238365.2667701302</v>
      </c>
      <c r="AA139">
        <f t="shared" si="76"/>
        <v>0</v>
      </c>
      <c r="AB139" s="28">
        <f t="shared" si="77"/>
        <v>238365.2667701302</v>
      </c>
      <c r="AD139" s="28">
        <f t="shared" si="78"/>
        <v>0</v>
      </c>
      <c r="AE139" s="28">
        <f t="shared" si="79"/>
        <v>238365.2667701302</v>
      </c>
      <c r="AF139" s="51"/>
      <c r="AG139" t="str">
        <f t="shared" si="80"/>
        <v>5304740</v>
      </c>
    </row>
    <row r="140" spans="1:33" x14ac:dyDescent="0.25">
      <c r="A140" s="7" t="s">
        <v>465</v>
      </c>
      <c r="B140" s="2" t="s">
        <v>928</v>
      </c>
      <c r="C140" s="4" t="s">
        <v>927</v>
      </c>
      <c r="D140">
        <f>_xlfn.IFNA(VLOOKUP(A140,'Prior Year data'!$A$1:$T$317,12,FALSE),0)</f>
        <v>114759.9305107067</v>
      </c>
      <c r="E140">
        <f>VLOOKUP(A140,'Basic HH'!$B$1:$Y$321,23,FALSE)</f>
        <v>41368.872918188186</v>
      </c>
      <c r="F140">
        <f>VLOOKUP(A140,'Conc. HH'!$B$1:$Y$321,23,FALSE)</f>
        <v>10506.870612298748</v>
      </c>
      <c r="G140">
        <f>VLOOKUP(A140,'Targeted HH'!$B$1:$Y$321,23,FALSE)</f>
        <v>22525.324704684172</v>
      </c>
      <c r="H140">
        <f>VLOOKUP(A140,'EFIG HH'!$B$1:$Y$321,23,FALSE)</f>
        <v>29681.44419948291</v>
      </c>
      <c r="I140">
        <f t="shared" si="67"/>
        <v>104082.51243465403</v>
      </c>
      <c r="J140">
        <f t="shared" si="68"/>
        <v>114759.9305107067</v>
      </c>
      <c r="K140" s="44">
        <f t="shared" si="69"/>
        <v>96839.240941482843</v>
      </c>
      <c r="L140">
        <f t="shared" si="70"/>
        <v>7243.2714931711816</v>
      </c>
      <c r="M140">
        <f t="shared" si="71"/>
        <v>0</v>
      </c>
      <c r="N140">
        <f t="shared" si="72"/>
        <v>104082.51243465403</v>
      </c>
      <c r="O140">
        <f t="shared" si="58"/>
        <v>0</v>
      </c>
      <c r="P140">
        <f t="shared" si="59"/>
        <v>0</v>
      </c>
      <c r="Q140">
        <f t="shared" si="60"/>
        <v>104082.51243465403</v>
      </c>
      <c r="R140">
        <f t="shared" si="61"/>
        <v>0</v>
      </c>
      <c r="S140">
        <f t="shared" si="62"/>
        <v>0</v>
      </c>
      <c r="T140">
        <f t="shared" si="63"/>
        <v>104082.51243465403</v>
      </c>
      <c r="U140">
        <f t="shared" si="64"/>
        <v>0</v>
      </c>
      <c r="V140">
        <f t="shared" si="65"/>
        <v>0</v>
      </c>
      <c r="W140">
        <f t="shared" si="66"/>
        <v>104082.51243465403</v>
      </c>
      <c r="X140" s="44">
        <f t="shared" si="73"/>
        <v>0</v>
      </c>
      <c r="Y140" s="28">
        <f t="shared" si="74"/>
        <v>802.67049035941977</v>
      </c>
      <c r="Z140" s="28">
        <f t="shared" si="75"/>
        <v>103279.8419442946</v>
      </c>
      <c r="AA140">
        <f t="shared" si="76"/>
        <v>0</v>
      </c>
      <c r="AB140" s="28">
        <f t="shared" si="77"/>
        <v>103279.8419442946</v>
      </c>
      <c r="AD140" s="28">
        <f t="shared" si="78"/>
        <v>0</v>
      </c>
      <c r="AE140" s="28">
        <f t="shared" si="79"/>
        <v>103279.8419442946</v>
      </c>
      <c r="AF140" s="51"/>
      <c r="AG140" t="str">
        <f t="shared" si="80"/>
        <v>5304800</v>
      </c>
    </row>
    <row r="141" spans="1:33" x14ac:dyDescent="0.25">
      <c r="A141" s="7" t="s">
        <v>467</v>
      </c>
      <c r="B141" s="2" t="s">
        <v>930</v>
      </c>
      <c r="C141" s="4" t="s">
        <v>929</v>
      </c>
      <c r="D141">
        <f>_xlfn.IFNA(VLOOKUP(A141,'Prior Year data'!$A$1:$T$317,12,FALSE),0)</f>
        <v>317577.37680832011</v>
      </c>
      <c r="E141">
        <f>VLOOKUP(A141,'Basic HH'!$B$1:$Y$321,23,FALSE)</f>
        <v>132460.20662564589</v>
      </c>
      <c r="F141">
        <f>VLOOKUP(A141,'Conc. HH'!$B$1:$Y$321,23,FALSE)</f>
        <v>34820.816646400461</v>
      </c>
      <c r="G141">
        <f>VLOOKUP(A141,'Targeted HH'!$B$1:$Y$321,23,FALSE)</f>
        <v>84001.865883958904</v>
      </c>
      <c r="H141">
        <f>VLOOKUP(A141,'EFIG HH'!$B$1:$Y$321,23,FALSE)</f>
        <v>115820.63659774634</v>
      </c>
      <c r="I141">
        <f t="shared" si="67"/>
        <v>367103.52575375163</v>
      </c>
      <c r="J141">
        <f t="shared" si="68"/>
        <v>317577.37680832011</v>
      </c>
      <c r="K141" s="44">
        <f t="shared" si="69"/>
        <v>341556.19372903521</v>
      </c>
      <c r="L141">
        <f t="shared" si="70"/>
        <v>0</v>
      </c>
      <c r="M141">
        <f t="shared" si="71"/>
        <v>341556.19372903521</v>
      </c>
      <c r="N141">
        <f t="shared" si="72"/>
        <v>324346.22932086064</v>
      </c>
      <c r="O141">
        <f t="shared" si="58"/>
        <v>0</v>
      </c>
      <c r="P141">
        <f t="shared" si="59"/>
        <v>324346.22932086064</v>
      </c>
      <c r="Q141">
        <f t="shared" si="60"/>
        <v>324346.22932086064</v>
      </c>
      <c r="R141">
        <f t="shared" si="61"/>
        <v>0</v>
      </c>
      <c r="S141">
        <f t="shared" si="62"/>
        <v>324346.22932086064</v>
      </c>
      <c r="T141">
        <f t="shared" si="63"/>
        <v>324346.22932086064</v>
      </c>
      <c r="U141">
        <f t="shared" si="64"/>
        <v>0</v>
      </c>
      <c r="V141">
        <f t="shared" si="65"/>
        <v>324346.22932086064</v>
      </c>
      <c r="W141">
        <f t="shared" si="66"/>
        <v>324346.22932086064</v>
      </c>
      <c r="X141" s="44">
        <f t="shared" si="73"/>
        <v>42757.296432890987</v>
      </c>
      <c r="Y141" s="28">
        <f t="shared" si="74"/>
        <v>2501.3149744886773</v>
      </c>
      <c r="Z141" s="28">
        <f t="shared" si="75"/>
        <v>321844.91434637195</v>
      </c>
      <c r="AA141">
        <f t="shared" si="76"/>
        <v>0</v>
      </c>
      <c r="AB141" s="28">
        <f t="shared" si="77"/>
        <v>321844.91434637195</v>
      </c>
      <c r="AD141" s="28">
        <f t="shared" si="78"/>
        <v>0</v>
      </c>
      <c r="AE141" s="28">
        <f t="shared" si="79"/>
        <v>321844.91434637195</v>
      </c>
      <c r="AF141" s="51"/>
      <c r="AG141" t="str">
        <f t="shared" si="80"/>
        <v>5304830</v>
      </c>
    </row>
    <row r="142" spans="1:33" x14ac:dyDescent="0.25">
      <c r="A142" s="7" t="s">
        <v>167</v>
      </c>
      <c r="B142" s="2" t="s">
        <v>932</v>
      </c>
      <c r="C142" s="4" t="s">
        <v>931</v>
      </c>
      <c r="D142">
        <f>_xlfn.IFNA(VLOOKUP(A142,'Prior Year data'!$A$1:$T$317,12,FALSE),0)</f>
        <v>2158514.3641897091</v>
      </c>
      <c r="E142">
        <f>VLOOKUP(A142,'Basic HH'!$B$1:$Y$321,23,FALSE)</f>
        <v>1285896.1617229907</v>
      </c>
      <c r="F142">
        <f>VLOOKUP(A142,'Conc. HH'!$B$1:$Y$321,23,FALSE)</f>
        <v>0</v>
      </c>
      <c r="G142">
        <f>VLOOKUP(A142,'Targeted HH'!$B$1:$Y$321,23,FALSE)</f>
        <v>780798.18304785178</v>
      </c>
      <c r="H142">
        <f>VLOOKUP(A142,'EFIG HH'!$B$1:$Y$321,23,FALSE)</f>
        <v>1076553.974883015</v>
      </c>
      <c r="I142">
        <f t="shared" si="67"/>
        <v>3143248.3196538575</v>
      </c>
      <c r="J142">
        <f t="shared" si="68"/>
        <v>2158514.3641897091</v>
      </c>
      <c r="K142" s="44">
        <f t="shared" si="69"/>
        <v>2924504.5516841803</v>
      </c>
      <c r="L142">
        <f t="shared" si="70"/>
        <v>0</v>
      </c>
      <c r="M142">
        <f t="shared" si="71"/>
        <v>2924504.5516841803</v>
      </c>
      <c r="N142">
        <f t="shared" si="72"/>
        <v>2777147.7765177554</v>
      </c>
      <c r="O142">
        <f t="shared" si="58"/>
        <v>0</v>
      </c>
      <c r="P142">
        <f t="shared" si="59"/>
        <v>2777147.7765177554</v>
      </c>
      <c r="Q142">
        <f t="shared" si="60"/>
        <v>2777147.7765177554</v>
      </c>
      <c r="R142">
        <f t="shared" si="61"/>
        <v>0</v>
      </c>
      <c r="S142">
        <f t="shared" si="62"/>
        <v>2777147.7765177554</v>
      </c>
      <c r="T142">
        <f t="shared" si="63"/>
        <v>2777147.7765177554</v>
      </c>
      <c r="U142">
        <f t="shared" si="64"/>
        <v>0</v>
      </c>
      <c r="V142">
        <f t="shared" si="65"/>
        <v>2777147.7765177554</v>
      </c>
      <c r="W142">
        <f t="shared" si="66"/>
        <v>2777147.7765177554</v>
      </c>
      <c r="X142" s="44">
        <f t="shared" si="73"/>
        <v>366100.54313610215</v>
      </c>
      <c r="Y142" s="28">
        <f t="shared" si="74"/>
        <v>21416.994223478159</v>
      </c>
      <c r="Z142" s="28">
        <f t="shared" si="75"/>
        <v>2755730.7822942771</v>
      </c>
      <c r="AA142">
        <f t="shared" si="76"/>
        <v>0</v>
      </c>
      <c r="AB142" s="28">
        <f t="shared" si="77"/>
        <v>2755730.7822942771</v>
      </c>
      <c r="AD142" s="28">
        <f t="shared" si="78"/>
        <v>0</v>
      </c>
      <c r="AE142" s="28">
        <f t="shared" si="79"/>
        <v>2755730.7822942771</v>
      </c>
      <c r="AF142" s="51"/>
      <c r="AG142" t="str">
        <f t="shared" si="80"/>
        <v>5304860</v>
      </c>
    </row>
    <row r="143" spans="1:33" x14ac:dyDescent="0.25">
      <c r="A143" s="7" t="s">
        <v>469</v>
      </c>
      <c r="B143" s="2" t="s">
        <v>934</v>
      </c>
      <c r="C143" s="4" t="s">
        <v>933</v>
      </c>
      <c r="D143">
        <f>_xlfn.IFNA(VLOOKUP(A143,'Prior Year data'!$A$1:$T$317,12,FALSE),0)</f>
        <v>111241.8183185454</v>
      </c>
      <c r="E143">
        <f>VLOOKUP(A143,'Basic HH'!$B$1:$Y$321,23,FALSE)</f>
        <v>63649.709677258419</v>
      </c>
      <c r="F143">
        <f>VLOOKUP(A143,'Conc. HH'!$B$1:$Y$321,23,FALSE)</f>
        <v>0</v>
      </c>
      <c r="G143">
        <f>VLOOKUP(A143,'Targeted HH'!$B$1:$Y$321,23,FALSE)</f>
        <v>30458.126275983675</v>
      </c>
      <c r="H143">
        <f>VLOOKUP(A143,'EFIG HH'!$B$1:$Y$321,23,FALSE)</f>
        <v>41995.252578462358</v>
      </c>
      <c r="I143">
        <f t="shared" si="67"/>
        <v>136103.08853170444</v>
      </c>
      <c r="J143">
        <f t="shared" si="68"/>
        <v>111241.8183185454</v>
      </c>
      <c r="K143" s="44">
        <f t="shared" si="69"/>
        <v>126631.45301643782</v>
      </c>
      <c r="L143">
        <f t="shared" si="70"/>
        <v>0</v>
      </c>
      <c r="M143">
        <f t="shared" si="71"/>
        <v>126631.45301643782</v>
      </c>
      <c r="N143">
        <f t="shared" si="72"/>
        <v>120250.88419824436</v>
      </c>
      <c r="O143">
        <f t="shared" si="58"/>
        <v>0</v>
      </c>
      <c r="P143">
        <f t="shared" si="59"/>
        <v>120250.88419824436</v>
      </c>
      <c r="Q143">
        <f t="shared" si="60"/>
        <v>120250.88419824436</v>
      </c>
      <c r="R143">
        <f t="shared" si="61"/>
        <v>0</v>
      </c>
      <c r="S143">
        <f t="shared" si="62"/>
        <v>120250.88419824436</v>
      </c>
      <c r="T143">
        <f t="shared" si="63"/>
        <v>120250.88419824436</v>
      </c>
      <c r="U143">
        <f t="shared" si="64"/>
        <v>0</v>
      </c>
      <c r="V143">
        <f t="shared" si="65"/>
        <v>120250.88419824436</v>
      </c>
      <c r="W143">
        <f t="shared" si="66"/>
        <v>120250.88419824436</v>
      </c>
      <c r="X143" s="44">
        <f t="shared" si="73"/>
        <v>15852.204333460089</v>
      </c>
      <c r="Y143" s="28">
        <f t="shared" si="74"/>
        <v>927.35882260872381</v>
      </c>
      <c r="Z143" s="28">
        <f t="shared" si="75"/>
        <v>119323.52537563563</v>
      </c>
      <c r="AA143">
        <f t="shared" si="76"/>
        <v>0</v>
      </c>
      <c r="AB143" s="28">
        <f t="shared" si="77"/>
        <v>119323.52537563563</v>
      </c>
      <c r="AD143" s="28">
        <f t="shared" si="78"/>
        <v>0</v>
      </c>
      <c r="AE143" s="28">
        <f t="shared" si="79"/>
        <v>119323.52537563563</v>
      </c>
      <c r="AF143" s="51"/>
      <c r="AG143" t="str">
        <f t="shared" si="80"/>
        <v>5304890</v>
      </c>
    </row>
    <row r="144" spans="1:33" x14ac:dyDescent="0.25">
      <c r="A144" s="7" t="s">
        <v>169</v>
      </c>
      <c r="B144" s="2" t="s">
        <v>936</v>
      </c>
      <c r="C144" s="4" t="s">
        <v>935</v>
      </c>
      <c r="D144">
        <f>_xlfn.IFNA(VLOOKUP(A144,'Prior Year data'!$A$1:$T$317,12,FALSE),0)</f>
        <v>1775309.173538022</v>
      </c>
      <c r="E144">
        <f>VLOOKUP(A144,'Basic HH'!$B$1:$Y$321,23,FALSE)</f>
        <v>886795.27942234371</v>
      </c>
      <c r="F144">
        <f>VLOOKUP(A144,'Conc. HH'!$B$1:$Y$321,23,FALSE)</f>
        <v>0</v>
      </c>
      <c r="G144">
        <f>VLOOKUP(A144,'Targeted HH'!$B$1:$Y$321,23,FALSE)</f>
        <v>494327.1575331944</v>
      </c>
      <c r="H144">
        <f>VLOOKUP(A144,'EFIG HH'!$B$1:$Y$321,23,FALSE)</f>
        <v>681571.59928017959</v>
      </c>
      <c r="I144">
        <f t="shared" si="67"/>
        <v>2062694.0362357176</v>
      </c>
      <c r="J144">
        <f t="shared" si="68"/>
        <v>1775309.173538022</v>
      </c>
      <c r="K144" s="44">
        <f t="shared" si="69"/>
        <v>1919147.8000591018</v>
      </c>
      <c r="L144">
        <f t="shared" si="70"/>
        <v>0</v>
      </c>
      <c r="M144">
        <f t="shared" si="71"/>
        <v>1919147.8000591018</v>
      </c>
      <c r="N144">
        <f t="shared" si="72"/>
        <v>1822447.854517356</v>
      </c>
      <c r="O144">
        <f t="shared" si="58"/>
        <v>0</v>
      </c>
      <c r="P144">
        <f t="shared" si="59"/>
        <v>1822447.854517356</v>
      </c>
      <c r="Q144">
        <f t="shared" si="60"/>
        <v>1822447.854517356</v>
      </c>
      <c r="R144">
        <f t="shared" si="61"/>
        <v>0</v>
      </c>
      <c r="S144">
        <f t="shared" si="62"/>
        <v>1822447.854517356</v>
      </c>
      <c r="T144">
        <f t="shared" si="63"/>
        <v>1822447.854517356</v>
      </c>
      <c r="U144">
        <f t="shared" si="64"/>
        <v>0</v>
      </c>
      <c r="V144">
        <f t="shared" si="65"/>
        <v>1822447.854517356</v>
      </c>
      <c r="W144">
        <f t="shared" si="66"/>
        <v>1822447.854517356</v>
      </c>
      <c r="X144" s="44">
        <f t="shared" si="73"/>
        <v>240246.18171836156</v>
      </c>
      <c r="Y144" s="28">
        <f t="shared" si="74"/>
        <v>14054.475423605114</v>
      </c>
      <c r="Z144" s="28">
        <f t="shared" si="75"/>
        <v>1808393.3790937508</v>
      </c>
      <c r="AA144">
        <f t="shared" si="76"/>
        <v>0</v>
      </c>
      <c r="AB144" s="28">
        <f t="shared" si="77"/>
        <v>1808393.3790937508</v>
      </c>
      <c r="AD144" s="28">
        <f t="shared" si="78"/>
        <v>0</v>
      </c>
      <c r="AE144" s="28">
        <f t="shared" si="79"/>
        <v>1808393.3790937508</v>
      </c>
      <c r="AF144" s="51"/>
      <c r="AG144" t="str">
        <f t="shared" si="80"/>
        <v>5304920</v>
      </c>
    </row>
    <row r="145" spans="1:33" x14ac:dyDescent="0.25">
      <c r="A145" s="7" t="s">
        <v>171</v>
      </c>
      <c r="B145" s="2" t="s">
        <v>938</v>
      </c>
      <c r="C145" s="4" t="s">
        <v>937</v>
      </c>
      <c r="D145">
        <f>_xlfn.IFNA(VLOOKUP(A145,'Prior Year data'!$A$1:$T$317,12,FALSE),0)</f>
        <v>324973.46141296631</v>
      </c>
      <c r="E145">
        <f>VLOOKUP(A145,'Basic HH'!$B$1:$Y$321,23,FALSE)</f>
        <v>181487.68570137196</v>
      </c>
      <c r="F145">
        <f>VLOOKUP(A145,'Conc. HH'!$B$1:$Y$321,23,FALSE)</f>
        <v>0</v>
      </c>
      <c r="G145">
        <f>VLOOKUP(A145,'Targeted HH'!$B$1:$Y$321,23,FALSE)</f>
        <v>86846.819516656164</v>
      </c>
      <c r="H145">
        <f>VLOOKUP(A145,'EFIG HH'!$B$1:$Y$321,23,FALSE)</f>
        <v>119743.22018993997</v>
      </c>
      <c r="I145">
        <f t="shared" si="67"/>
        <v>388077.72540796804</v>
      </c>
      <c r="J145">
        <f t="shared" si="68"/>
        <v>324973.46141296631</v>
      </c>
      <c r="K145" s="44">
        <f t="shared" si="69"/>
        <v>361070.7646820051</v>
      </c>
      <c r="L145">
        <f t="shared" si="70"/>
        <v>0</v>
      </c>
      <c r="M145">
        <f t="shared" si="71"/>
        <v>361070.7646820051</v>
      </c>
      <c r="N145">
        <f t="shared" si="72"/>
        <v>342877.52115985891</v>
      </c>
      <c r="O145">
        <f t="shared" ref="O145:O208" si="81">IF(L145=0,IF(N145&lt;J145,MIN(I145,J145)-N145,0),0)</f>
        <v>0</v>
      </c>
      <c r="P145">
        <f t="shared" ref="P145:P208" si="82">IF(O145+L145=0,N145,0)</f>
        <v>342877.52115985891</v>
      </c>
      <c r="Q145">
        <f t="shared" ref="Q145:Q208" si="83">IF(J145&gt;0,N145,IF(O145&gt;0,O145+N145,P145-(P145/$P$3*$O$3)))</f>
        <v>342877.52115985891</v>
      </c>
      <c r="R145">
        <f t="shared" ref="R145:R208" si="84">IF(O145=0, IF(Q145&lt;J145,MIN(I145,J145)-Q145,0),0)</f>
        <v>0</v>
      </c>
      <c r="S145">
        <f t="shared" ref="S145:S208" si="85">IF(L145+O145+R145=0,N145,0)</f>
        <v>342877.52115985891</v>
      </c>
      <c r="T145">
        <f t="shared" ref="T145:T208" si="86">IF(J145&gt;0,Q145,IF(R145&gt;0,Q145+N145,S145-(S145/$S$3*$R$3)))</f>
        <v>342877.52115985891</v>
      </c>
      <c r="U145">
        <f t="shared" ref="U145:U208" si="87">IF(R145=0,IF(T145&lt;J145,MIN(I145,J145)-T145,0),0)</f>
        <v>0</v>
      </c>
      <c r="V145">
        <f t="shared" ref="V145:V208" si="88">IF(U145+R145+O145+L145=0,T145,0)</f>
        <v>342877.52115985891</v>
      </c>
      <c r="W145">
        <f t="shared" ref="W145:W208" si="89">IF(J145&gt;0,T145,IF(T145&gt;0,U145+T145,U145-(U145/$U$3*$T$3)))</f>
        <v>342877.52115985891</v>
      </c>
      <c r="X145" s="44">
        <f t="shared" si="73"/>
        <v>45200.204248109134</v>
      </c>
      <c r="Y145" s="28">
        <f t="shared" si="74"/>
        <v>2644.2258320329825</v>
      </c>
      <c r="Z145" s="28">
        <f t="shared" si="75"/>
        <v>340233.29532782594</v>
      </c>
      <c r="AA145">
        <f t="shared" si="76"/>
        <v>0</v>
      </c>
      <c r="AB145" s="28">
        <f t="shared" si="77"/>
        <v>340233.29532782594</v>
      </c>
      <c r="AD145" s="28">
        <f t="shared" si="78"/>
        <v>0</v>
      </c>
      <c r="AE145" s="28">
        <f t="shared" si="79"/>
        <v>340233.29532782594</v>
      </c>
      <c r="AF145" s="51"/>
      <c r="AG145" t="str">
        <f t="shared" si="80"/>
        <v>5304950</v>
      </c>
    </row>
    <row r="146" spans="1:33" x14ac:dyDescent="0.25">
      <c r="A146" s="7" t="s">
        <v>173</v>
      </c>
      <c r="B146" s="2" t="s">
        <v>940</v>
      </c>
      <c r="C146" s="4" t="s">
        <v>939</v>
      </c>
      <c r="D146">
        <f>_xlfn.IFNA(VLOOKUP(A146,'Prior Year data'!$A$1:$T$317,12,FALSE),0)</f>
        <v>131323.65530879228</v>
      </c>
      <c r="E146">
        <f>VLOOKUP(A146,'Basic HH'!$B$1:$Y$321,23,FALSE)</f>
        <v>126358.38650441123</v>
      </c>
      <c r="F146">
        <f>VLOOKUP(A146,'Conc. HH'!$B$1:$Y$321,23,FALSE)</f>
        <v>0</v>
      </c>
      <c r="G146">
        <f>VLOOKUP(A146,'Targeted HH'!$B$1:$Y$321,23,FALSE)</f>
        <v>0</v>
      </c>
      <c r="H146">
        <f>VLOOKUP(A146,'EFIG HH'!$B$1:$Y$321,23,FALSE)</f>
        <v>0</v>
      </c>
      <c r="I146">
        <f t="shared" si="67"/>
        <v>126358.38650441123</v>
      </c>
      <c r="J146">
        <f t="shared" si="68"/>
        <v>131323.65530879228</v>
      </c>
      <c r="K146" s="44">
        <f t="shared" si="69"/>
        <v>117564.90066820866</v>
      </c>
      <c r="L146">
        <f t="shared" si="70"/>
        <v>8793.4858362025698</v>
      </c>
      <c r="M146">
        <f t="shared" si="71"/>
        <v>0</v>
      </c>
      <c r="N146">
        <f t="shared" si="72"/>
        <v>126358.38650441123</v>
      </c>
      <c r="O146">
        <f t="shared" si="81"/>
        <v>0</v>
      </c>
      <c r="P146">
        <f t="shared" si="82"/>
        <v>0</v>
      </c>
      <c r="Q146">
        <f t="shared" si="83"/>
        <v>126358.38650441123</v>
      </c>
      <c r="R146">
        <f t="shared" si="84"/>
        <v>0</v>
      </c>
      <c r="S146">
        <f t="shared" si="85"/>
        <v>0</v>
      </c>
      <c r="T146">
        <f t="shared" si="86"/>
        <v>126358.38650441123</v>
      </c>
      <c r="U146">
        <f t="shared" si="87"/>
        <v>0</v>
      </c>
      <c r="V146">
        <f t="shared" si="88"/>
        <v>0</v>
      </c>
      <c r="W146">
        <f t="shared" si="89"/>
        <v>126358.38650441123</v>
      </c>
      <c r="X146" s="44">
        <f t="shared" si="73"/>
        <v>0</v>
      </c>
      <c r="Y146" s="28">
        <f t="shared" si="74"/>
        <v>974.45906794571124</v>
      </c>
      <c r="Z146" s="28">
        <f t="shared" si="75"/>
        <v>125383.92743646551</v>
      </c>
      <c r="AA146">
        <f t="shared" si="76"/>
        <v>0</v>
      </c>
      <c r="AB146" s="28">
        <f t="shared" si="77"/>
        <v>125383.92743646551</v>
      </c>
      <c r="AD146" s="28">
        <f t="shared" si="78"/>
        <v>0</v>
      </c>
      <c r="AE146" s="28">
        <f t="shared" si="79"/>
        <v>125383.92743646551</v>
      </c>
      <c r="AF146" s="51"/>
      <c r="AG146" t="str">
        <f t="shared" si="80"/>
        <v>5304980</v>
      </c>
    </row>
    <row r="147" spans="1:33" x14ac:dyDescent="0.25">
      <c r="A147" s="7" t="s">
        <v>175</v>
      </c>
      <c r="B147" s="2" t="s">
        <v>942</v>
      </c>
      <c r="C147" s="4" t="s">
        <v>941</v>
      </c>
      <c r="D147">
        <f>_xlfn.IFNA(VLOOKUP(A147,'Prior Year data'!$A$1:$T$317,12,FALSE),0)</f>
        <v>366312.13895083132</v>
      </c>
      <c r="E147">
        <f>VLOOKUP(A147,'Basic HH'!$B$1:$Y$321,23,FALSE)</f>
        <v>176326.89843024293</v>
      </c>
      <c r="F147">
        <f>VLOOKUP(A147,'Conc. HH'!$B$1:$Y$321,23,FALSE)</f>
        <v>0</v>
      </c>
      <c r="G147">
        <f>VLOOKUP(A147,'Targeted HH'!$B$1:$Y$321,23,FALSE)</f>
        <v>84377.241710495291</v>
      </c>
      <c r="H147">
        <f>VLOOKUP(A147,'EFIG HH'!$B$1:$Y$321,23,FALSE)</f>
        <v>116338.19971060519</v>
      </c>
      <c r="I147">
        <f t="shared" si="67"/>
        <v>377042.33985134342</v>
      </c>
      <c r="J147">
        <f t="shared" si="68"/>
        <v>366312.13895083132</v>
      </c>
      <c r="K147" s="44">
        <f t="shared" si="69"/>
        <v>350803.34957256424</v>
      </c>
      <c r="L147">
        <f t="shared" si="70"/>
        <v>15508.789378267073</v>
      </c>
      <c r="M147">
        <f t="shared" si="71"/>
        <v>0</v>
      </c>
      <c r="N147">
        <f t="shared" si="72"/>
        <v>366312.13895083132</v>
      </c>
      <c r="O147">
        <f t="shared" si="81"/>
        <v>0</v>
      </c>
      <c r="P147">
        <f t="shared" si="82"/>
        <v>0</v>
      </c>
      <c r="Q147">
        <f t="shared" si="83"/>
        <v>366312.13895083132</v>
      </c>
      <c r="R147">
        <f t="shared" si="84"/>
        <v>0</v>
      </c>
      <c r="S147">
        <f t="shared" si="85"/>
        <v>0</v>
      </c>
      <c r="T147">
        <f t="shared" si="86"/>
        <v>366312.13895083132</v>
      </c>
      <c r="U147">
        <f t="shared" si="87"/>
        <v>0</v>
      </c>
      <c r="V147">
        <f t="shared" si="88"/>
        <v>0</v>
      </c>
      <c r="W147">
        <f t="shared" si="89"/>
        <v>366312.13895083132</v>
      </c>
      <c r="X147" s="44">
        <f t="shared" si="73"/>
        <v>10730.200900512107</v>
      </c>
      <c r="Y147" s="28">
        <f t="shared" si="74"/>
        <v>2824.9504870558426</v>
      </c>
      <c r="Z147" s="28">
        <f t="shared" si="75"/>
        <v>363487.1884637755</v>
      </c>
      <c r="AA147">
        <f t="shared" si="76"/>
        <v>0</v>
      </c>
      <c r="AB147" s="28">
        <f t="shared" si="77"/>
        <v>363487.1884637755</v>
      </c>
      <c r="AD147" s="28">
        <f t="shared" si="78"/>
        <v>0</v>
      </c>
      <c r="AE147" s="28">
        <f t="shared" si="79"/>
        <v>363487.1884637755</v>
      </c>
      <c r="AF147" s="51"/>
      <c r="AG147" t="str">
        <f t="shared" si="80"/>
        <v>5305010</v>
      </c>
    </row>
    <row r="148" spans="1:33" x14ac:dyDescent="0.25">
      <c r="A148" s="7" t="s">
        <v>471</v>
      </c>
      <c r="B148" s="2" t="s">
        <v>944</v>
      </c>
      <c r="C148" s="4" t="s">
        <v>943</v>
      </c>
      <c r="D148">
        <f>_xlfn.IFNA(VLOOKUP(A148,'Prior Year data'!$A$1:$T$317,12,FALSE),0)</f>
        <v>198763.93173588227</v>
      </c>
      <c r="E148">
        <f>VLOOKUP(A148,'Basic HH'!$B$1:$Y$321,23,FALSE)</f>
        <v>71150.931113684783</v>
      </c>
      <c r="F148">
        <f>VLOOKUP(A148,'Conc. HH'!$B$1:$Y$321,23,FALSE)</f>
        <v>18499.812526317153</v>
      </c>
      <c r="G148">
        <f>VLOOKUP(A148,'Targeted HH'!$B$1:$Y$321,23,FALSE)</f>
        <v>34128.880920257703</v>
      </c>
      <c r="H148">
        <f>VLOOKUP(A148,'EFIG HH'!$B$1:$Y$321,23,FALSE)</f>
        <v>46491.291797766848</v>
      </c>
      <c r="I148">
        <f t="shared" si="67"/>
        <v>170270.91635802647</v>
      </c>
      <c r="J148">
        <f t="shared" si="68"/>
        <v>198763.93173588227</v>
      </c>
      <c r="K148" s="44">
        <f t="shared" si="69"/>
        <v>158421.48607696421</v>
      </c>
      <c r="L148">
        <f t="shared" si="70"/>
        <v>11849.430281062261</v>
      </c>
      <c r="M148">
        <f t="shared" si="71"/>
        <v>0</v>
      </c>
      <c r="N148">
        <f t="shared" si="72"/>
        <v>170270.91635802647</v>
      </c>
      <c r="O148">
        <f t="shared" si="81"/>
        <v>0</v>
      </c>
      <c r="P148">
        <f t="shared" si="82"/>
        <v>0</v>
      </c>
      <c r="Q148">
        <f t="shared" si="83"/>
        <v>170270.91635802647</v>
      </c>
      <c r="R148">
        <f t="shared" si="84"/>
        <v>0</v>
      </c>
      <c r="S148">
        <f t="shared" si="85"/>
        <v>0</v>
      </c>
      <c r="T148">
        <f t="shared" si="86"/>
        <v>170270.91635802647</v>
      </c>
      <c r="U148">
        <f t="shared" si="87"/>
        <v>0</v>
      </c>
      <c r="V148">
        <f t="shared" si="88"/>
        <v>0</v>
      </c>
      <c r="W148">
        <f t="shared" si="89"/>
        <v>170270.91635802647</v>
      </c>
      <c r="X148" s="44">
        <f t="shared" si="73"/>
        <v>0</v>
      </c>
      <c r="Y148" s="28">
        <f t="shared" si="74"/>
        <v>1313.1066567292089</v>
      </c>
      <c r="Z148" s="28">
        <f t="shared" si="75"/>
        <v>168957.80970129726</v>
      </c>
      <c r="AA148">
        <f t="shared" si="76"/>
        <v>0</v>
      </c>
      <c r="AB148" s="28">
        <f t="shared" si="77"/>
        <v>168957.80970129726</v>
      </c>
      <c r="AD148" s="28">
        <f t="shared" si="78"/>
        <v>0</v>
      </c>
      <c r="AE148" s="28">
        <f t="shared" si="79"/>
        <v>168957.80970129726</v>
      </c>
      <c r="AF148" s="51"/>
      <c r="AG148" t="str">
        <f t="shared" si="80"/>
        <v>5305020</v>
      </c>
    </row>
    <row r="149" spans="1:33" x14ac:dyDescent="0.25">
      <c r="A149" s="7" t="s">
        <v>473</v>
      </c>
      <c r="B149" s="2" t="s">
        <v>946</v>
      </c>
      <c r="C149" s="4" t="s">
        <v>945</v>
      </c>
      <c r="D149">
        <f>_xlfn.IFNA(VLOOKUP(A149,'Prior Year data'!$A$1:$T$317,12,FALSE),0)</f>
        <v>21001.451903862704</v>
      </c>
      <c r="E149">
        <f>VLOOKUP(A149,'Basic HH'!$B$1:$Y$321,23,FALSE)</f>
        <v>15482.361813387182</v>
      </c>
      <c r="F149">
        <f>VLOOKUP(A149,'Conc. HH'!$B$1:$Y$321,23,FALSE)</f>
        <v>4069.9655820468079</v>
      </c>
      <c r="G149">
        <f>VLOOKUP(A149,'Targeted HH'!$B$1:$Y$321,23,FALSE)</f>
        <v>9912.0827011426081</v>
      </c>
      <c r="H149">
        <f>VLOOKUP(A149,'EFIG HH'!$B$1:$Y$321,23,FALSE)</f>
        <v>13666.645572394049</v>
      </c>
      <c r="I149">
        <f t="shared" si="67"/>
        <v>43131.055668970643</v>
      </c>
      <c r="J149">
        <f t="shared" si="68"/>
        <v>21001.451903862704</v>
      </c>
      <c r="K149" s="44">
        <f t="shared" si="69"/>
        <v>40129.495284909251</v>
      </c>
      <c r="L149">
        <f t="shared" si="70"/>
        <v>0</v>
      </c>
      <c r="M149">
        <f t="shared" si="71"/>
        <v>40129.495284909251</v>
      </c>
      <c r="N149">
        <f t="shared" si="72"/>
        <v>38107.493639934866</v>
      </c>
      <c r="O149">
        <f t="shared" si="81"/>
        <v>0</v>
      </c>
      <c r="P149">
        <f t="shared" si="82"/>
        <v>38107.493639934866</v>
      </c>
      <c r="Q149">
        <f t="shared" si="83"/>
        <v>38107.493639934866</v>
      </c>
      <c r="R149">
        <f t="shared" si="84"/>
        <v>0</v>
      </c>
      <c r="S149">
        <f t="shared" si="85"/>
        <v>38107.493639934866</v>
      </c>
      <c r="T149">
        <f t="shared" si="86"/>
        <v>38107.493639934866</v>
      </c>
      <c r="U149">
        <f t="shared" si="87"/>
        <v>0</v>
      </c>
      <c r="V149">
        <f t="shared" si="88"/>
        <v>38107.493639934866</v>
      </c>
      <c r="W149">
        <f t="shared" si="89"/>
        <v>38107.493639934866</v>
      </c>
      <c r="X149" s="44">
        <f t="shared" si="73"/>
        <v>5023.5620290357765</v>
      </c>
      <c r="Y149" s="28">
        <f t="shared" si="74"/>
        <v>293.87992171632925</v>
      </c>
      <c r="Z149" s="28">
        <f t="shared" si="75"/>
        <v>37813.613718218534</v>
      </c>
      <c r="AA149">
        <f t="shared" si="76"/>
        <v>0</v>
      </c>
      <c r="AB149" s="28">
        <f t="shared" si="77"/>
        <v>37813.613718218534</v>
      </c>
      <c r="AD149" s="28">
        <f t="shared" si="78"/>
        <v>0</v>
      </c>
      <c r="AE149" s="28">
        <f t="shared" si="79"/>
        <v>37813.613718218534</v>
      </c>
      <c r="AF149" s="51"/>
      <c r="AG149" t="str">
        <f t="shared" si="80"/>
        <v>5305040</v>
      </c>
    </row>
    <row r="150" spans="1:33" x14ac:dyDescent="0.25">
      <c r="A150" s="7" t="s">
        <v>177</v>
      </c>
      <c r="B150" s="2" t="s">
        <v>948</v>
      </c>
      <c r="C150" s="4" t="s">
        <v>947</v>
      </c>
      <c r="D150">
        <f>_xlfn.IFNA(VLOOKUP(A150,'Prior Year data'!$A$1:$T$317,12,FALSE),0)</f>
        <v>627963.66677285358</v>
      </c>
      <c r="E150">
        <f>VLOOKUP(A150,'Basic HH'!$B$1:$Y$321,23,FALSE)</f>
        <v>378457.73321613105</v>
      </c>
      <c r="F150">
        <f>VLOOKUP(A150,'Conc. HH'!$B$1:$Y$321,23,FALSE)</f>
        <v>0</v>
      </c>
      <c r="G150">
        <f>VLOOKUP(A150,'Targeted HH'!$B$1:$Y$321,23,FALSE)</f>
        <v>181102.37245179489</v>
      </c>
      <c r="H150">
        <f>VLOOKUP(A150,'EFIG HH'!$B$1:$Y$321,23,FALSE)</f>
        <v>249701.50181788442</v>
      </c>
      <c r="I150">
        <f t="shared" si="67"/>
        <v>809261.60748581029</v>
      </c>
      <c r="J150">
        <f t="shared" si="68"/>
        <v>627963.66677285358</v>
      </c>
      <c r="K150" s="44">
        <f t="shared" si="69"/>
        <v>752943.77469233307</v>
      </c>
      <c r="L150">
        <f t="shared" si="70"/>
        <v>0</v>
      </c>
      <c r="M150">
        <f t="shared" si="71"/>
        <v>752943.77469233307</v>
      </c>
      <c r="N150">
        <f t="shared" si="72"/>
        <v>715005.25739496655</v>
      </c>
      <c r="O150">
        <f t="shared" si="81"/>
        <v>0</v>
      </c>
      <c r="P150">
        <f t="shared" si="82"/>
        <v>715005.25739496655</v>
      </c>
      <c r="Q150">
        <f t="shared" si="83"/>
        <v>715005.25739496655</v>
      </c>
      <c r="R150">
        <f t="shared" si="84"/>
        <v>0</v>
      </c>
      <c r="S150">
        <f t="shared" si="85"/>
        <v>715005.25739496655</v>
      </c>
      <c r="T150">
        <f t="shared" si="86"/>
        <v>715005.25739496655</v>
      </c>
      <c r="U150">
        <f t="shared" si="87"/>
        <v>0</v>
      </c>
      <c r="V150">
        <f t="shared" si="88"/>
        <v>715005.25739496655</v>
      </c>
      <c r="W150">
        <f t="shared" si="89"/>
        <v>715005.25739496655</v>
      </c>
      <c r="X150" s="44">
        <f t="shared" si="73"/>
        <v>94256.350090843742</v>
      </c>
      <c r="Y150" s="28">
        <f t="shared" si="74"/>
        <v>5514.0254317275476</v>
      </c>
      <c r="Z150" s="28">
        <f t="shared" si="75"/>
        <v>709491.23196323903</v>
      </c>
      <c r="AA150">
        <f t="shared" si="76"/>
        <v>0</v>
      </c>
      <c r="AB150" s="28">
        <f t="shared" si="77"/>
        <v>709491.23196323903</v>
      </c>
      <c r="AD150" s="28">
        <f t="shared" si="78"/>
        <v>0</v>
      </c>
      <c r="AE150" s="28">
        <f t="shared" si="79"/>
        <v>709491.23196323903</v>
      </c>
      <c r="AF150" s="51"/>
      <c r="AG150" t="str">
        <f t="shared" si="80"/>
        <v>5305130</v>
      </c>
    </row>
    <row r="151" spans="1:33" x14ac:dyDescent="0.25">
      <c r="A151" s="7" t="s">
        <v>475</v>
      </c>
      <c r="B151" s="2" t="s">
        <v>950</v>
      </c>
      <c r="C151" s="4" t="s">
        <v>949</v>
      </c>
      <c r="D151">
        <f>_xlfn.IFNA(VLOOKUP(A151,'Prior Year data'!$A$1:$T$317,12,FALSE),0)</f>
        <v>317565.72548368166</v>
      </c>
      <c r="E151">
        <f>VLOOKUP(A151,'Basic HH'!$B$1:$Y$321,23,FALSE)</f>
        <v>183207.9481250816</v>
      </c>
      <c r="F151">
        <f>VLOOKUP(A151,'Conc. HH'!$B$1:$Y$321,23,FALSE)</f>
        <v>48161.259387553895</v>
      </c>
      <c r="G151">
        <f>VLOOKUP(A151,'Targeted HH'!$B$1:$Y$321,23,FALSE)</f>
        <v>89263.754155915682</v>
      </c>
      <c r="H151">
        <f>VLOOKUP(A151,'EFIG HH'!$B$1:$Y$321,23,FALSE)</f>
        <v>123075.65698272365</v>
      </c>
      <c r="I151">
        <f t="shared" si="67"/>
        <v>443708.61865127482</v>
      </c>
      <c r="J151">
        <f t="shared" si="68"/>
        <v>317565.72548368166</v>
      </c>
      <c r="K151" s="44">
        <f t="shared" si="69"/>
        <v>412830.21349393466</v>
      </c>
      <c r="L151">
        <f t="shared" si="70"/>
        <v>0</v>
      </c>
      <c r="M151">
        <f t="shared" si="71"/>
        <v>412830.21349393466</v>
      </c>
      <c r="N151">
        <f t="shared" si="72"/>
        <v>392028.97079568007</v>
      </c>
      <c r="O151">
        <f t="shared" si="81"/>
        <v>0</v>
      </c>
      <c r="P151">
        <f t="shared" si="82"/>
        <v>392028.97079568007</v>
      </c>
      <c r="Q151">
        <f t="shared" si="83"/>
        <v>392028.97079568007</v>
      </c>
      <c r="R151">
        <f t="shared" si="84"/>
        <v>0</v>
      </c>
      <c r="S151">
        <f t="shared" si="85"/>
        <v>392028.97079568007</v>
      </c>
      <c r="T151">
        <f t="shared" si="86"/>
        <v>392028.97079568007</v>
      </c>
      <c r="U151">
        <f t="shared" si="87"/>
        <v>0</v>
      </c>
      <c r="V151">
        <f t="shared" si="88"/>
        <v>392028.97079568007</v>
      </c>
      <c r="W151">
        <f t="shared" si="89"/>
        <v>392028.97079568007</v>
      </c>
      <c r="X151" s="44">
        <f t="shared" si="73"/>
        <v>51679.647855594754</v>
      </c>
      <c r="Y151" s="28">
        <f t="shared" si="74"/>
        <v>3023.2752732715408</v>
      </c>
      <c r="Z151" s="28">
        <f t="shared" si="75"/>
        <v>389005.69552240852</v>
      </c>
      <c r="AA151">
        <f t="shared" si="76"/>
        <v>0</v>
      </c>
      <c r="AB151" s="28">
        <f t="shared" si="77"/>
        <v>389005.69552240852</v>
      </c>
      <c r="AD151" s="28">
        <f t="shared" si="78"/>
        <v>0</v>
      </c>
      <c r="AE151" s="28">
        <f t="shared" si="79"/>
        <v>389005.69552240852</v>
      </c>
      <c r="AF151" s="51"/>
      <c r="AG151" t="str">
        <f t="shared" si="80"/>
        <v>5305160</v>
      </c>
    </row>
    <row r="152" spans="1:33" x14ac:dyDescent="0.25">
      <c r="A152" s="7" t="s">
        <v>477</v>
      </c>
      <c r="B152" s="2" t="s">
        <v>952</v>
      </c>
      <c r="C152" s="4" t="s">
        <v>951</v>
      </c>
      <c r="D152">
        <f>_xlfn.IFNA(VLOOKUP(A152,'Prior Year data'!$A$1:$T$317,12,FALSE),0)</f>
        <v>122741.68214140892</v>
      </c>
      <c r="E152">
        <f>VLOOKUP(A152,'Basic HH'!$B$1:$Y$321,23,FALSE)</f>
        <v>45324.203854843152</v>
      </c>
      <c r="F152">
        <f>VLOOKUP(A152,'Conc. HH'!$B$1:$Y$321,23,FALSE)</f>
        <v>11870.659825955108</v>
      </c>
      <c r="G152">
        <f>VLOOKUP(A152,'Targeted HH'!$B$1:$Y$321,23,FALSE)</f>
        <v>25605.606656467629</v>
      </c>
      <c r="H152">
        <f>VLOOKUP(A152,'EFIG HH'!$B$1:$Y$321,23,FALSE)</f>
        <v>35308.432974070725</v>
      </c>
      <c r="I152">
        <f t="shared" si="67"/>
        <v>118108.90331133662</v>
      </c>
      <c r="J152">
        <f t="shared" si="68"/>
        <v>122741.68214140892</v>
      </c>
      <c r="K152" s="44">
        <f t="shared" si="69"/>
        <v>109889.51244121499</v>
      </c>
      <c r="L152">
        <f t="shared" si="70"/>
        <v>8219.3908701216278</v>
      </c>
      <c r="M152">
        <f t="shared" si="71"/>
        <v>0</v>
      </c>
      <c r="N152">
        <f t="shared" si="72"/>
        <v>118108.90331133662</v>
      </c>
      <c r="O152">
        <f t="shared" si="81"/>
        <v>0</v>
      </c>
      <c r="P152">
        <f t="shared" si="82"/>
        <v>0</v>
      </c>
      <c r="Q152">
        <f t="shared" si="83"/>
        <v>118108.90331133662</v>
      </c>
      <c r="R152">
        <f t="shared" si="84"/>
        <v>0</v>
      </c>
      <c r="S152">
        <f t="shared" si="85"/>
        <v>0</v>
      </c>
      <c r="T152">
        <f t="shared" si="86"/>
        <v>118108.90331133662</v>
      </c>
      <c r="U152">
        <f t="shared" si="87"/>
        <v>0</v>
      </c>
      <c r="V152">
        <f t="shared" si="88"/>
        <v>0</v>
      </c>
      <c r="W152">
        <f t="shared" si="89"/>
        <v>118108.90331133662</v>
      </c>
      <c r="X152" s="44">
        <f t="shared" si="73"/>
        <v>0</v>
      </c>
      <c r="Y152" s="28">
        <f t="shared" si="74"/>
        <v>910.84015094508402</v>
      </c>
      <c r="Z152" s="28">
        <f t="shared" si="75"/>
        <v>117198.06316039154</v>
      </c>
      <c r="AA152">
        <f t="shared" si="76"/>
        <v>0</v>
      </c>
      <c r="AB152" s="28">
        <f t="shared" si="77"/>
        <v>117198.06316039154</v>
      </c>
      <c r="AD152" s="28">
        <f t="shared" si="78"/>
        <v>0</v>
      </c>
      <c r="AE152" s="28">
        <f t="shared" si="79"/>
        <v>117198.06316039154</v>
      </c>
      <c r="AF152" s="51"/>
      <c r="AG152" t="str">
        <f t="shared" si="80"/>
        <v>5305190</v>
      </c>
    </row>
    <row r="153" spans="1:33" x14ac:dyDescent="0.25">
      <c r="A153" s="7" t="s">
        <v>479</v>
      </c>
      <c r="B153" s="2" t="s">
        <v>954</v>
      </c>
      <c r="C153" s="4" t="s">
        <v>953</v>
      </c>
      <c r="D153">
        <f>_xlfn.IFNA(VLOOKUP(A153,'Prior Year data'!$A$1:$T$317,12,FALSE),0)</f>
        <v>3076356.3155776989</v>
      </c>
      <c r="E153">
        <f>VLOOKUP(A153,'Basic HH'!$B$1:$Y$321,23,FALSE)</f>
        <v>1185260.8099359742</v>
      </c>
      <c r="F153">
        <f>VLOOKUP(A153,'Conc. HH'!$B$1:$Y$321,23,FALSE)</f>
        <v>261034.05197684217</v>
      </c>
      <c r="G153">
        <f>VLOOKUP(A153,'Targeted HH'!$B$1:$Y$321,23,FALSE)</f>
        <v>708563.03221764718</v>
      </c>
      <c r="H153">
        <f>VLOOKUP(A153,'EFIG HH'!$B$1:$Y$321,23,FALSE)</f>
        <v>976957.12586247222</v>
      </c>
      <c r="I153">
        <f t="shared" si="67"/>
        <v>3131815.0199929359</v>
      </c>
      <c r="J153">
        <f t="shared" si="68"/>
        <v>3076356.3155776989</v>
      </c>
      <c r="K153" s="44">
        <f t="shared" si="69"/>
        <v>2913866.9139607893</v>
      </c>
      <c r="L153">
        <f t="shared" si="70"/>
        <v>162489.40161690954</v>
      </c>
      <c r="M153">
        <f t="shared" si="71"/>
        <v>0</v>
      </c>
      <c r="N153">
        <f t="shared" si="72"/>
        <v>3076356.3155776989</v>
      </c>
      <c r="O153">
        <f t="shared" si="81"/>
        <v>0</v>
      </c>
      <c r="P153">
        <f t="shared" si="82"/>
        <v>0</v>
      </c>
      <c r="Q153">
        <f t="shared" si="83"/>
        <v>3076356.3155776989</v>
      </c>
      <c r="R153">
        <f t="shared" si="84"/>
        <v>0</v>
      </c>
      <c r="S153">
        <f t="shared" si="85"/>
        <v>0</v>
      </c>
      <c r="T153">
        <f t="shared" si="86"/>
        <v>3076356.3155776989</v>
      </c>
      <c r="U153">
        <f t="shared" si="87"/>
        <v>0</v>
      </c>
      <c r="V153">
        <f t="shared" si="88"/>
        <v>0</v>
      </c>
      <c r="W153">
        <f t="shared" si="89"/>
        <v>3076356.3155776989</v>
      </c>
      <c r="X153" s="44">
        <f t="shared" si="73"/>
        <v>55458.704415237065</v>
      </c>
      <c r="Y153" s="28">
        <f t="shared" si="74"/>
        <v>23724.450674606331</v>
      </c>
      <c r="Z153" s="28">
        <f t="shared" si="75"/>
        <v>3052631.8649030924</v>
      </c>
      <c r="AA153">
        <f t="shared" si="76"/>
        <v>0</v>
      </c>
      <c r="AB153" s="28">
        <f t="shared" si="77"/>
        <v>3052631.8649030924</v>
      </c>
      <c r="AD153" s="28">
        <f t="shared" si="78"/>
        <v>0</v>
      </c>
      <c r="AE153" s="28">
        <f t="shared" si="79"/>
        <v>3052631.8649030924</v>
      </c>
      <c r="AF153" s="51"/>
      <c r="AG153" t="str">
        <f t="shared" si="80"/>
        <v>5305220</v>
      </c>
    </row>
    <row r="154" spans="1:33" x14ac:dyDescent="0.25">
      <c r="A154" s="7" t="s">
        <v>481</v>
      </c>
      <c r="B154" s="2" t="s">
        <v>956</v>
      </c>
      <c r="C154" s="4" t="s">
        <v>955</v>
      </c>
      <c r="D154">
        <f>_xlfn.IFNA(VLOOKUP(A154,'Prior Year data'!$A$1:$T$317,12,FALSE),0)</f>
        <v>186389.99314838697</v>
      </c>
      <c r="E154">
        <f>VLOOKUP(A154,'Basic HH'!$B$1:$Y$321,23,FALSE)</f>
        <v>108376.53269371027</v>
      </c>
      <c r="F154">
        <f>VLOOKUP(A154,'Conc. HH'!$B$1:$Y$321,23,FALSE)</f>
        <v>28489.759074327656</v>
      </c>
      <c r="G154">
        <f>VLOOKUP(A154,'Targeted HH'!$B$1:$Y$321,23,FALSE)</f>
        <v>57138.559961698156</v>
      </c>
      <c r="H154">
        <f>VLOOKUP(A154,'EFIG HH'!$B$1:$Y$321,23,FALSE)</f>
        <v>78781.873704856975</v>
      </c>
      <c r="I154">
        <f t="shared" si="67"/>
        <v>272786.72543459304</v>
      </c>
      <c r="J154">
        <f t="shared" si="68"/>
        <v>186389.99314838697</v>
      </c>
      <c r="K154" s="44">
        <f t="shared" si="69"/>
        <v>253803.05309774002</v>
      </c>
      <c r="L154">
        <f t="shared" si="70"/>
        <v>0</v>
      </c>
      <c r="M154">
        <f t="shared" si="71"/>
        <v>253803.05309774002</v>
      </c>
      <c r="N154">
        <f t="shared" si="72"/>
        <v>241014.69911472502</v>
      </c>
      <c r="O154">
        <f t="shared" si="81"/>
        <v>0</v>
      </c>
      <c r="P154">
        <f t="shared" si="82"/>
        <v>241014.69911472502</v>
      </c>
      <c r="Q154">
        <f t="shared" si="83"/>
        <v>241014.69911472502</v>
      </c>
      <c r="R154">
        <f t="shared" si="84"/>
        <v>0</v>
      </c>
      <c r="S154">
        <f t="shared" si="85"/>
        <v>241014.69911472502</v>
      </c>
      <c r="T154">
        <f t="shared" si="86"/>
        <v>241014.69911472502</v>
      </c>
      <c r="U154">
        <f t="shared" si="87"/>
        <v>0</v>
      </c>
      <c r="V154">
        <f t="shared" si="88"/>
        <v>241014.69911472502</v>
      </c>
      <c r="W154">
        <f t="shared" si="89"/>
        <v>241014.69911472502</v>
      </c>
      <c r="X154" s="44">
        <f t="shared" si="73"/>
        <v>31772.026319868019</v>
      </c>
      <c r="Y154" s="28">
        <f t="shared" si="74"/>
        <v>1858.6732986840721</v>
      </c>
      <c r="Z154" s="28">
        <f t="shared" si="75"/>
        <v>239156.02581604096</v>
      </c>
      <c r="AA154">
        <f t="shared" si="76"/>
        <v>0</v>
      </c>
      <c r="AB154" s="28">
        <f t="shared" si="77"/>
        <v>239156.02581604096</v>
      </c>
      <c r="AD154" s="28">
        <f t="shared" si="78"/>
        <v>0</v>
      </c>
      <c r="AE154" s="28">
        <f t="shared" si="79"/>
        <v>239156.02581604096</v>
      </c>
      <c r="AF154" s="51"/>
      <c r="AG154" t="str">
        <f t="shared" si="80"/>
        <v>5305250</v>
      </c>
    </row>
    <row r="155" spans="1:33" x14ac:dyDescent="0.25">
      <c r="A155" s="7" t="s">
        <v>483</v>
      </c>
      <c r="B155" s="2" t="s">
        <v>958</v>
      </c>
      <c r="C155" s="4" t="s">
        <v>957</v>
      </c>
      <c r="D155">
        <f>_xlfn.IFNA(VLOOKUP(A155,'Prior Year data'!$A$1:$T$317,12,FALSE),0)</f>
        <v>536768.00186008122</v>
      </c>
      <c r="E155">
        <f>VLOOKUP(A155,'Basic HH'!$B$1:$Y$321,23,FALSE)</f>
        <v>234815.82083637227</v>
      </c>
      <c r="F155">
        <f>VLOOKUP(A155,'Conc. HH'!$B$1:$Y$321,23,FALSE)</f>
        <v>61727.811327709896</v>
      </c>
      <c r="G155">
        <f>VLOOKUP(A155,'Targeted HH'!$B$1:$Y$321,23,FALSE)</f>
        <v>164799.18702682841</v>
      </c>
      <c r="H155">
        <f>VLOOKUP(A155,'EFIG HH'!$B$1:$Y$321,23,FALSE)</f>
        <v>227222.89024633711</v>
      </c>
      <c r="I155">
        <f t="shared" si="67"/>
        <v>688565.7094372476</v>
      </c>
      <c r="J155">
        <f t="shared" si="68"/>
        <v>536768.00186008122</v>
      </c>
      <c r="K155" s="44">
        <f t="shared" si="69"/>
        <v>640647.30068944488</v>
      </c>
      <c r="L155">
        <f t="shared" si="70"/>
        <v>0</v>
      </c>
      <c r="M155">
        <f t="shared" si="71"/>
        <v>640647.30068944488</v>
      </c>
      <c r="N155">
        <f t="shared" si="72"/>
        <v>608367.05677794002</v>
      </c>
      <c r="O155">
        <f t="shared" si="81"/>
        <v>0</v>
      </c>
      <c r="P155">
        <f t="shared" si="82"/>
        <v>608367.05677794002</v>
      </c>
      <c r="Q155">
        <f t="shared" si="83"/>
        <v>608367.05677794002</v>
      </c>
      <c r="R155">
        <f t="shared" si="84"/>
        <v>0</v>
      </c>
      <c r="S155">
        <f t="shared" si="85"/>
        <v>608367.05677794002</v>
      </c>
      <c r="T155">
        <f t="shared" si="86"/>
        <v>608367.05677794002</v>
      </c>
      <c r="U155">
        <f t="shared" si="87"/>
        <v>0</v>
      </c>
      <c r="V155">
        <f t="shared" si="88"/>
        <v>608367.05677794002</v>
      </c>
      <c r="W155">
        <f t="shared" si="89"/>
        <v>608367.05677794002</v>
      </c>
      <c r="X155" s="44">
        <f t="shared" si="73"/>
        <v>80198.652659307583</v>
      </c>
      <c r="Y155" s="28">
        <f t="shared" si="74"/>
        <v>4691.6458140751192</v>
      </c>
      <c r="Z155" s="28">
        <f t="shared" si="75"/>
        <v>603675.41096386488</v>
      </c>
      <c r="AA155">
        <f t="shared" si="76"/>
        <v>0</v>
      </c>
      <c r="AB155" s="28">
        <f t="shared" si="77"/>
        <v>603675.41096386488</v>
      </c>
      <c r="AD155" s="28">
        <f t="shared" si="78"/>
        <v>0</v>
      </c>
      <c r="AE155" s="28">
        <f t="shared" si="79"/>
        <v>603675.41096386488</v>
      </c>
      <c r="AF155" s="51"/>
      <c r="AG155" t="str">
        <f t="shared" si="80"/>
        <v>5305280</v>
      </c>
    </row>
    <row r="156" spans="1:33" x14ac:dyDescent="0.25">
      <c r="A156" s="7" t="s">
        <v>485</v>
      </c>
      <c r="B156" s="2" t="s">
        <v>960</v>
      </c>
      <c r="C156" s="4" t="s">
        <v>959</v>
      </c>
      <c r="D156">
        <f>_xlfn.IFNA(VLOOKUP(A156,'Prior Year data'!$A$1:$T$317,12,FALSE),0)</f>
        <v>754943.35555753019</v>
      </c>
      <c r="E156">
        <f>VLOOKUP(A156,'Basic HH'!$B$1:$Y$321,23,FALSE)</f>
        <v>291173.67324929539</v>
      </c>
      <c r="F156">
        <f>VLOOKUP(A156,'Conc. HH'!$B$1:$Y$321,23,FALSE)</f>
        <v>76259.99645765101</v>
      </c>
      <c r="G156">
        <f>VLOOKUP(A156,'Targeted HH'!$B$1:$Y$321,23,FALSE)</f>
        <v>150916.49630401793</v>
      </c>
      <c r="H156">
        <f>VLOOKUP(A156,'EFIG HH'!$B$1:$Y$321,23,FALSE)</f>
        <v>208103.83701985318</v>
      </c>
      <c r="I156">
        <f t="shared" si="67"/>
        <v>726454.00303081749</v>
      </c>
      <c r="J156">
        <f t="shared" si="68"/>
        <v>754943.35555753019</v>
      </c>
      <c r="K156" s="44">
        <f t="shared" si="69"/>
        <v>675898.88624732522</v>
      </c>
      <c r="L156">
        <f t="shared" si="70"/>
        <v>50555.116783492267</v>
      </c>
      <c r="M156">
        <f t="shared" si="71"/>
        <v>0</v>
      </c>
      <c r="N156">
        <f t="shared" si="72"/>
        <v>726454.00303081749</v>
      </c>
      <c r="O156">
        <f t="shared" si="81"/>
        <v>0</v>
      </c>
      <c r="P156">
        <f t="shared" si="82"/>
        <v>0</v>
      </c>
      <c r="Q156">
        <f t="shared" si="83"/>
        <v>726454.00303081749</v>
      </c>
      <c r="R156">
        <f t="shared" si="84"/>
        <v>0</v>
      </c>
      <c r="S156">
        <f t="shared" si="85"/>
        <v>0</v>
      </c>
      <c r="T156">
        <f t="shared" si="86"/>
        <v>726454.00303081749</v>
      </c>
      <c r="U156">
        <f t="shared" si="87"/>
        <v>0</v>
      </c>
      <c r="V156">
        <f t="shared" si="88"/>
        <v>0</v>
      </c>
      <c r="W156">
        <f t="shared" si="89"/>
        <v>726454.00303081749</v>
      </c>
      <c r="X156" s="44">
        <f t="shared" si="73"/>
        <v>0</v>
      </c>
      <c r="Y156" s="28">
        <f t="shared" si="74"/>
        <v>5602.3166351061955</v>
      </c>
      <c r="Z156" s="28">
        <f t="shared" si="75"/>
        <v>720851.68639571127</v>
      </c>
      <c r="AA156">
        <f t="shared" si="76"/>
        <v>0</v>
      </c>
      <c r="AB156" s="28">
        <f t="shared" si="77"/>
        <v>720851.68639571127</v>
      </c>
      <c r="AD156" s="28">
        <f t="shared" si="78"/>
        <v>0</v>
      </c>
      <c r="AE156" s="28">
        <f t="shared" si="79"/>
        <v>720851.68639571127</v>
      </c>
      <c r="AF156" s="51"/>
      <c r="AG156" t="str">
        <f t="shared" si="80"/>
        <v>5305310</v>
      </c>
    </row>
    <row r="157" spans="1:33" x14ac:dyDescent="0.25">
      <c r="A157" s="7" t="s">
        <v>179</v>
      </c>
      <c r="B157" s="2" t="s">
        <v>962</v>
      </c>
      <c r="C157" s="4" t="s">
        <v>961</v>
      </c>
      <c r="D157">
        <f>_xlfn.IFNA(VLOOKUP(A157,'Prior Year data'!$A$1:$T$317,12,FALSE),0)</f>
        <v>0</v>
      </c>
      <c r="E157">
        <f>VLOOKUP(A157,'Basic HH'!$B$1:$Y$321,23,FALSE)</f>
        <v>0</v>
      </c>
      <c r="F157">
        <f>VLOOKUP(A157,'Conc. HH'!$B$1:$Y$321,23,FALSE)</f>
        <v>0</v>
      </c>
      <c r="G157">
        <f>VLOOKUP(A157,'Targeted HH'!$B$1:$Y$321,23,FALSE)</f>
        <v>0</v>
      </c>
      <c r="H157">
        <f>VLOOKUP(A157,'EFIG HH'!$B$1:$Y$321,23,FALSE)</f>
        <v>0</v>
      </c>
      <c r="I157">
        <f t="shared" si="67"/>
        <v>0</v>
      </c>
      <c r="J157">
        <f t="shared" si="68"/>
        <v>0</v>
      </c>
      <c r="K157" s="44">
        <f t="shared" si="69"/>
        <v>0</v>
      </c>
      <c r="L157">
        <f t="shared" si="70"/>
        <v>0</v>
      </c>
      <c r="M157">
        <f t="shared" si="71"/>
        <v>0</v>
      </c>
      <c r="N157">
        <f t="shared" si="72"/>
        <v>0</v>
      </c>
      <c r="O157">
        <f t="shared" si="81"/>
        <v>0</v>
      </c>
      <c r="P157">
        <f t="shared" si="82"/>
        <v>0</v>
      </c>
      <c r="Q157">
        <f t="shared" si="83"/>
        <v>0</v>
      </c>
      <c r="R157">
        <f t="shared" si="84"/>
        <v>0</v>
      </c>
      <c r="S157">
        <f t="shared" si="85"/>
        <v>0</v>
      </c>
      <c r="T157">
        <f t="shared" si="86"/>
        <v>0</v>
      </c>
      <c r="U157">
        <f t="shared" si="87"/>
        <v>0</v>
      </c>
      <c r="V157">
        <f t="shared" si="88"/>
        <v>0</v>
      </c>
      <c r="W157">
        <f t="shared" si="89"/>
        <v>0</v>
      </c>
      <c r="X157" s="44">
        <f t="shared" si="73"/>
        <v>0</v>
      </c>
      <c r="Y157" s="28">
        <f t="shared" si="74"/>
        <v>0</v>
      </c>
      <c r="Z157" s="28">
        <f t="shared" si="75"/>
        <v>0</v>
      </c>
      <c r="AA157">
        <f t="shared" si="76"/>
        <v>0</v>
      </c>
      <c r="AB157" s="28">
        <f t="shared" si="77"/>
        <v>0</v>
      </c>
      <c r="AD157" s="28">
        <f t="shared" si="78"/>
        <v>0</v>
      </c>
      <c r="AE157" s="28">
        <f t="shared" si="79"/>
        <v>0</v>
      </c>
      <c r="AF157" s="51"/>
      <c r="AG157" t="str">
        <f t="shared" si="80"/>
        <v>5305340</v>
      </c>
    </row>
    <row r="158" spans="1:33" x14ac:dyDescent="0.25">
      <c r="A158" s="7" t="s">
        <v>487</v>
      </c>
      <c r="B158" s="9" t="s">
        <v>964</v>
      </c>
      <c r="C158" s="4" t="s">
        <v>963</v>
      </c>
      <c r="D158">
        <f>_xlfn.IFNA(VLOOKUP(A158,'Prior Year data'!$A$1:$T$317,12,FALSE),0)</f>
        <v>1954290.2565039375</v>
      </c>
      <c r="E158">
        <f>VLOOKUP(A158,'Basic HH'!$B$1:$Y$321,23,FALSE)</f>
        <v>794761.2397538753</v>
      </c>
      <c r="F158">
        <f>VLOOKUP(A158,'Conc. HH'!$B$1:$Y$321,23,FALSE)</f>
        <v>155521.93077018767</v>
      </c>
      <c r="G158">
        <f>VLOOKUP(A158,'Targeted HH'!$B$1:$Y$321,23,FALSE)</f>
        <v>428265.95121839212</v>
      </c>
      <c r="H158">
        <f>VLOOKUP(A158,'EFIG HH'!$B$1:$Y$321,23,FALSE)</f>
        <v>590487.30145797436</v>
      </c>
      <c r="I158">
        <f t="shared" si="67"/>
        <v>1969036.4232004294</v>
      </c>
      <c r="J158">
        <f t="shared" si="68"/>
        <v>1954290.2565039375</v>
      </c>
      <c r="K158" s="44">
        <f t="shared" si="69"/>
        <v>1832007.9727953945</v>
      </c>
      <c r="L158">
        <f t="shared" si="70"/>
        <v>122282.28370854305</v>
      </c>
      <c r="M158">
        <f t="shared" si="71"/>
        <v>0</v>
      </c>
      <c r="N158">
        <f t="shared" si="72"/>
        <v>1954290.2565039375</v>
      </c>
      <c r="O158">
        <f t="shared" si="81"/>
        <v>0</v>
      </c>
      <c r="P158">
        <f t="shared" si="82"/>
        <v>0</v>
      </c>
      <c r="Q158">
        <f t="shared" si="83"/>
        <v>1954290.2565039375</v>
      </c>
      <c r="R158">
        <f t="shared" si="84"/>
        <v>0</v>
      </c>
      <c r="S158">
        <f t="shared" si="85"/>
        <v>0</v>
      </c>
      <c r="T158">
        <f t="shared" si="86"/>
        <v>1954290.2565039375</v>
      </c>
      <c r="U158">
        <f t="shared" si="87"/>
        <v>0</v>
      </c>
      <c r="V158">
        <f t="shared" si="88"/>
        <v>0</v>
      </c>
      <c r="W158">
        <f t="shared" si="89"/>
        <v>1954290.2565039375</v>
      </c>
      <c r="X158" s="44">
        <f t="shared" si="73"/>
        <v>14746.166696491884</v>
      </c>
      <c r="Y158" s="28">
        <f t="shared" si="74"/>
        <v>15071.226489440249</v>
      </c>
      <c r="Z158" s="28">
        <f t="shared" si="75"/>
        <v>1939219.0300144972</v>
      </c>
      <c r="AA158">
        <f t="shared" si="76"/>
        <v>0</v>
      </c>
      <c r="AB158" s="28">
        <f t="shared" si="77"/>
        <v>1939219.0300144972</v>
      </c>
      <c r="AD158" s="28">
        <f t="shared" si="78"/>
        <v>0</v>
      </c>
      <c r="AE158" s="28">
        <f t="shared" si="79"/>
        <v>1939219.0300144972</v>
      </c>
      <c r="AF158" s="51"/>
      <c r="AG158" t="str">
        <f t="shared" si="80"/>
        <v>5305400</v>
      </c>
    </row>
    <row r="159" spans="1:33" x14ac:dyDescent="0.25">
      <c r="A159" s="7" t="s">
        <v>290</v>
      </c>
      <c r="B159" s="2" t="s">
        <v>966</v>
      </c>
      <c r="C159" s="4" t="s">
        <v>965</v>
      </c>
      <c r="D159">
        <f>_xlfn.IFNA(VLOOKUP(A159,'Prior Year data'!$A$1:$T$317,12,FALSE),0)</f>
        <v>3423301.6248516268</v>
      </c>
      <c r="E159">
        <f>VLOOKUP(A159,'Basic HH'!$B$1:$Y$321,23,FALSE)</f>
        <v>2003245.5924099311</v>
      </c>
      <c r="F159">
        <f>VLOOKUP(A159,'Conc. HH'!$B$1:$Y$321,23,FALSE)</f>
        <v>0</v>
      </c>
      <c r="G159">
        <f>VLOOKUP(A159,'Targeted HH'!$B$1:$Y$321,23,FALSE)</f>
        <v>1309493.6317167857</v>
      </c>
      <c r="H159">
        <f>VLOOKUP(A159,'EFIG HH'!$B$1:$Y$321,23,FALSE)</f>
        <v>1805512.1091672706</v>
      </c>
      <c r="I159">
        <f t="shared" si="67"/>
        <v>5118251.3332939874</v>
      </c>
      <c r="J159">
        <f t="shared" si="68"/>
        <v>3423301.6248516268</v>
      </c>
      <c r="K159" s="44">
        <f t="shared" si="69"/>
        <v>4762063.8901765933</v>
      </c>
      <c r="L159">
        <f t="shared" si="70"/>
        <v>0</v>
      </c>
      <c r="M159">
        <f t="shared" si="71"/>
        <v>4762063.8901765933</v>
      </c>
      <c r="N159">
        <f t="shared" si="72"/>
        <v>4522118.1607063515</v>
      </c>
      <c r="O159">
        <f t="shared" si="81"/>
        <v>0</v>
      </c>
      <c r="P159">
        <f t="shared" si="82"/>
        <v>4522118.1607063515</v>
      </c>
      <c r="Q159">
        <f t="shared" si="83"/>
        <v>4522118.1607063515</v>
      </c>
      <c r="R159">
        <f t="shared" si="84"/>
        <v>0</v>
      </c>
      <c r="S159">
        <f t="shared" si="85"/>
        <v>4522118.1607063515</v>
      </c>
      <c r="T159">
        <f t="shared" si="86"/>
        <v>4522118.1607063515</v>
      </c>
      <c r="U159">
        <f t="shared" si="87"/>
        <v>0</v>
      </c>
      <c r="V159">
        <f t="shared" si="88"/>
        <v>4522118.1607063515</v>
      </c>
      <c r="W159">
        <f t="shared" si="89"/>
        <v>4522118.1607063515</v>
      </c>
      <c r="X159" s="44">
        <f t="shared" si="73"/>
        <v>596133.17258763593</v>
      </c>
      <c r="Y159" s="28">
        <f t="shared" si="74"/>
        <v>34873.973702318901</v>
      </c>
      <c r="Z159" s="28">
        <f t="shared" si="75"/>
        <v>4487244.1870040325</v>
      </c>
      <c r="AA159">
        <f t="shared" si="76"/>
        <v>0</v>
      </c>
      <c r="AB159" s="28">
        <f t="shared" si="77"/>
        <v>4487244.1870040325</v>
      </c>
      <c r="AD159" s="28">
        <f t="shared" si="78"/>
        <v>0</v>
      </c>
      <c r="AE159" s="28">
        <f t="shared" si="79"/>
        <v>4487244.1870040325</v>
      </c>
      <c r="AF159" s="51"/>
      <c r="AG159" t="str">
        <f t="shared" si="80"/>
        <v>5305430</v>
      </c>
    </row>
    <row r="160" spans="1:33" x14ac:dyDescent="0.25">
      <c r="A160" s="7" t="s">
        <v>489</v>
      </c>
      <c r="B160" s="2" t="s">
        <v>968</v>
      </c>
      <c r="C160" s="4" t="s">
        <v>967</v>
      </c>
      <c r="D160">
        <f>_xlfn.IFNA(VLOOKUP(A160,'Prior Year data'!$A$1:$T$317,12,FALSE),0)</f>
        <v>318599.21328916837</v>
      </c>
      <c r="E160">
        <f>VLOOKUP(A160,'Basic HH'!$B$1:$Y$321,23,FALSE)</f>
        <v>191809.26024363004</v>
      </c>
      <c r="F160">
        <f>VLOOKUP(A160,'Conc. HH'!$B$1:$Y$321,23,FALSE)</f>
        <v>0</v>
      </c>
      <c r="G160">
        <f>VLOOKUP(A160,'Targeted HH'!$B$1:$Y$321,23,FALSE)</f>
        <v>91785.975128977836</v>
      </c>
      <c r="H160">
        <f>VLOOKUP(A160,'EFIG HH'!$B$1:$Y$321,23,FALSE)</f>
        <v>126553.26114860957</v>
      </c>
      <c r="I160">
        <f t="shared" si="67"/>
        <v>410148.49652121746</v>
      </c>
      <c r="J160">
        <f t="shared" si="68"/>
        <v>318599.21328916837</v>
      </c>
      <c r="K160" s="44">
        <f t="shared" si="69"/>
        <v>381605.59490088694</v>
      </c>
      <c r="L160">
        <f t="shared" si="70"/>
        <v>0</v>
      </c>
      <c r="M160">
        <f t="shared" si="71"/>
        <v>381605.59490088694</v>
      </c>
      <c r="N160">
        <f t="shared" si="72"/>
        <v>362377.66454335797</v>
      </c>
      <c r="O160">
        <f t="shared" si="81"/>
        <v>0</v>
      </c>
      <c r="P160">
        <f t="shared" si="82"/>
        <v>362377.66454335797</v>
      </c>
      <c r="Q160">
        <f t="shared" si="83"/>
        <v>362377.66454335797</v>
      </c>
      <c r="R160">
        <f t="shared" si="84"/>
        <v>0</v>
      </c>
      <c r="S160">
        <f t="shared" si="85"/>
        <v>362377.66454335797</v>
      </c>
      <c r="T160">
        <f t="shared" si="86"/>
        <v>362377.66454335797</v>
      </c>
      <c r="U160">
        <f t="shared" si="87"/>
        <v>0</v>
      </c>
      <c r="V160">
        <f t="shared" si="88"/>
        <v>362377.66454335797</v>
      </c>
      <c r="W160">
        <f t="shared" si="89"/>
        <v>362377.66454335797</v>
      </c>
      <c r="X160" s="44">
        <f t="shared" si="73"/>
        <v>47770.831977859489</v>
      </c>
      <c r="Y160" s="28">
        <f t="shared" si="74"/>
        <v>2794.6083438073701</v>
      </c>
      <c r="Z160" s="28">
        <f t="shared" si="75"/>
        <v>359583.05619955057</v>
      </c>
      <c r="AA160">
        <f t="shared" si="76"/>
        <v>0</v>
      </c>
      <c r="AB160" s="28">
        <f t="shared" si="77"/>
        <v>359583.05619955057</v>
      </c>
      <c r="AD160" s="28">
        <f t="shared" si="78"/>
        <v>0</v>
      </c>
      <c r="AE160" s="28">
        <f t="shared" si="79"/>
        <v>359583.05619955057</v>
      </c>
      <c r="AF160" s="51"/>
      <c r="AG160" t="str">
        <f t="shared" si="80"/>
        <v>5305460</v>
      </c>
    </row>
    <row r="161" spans="1:33" x14ac:dyDescent="0.25">
      <c r="A161" s="7" t="s">
        <v>491</v>
      </c>
      <c r="B161" s="2" t="s">
        <v>970</v>
      </c>
      <c r="C161" s="4" t="s">
        <v>969</v>
      </c>
      <c r="D161">
        <f>_xlfn.IFNA(VLOOKUP(A161,'Prior Year data'!$A$1:$T$317,12,FALSE),0)</f>
        <v>176678.12840733328</v>
      </c>
      <c r="E161">
        <f>VLOOKUP(A161,'Basic HH'!$B$1:$Y$321,23,FALSE)</f>
        <v>65538.829396048022</v>
      </c>
      <c r="F161">
        <f>VLOOKUP(A161,'Conc. HH'!$B$1:$Y$321,23,FALSE)</f>
        <v>16645.558652458367</v>
      </c>
      <c r="G161">
        <f>VLOOKUP(A161,'Targeted HH'!$B$1:$Y$321,23,FALSE)</f>
        <v>29372.545979747349</v>
      </c>
      <c r="H161">
        <f>VLOOKUP(A161,'EFIG HH'!$B$1:$Y$321,23,FALSE)</f>
        <v>39780.615224872839</v>
      </c>
      <c r="I161">
        <f t="shared" si="67"/>
        <v>151337.54925312658</v>
      </c>
      <c r="J161">
        <f t="shared" si="68"/>
        <v>176678.12840733328</v>
      </c>
      <c r="K161" s="44">
        <f t="shared" si="69"/>
        <v>140805.72281360079</v>
      </c>
      <c r="L161">
        <f t="shared" si="70"/>
        <v>10531.826439525787</v>
      </c>
      <c r="M161">
        <f t="shared" si="71"/>
        <v>0</v>
      </c>
      <c r="N161">
        <f t="shared" si="72"/>
        <v>151337.54925312658</v>
      </c>
      <c r="O161">
        <f t="shared" si="81"/>
        <v>0</v>
      </c>
      <c r="P161">
        <f t="shared" si="82"/>
        <v>0</v>
      </c>
      <c r="Q161">
        <f t="shared" si="83"/>
        <v>151337.54925312658</v>
      </c>
      <c r="R161">
        <f t="shared" si="84"/>
        <v>0</v>
      </c>
      <c r="S161">
        <f t="shared" si="85"/>
        <v>0</v>
      </c>
      <c r="T161">
        <f t="shared" si="86"/>
        <v>151337.54925312658</v>
      </c>
      <c r="U161">
        <f t="shared" si="87"/>
        <v>0</v>
      </c>
      <c r="V161">
        <f t="shared" si="88"/>
        <v>0</v>
      </c>
      <c r="W161">
        <f t="shared" si="89"/>
        <v>151337.54925312658</v>
      </c>
      <c r="X161" s="44">
        <f t="shared" si="73"/>
        <v>0</v>
      </c>
      <c r="Y161" s="28">
        <f t="shared" si="74"/>
        <v>1167.0950482201793</v>
      </c>
      <c r="Z161" s="28">
        <f t="shared" si="75"/>
        <v>150170.45420490639</v>
      </c>
      <c r="AA161">
        <f t="shared" si="76"/>
        <v>0</v>
      </c>
      <c r="AB161" s="28">
        <f t="shared" si="77"/>
        <v>150170.45420490639</v>
      </c>
      <c r="AD161" s="28">
        <f t="shared" si="78"/>
        <v>0</v>
      </c>
      <c r="AE161" s="28">
        <f t="shared" si="79"/>
        <v>150170.45420490639</v>
      </c>
      <c r="AF161" s="51"/>
      <c r="AG161" t="str">
        <f t="shared" si="80"/>
        <v>5305490</v>
      </c>
    </row>
    <row r="162" spans="1:33" x14ac:dyDescent="0.25">
      <c r="A162" s="7" t="s">
        <v>493</v>
      </c>
      <c r="B162" s="2" t="s">
        <v>972</v>
      </c>
      <c r="C162" s="4" t="s">
        <v>971</v>
      </c>
      <c r="D162">
        <f>_xlfn.IFNA(VLOOKUP(A162,'Prior Year data'!$A$1:$T$317,12,FALSE),0)</f>
        <v>89939.057185993704</v>
      </c>
      <c r="E162">
        <f>VLOOKUP(A162,'Basic HH'!$B$1:$Y$321,23,FALSE)</f>
        <v>33290.802631173603</v>
      </c>
      <c r="F162">
        <f>VLOOKUP(A162,'Conc. HH'!$B$1:$Y$321,23,FALSE)</f>
        <v>5643.2444291051424</v>
      </c>
      <c r="G162">
        <f>VLOOKUP(A162,'Targeted HH'!$B$1:$Y$321,23,FALSE)</f>
        <v>16023.157564492476</v>
      </c>
      <c r="H162">
        <f>VLOOKUP(A162,'EFIG HH'!$B$1:$Y$321,23,FALSE)</f>
        <v>22094.871349433746</v>
      </c>
      <c r="I162">
        <f t="shared" si="67"/>
        <v>77052.07597420497</v>
      </c>
      <c r="J162">
        <f t="shared" si="68"/>
        <v>89939.057185993704</v>
      </c>
      <c r="K162" s="44">
        <f t="shared" si="69"/>
        <v>71689.896561558533</v>
      </c>
      <c r="L162">
        <f t="shared" si="70"/>
        <v>5362.1794126464374</v>
      </c>
      <c r="M162">
        <f t="shared" si="71"/>
        <v>0</v>
      </c>
      <c r="N162">
        <f t="shared" si="72"/>
        <v>77052.07597420497</v>
      </c>
      <c r="O162">
        <f t="shared" si="81"/>
        <v>0</v>
      </c>
      <c r="P162">
        <f t="shared" si="82"/>
        <v>0</v>
      </c>
      <c r="Q162">
        <f t="shared" si="83"/>
        <v>77052.07597420497</v>
      </c>
      <c r="R162">
        <f t="shared" si="84"/>
        <v>0</v>
      </c>
      <c r="S162">
        <f t="shared" si="85"/>
        <v>0</v>
      </c>
      <c r="T162">
        <f t="shared" si="86"/>
        <v>77052.07597420497</v>
      </c>
      <c r="U162">
        <f t="shared" si="87"/>
        <v>0</v>
      </c>
      <c r="V162">
        <f t="shared" si="88"/>
        <v>0</v>
      </c>
      <c r="W162">
        <f t="shared" si="89"/>
        <v>77052.07597420497</v>
      </c>
      <c r="X162" s="44">
        <f t="shared" si="73"/>
        <v>0</v>
      </c>
      <c r="Y162" s="28">
        <f t="shared" si="74"/>
        <v>594.21536008996657</v>
      </c>
      <c r="Z162" s="28">
        <f t="shared" si="75"/>
        <v>76457.860614115009</v>
      </c>
      <c r="AA162">
        <f t="shared" si="76"/>
        <v>0</v>
      </c>
      <c r="AB162" s="28">
        <f t="shared" si="77"/>
        <v>76457.860614115009</v>
      </c>
      <c r="AD162" s="28">
        <f t="shared" si="78"/>
        <v>0</v>
      </c>
      <c r="AE162" s="28">
        <f t="shared" si="79"/>
        <v>76457.860614115009</v>
      </c>
      <c r="AF162" s="51"/>
      <c r="AG162" t="str">
        <f t="shared" si="80"/>
        <v>5305520</v>
      </c>
    </row>
    <row r="163" spans="1:33" x14ac:dyDescent="0.25">
      <c r="A163" s="7" t="s">
        <v>495</v>
      </c>
      <c r="B163" s="2" t="s">
        <v>974</v>
      </c>
      <c r="C163" s="4" t="s">
        <v>973</v>
      </c>
      <c r="D163">
        <f>_xlfn.IFNA(VLOOKUP(A163,'Prior Year data'!$A$1:$T$317,12,FALSE),0)</f>
        <v>185323.45096230798</v>
      </c>
      <c r="E163">
        <f>VLOOKUP(A163,'Basic HH'!$B$1:$Y$321,23,FALSE)</f>
        <v>60209.184829839054</v>
      </c>
      <c r="F163">
        <f>VLOOKUP(A163,'Conc. HH'!$B$1:$Y$321,23,FALSE)</f>
        <v>15827.643930182026</v>
      </c>
      <c r="G163">
        <f>VLOOKUP(A163,'Targeted HH'!$B$1:$Y$321,23,FALSE)</f>
        <v>42593.312628324726</v>
      </c>
      <c r="H163">
        <f>VLOOKUP(A163,'EFIG HH'!$B$1:$Y$321,23,FALSE)</f>
        <v>58727.083398768271</v>
      </c>
      <c r="I163">
        <f t="shared" si="67"/>
        <v>177357.22478711407</v>
      </c>
      <c r="J163">
        <f t="shared" si="68"/>
        <v>185323.45096230798</v>
      </c>
      <c r="K163" s="44">
        <f t="shared" si="69"/>
        <v>165014.64676551803</v>
      </c>
      <c r="L163">
        <f t="shared" si="70"/>
        <v>12342.57802159604</v>
      </c>
      <c r="M163">
        <f t="shared" si="71"/>
        <v>0</v>
      </c>
      <c r="N163">
        <f t="shared" si="72"/>
        <v>177357.22478711407</v>
      </c>
      <c r="O163">
        <f t="shared" si="81"/>
        <v>0</v>
      </c>
      <c r="P163">
        <f t="shared" si="82"/>
        <v>0</v>
      </c>
      <c r="Q163">
        <f t="shared" si="83"/>
        <v>177357.22478711407</v>
      </c>
      <c r="R163">
        <f t="shared" si="84"/>
        <v>0</v>
      </c>
      <c r="S163">
        <f t="shared" si="85"/>
        <v>0</v>
      </c>
      <c r="T163">
        <f t="shared" si="86"/>
        <v>177357.22478711407</v>
      </c>
      <c r="U163">
        <f t="shared" si="87"/>
        <v>0</v>
      </c>
      <c r="V163">
        <f t="shared" si="88"/>
        <v>0</v>
      </c>
      <c r="W163">
        <f t="shared" si="89"/>
        <v>177357.22478711407</v>
      </c>
      <c r="X163" s="44">
        <f t="shared" si="73"/>
        <v>0</v>
      </c>
      <c r="Y163" s="28">
        <f t="shared" si="74"/>
        <v>1367.7553246808488</v>
      </c>
      <c r="Z163" s="28">
        <f t="shared" si="75"/>
        <v>175989.46946243322</v>
      </c>
      <c r="AA163">
        <f t="shared" si="76"/>
        <v>0</v>
      </c>
      <c r="AB163" s="28">
        <f t="shared" si="77"/>
        <v>175989.46946243322</v>
      </c>
      <c r="AD163" s="28">
        <f t="shared" si="78"/>
        <v>0</v>
      </c>
      <c r="AE163" s="28">
        <f t="shared" si="79"/>
        <v>175989.46946243322</v>
      </c>
      <c r="AF163" s="51"/>
      <c r="AG163" t="str">
        <f t="shared" si="80"/>
        <v>5305550</v>
      </c>
    </row>
    <row r="164" spans="1:33" x14ac:dyDescent="0.25">
      <c r="A164" s="7" t="s">
        <v>497</v>
      </c>
      <c r="B164" s="2" t="s">
        <v>976</v>
      </c>
      <c r="C164" s="4" t="s">
        <v>975</v>
      </c>
      <c r="D164">
        <f>_xlfn.IFNA(VLOOKUP(A164,'Prior Year data'!$A$1:$T$317,12,FALSE),0)</f>
        <v>617560.69936355634</v>
      </c>
      <c r="E164">
        <f>VLOOKUP(A164,'Basic HH'!$B$1:$Y$321,23,FALSE)</f>
        <v>233955.68962451752</v>
      </c>
      <c r="F164">
        <f>VLOOKUP(A164,'Conc. HH'!$B$1:$Y$321,23,FALSE)</f>
        <v>61501.702128707322</v>
      </c>
      <c r="G164">
        <f>VLOOKUP(A164,'Targeted HH'!$B$1:$Y$321,23,FALSE)</f>
        <v>143377.85888625012</v>
      </c>
      <c r="H164">
        <f>VLOOKUP(A164,'EFIG HH'!$B$1:$Y$321,23,FALSE)</f>
        <v>197708.55611312875</v>
      </c>
      <c r="I164">
        <f t="shared" si="67"/>
        <v>636543.80675260373</v>
      </c>
      <c r="J164">
        <f t="shared" si="68"/>
        <v>617560.69936355634</v>
      </c>
      <c r="K164" s="44">
        <f t="shared" si="69"/>
        <v>592245.68690753845</v>
      </c>
      <c r="L164">
        <f t="shared" si="70"/>
        <v>25315.012456017896</v>
      </c>
      <c r="M164">
        <f t="shared" si="71"/>
        <v>0</v>
      </c>
      <c r="N164">
        <f t="shared" si="72"/>
        <v>617560.69936355634</v>
      </c>
      <c r="O164">
        <f t="shared" si="81"/>
        <v>0</v>
      </c>
      <c r="P164">
        <f t="shared" si="82"/>
        <v>0</v>
      </c>
      <c r="Q164">
        <f t="shared" si="83"/>
        <v>617560.69936355634</v>
      </c>
      <c r="R164">
        <f t="shared" si="84"/>
        <v>0</v>
      </c>
      <c r="S164">
        <f t="shared" si="85"/>
        <v>0</v>
      </c>
      <c r="T164">
        <f t="shared" si="86"/>
        <v>617560.69936355634</v>
      </c>
      <c r="U164">
        <f t="shared" si="87"/>
        <v>0</v>
      </c>
      <c r="V164">
        <f t="shared" si="88"/>
        <v>0</v>
      </c>
      <c r="W164">
        <f t="shared" si="89"/>
        <v>617560.69936355634</v>
      </c>
      <c r="X164" s="44">
        <f t="shared" si="73"/>
        <v>18983.107389047393</v>
      </c>
      <c r="Y164" s="28">
        <f t="shared" si="74"/>
        <v>4762.5459627145847</v>
      </c>
      <c r="Z164" s="28">
        <f t="shared" si="75"/>
        <v>612798.15340084175</v>
      </c>
      <c r="AA164">
        <f t="shared" si="76"/>
        <v>0</v>
      </c>
      <c r="AB164" s="28">
        <f t="shared" si="77"/>
        <v>612798.15340084175</v>
      </c>
      <c r="AD164" s="28">
        <f t="shared" si="78"/>
        <v>0</v>
      </c>
      <c r="AE164" s="28">
        <f t="shared" si="79"/>
        <v>612798.15340084175</v>
      </c>
      <c r="AF164" s="51"/>
      <c r="AG164" t="str">
        <f t="shared" si="80"/>
        <v>5305610</v>
      </c>
    </row>
    <row r="165" spans="1:33" x14ac:dyDescent="0.25">
      <c r="A165" s="7" t="s">
        <v>499</v>
      </c>
      <c r="B165" s="2" t="s">
        <v>978</v>
      </c>
      <c r="C165" s="4" t="s">
        <v>977</v>
      </c>
      <c r="D165">
        <f>_xlfn.IFNA(VLOOKUP(A165,'Prior Year data'!$A$1:$T$317,12,FALSE),0)</f>
        <v>504550.37561934174</v>
      </c>
      <c r="E165">
        <f>VLOOKUP(A165,'Basic HH'!$B$1:$Y$321,23,FALSE)</f>
        <v>183425.79488940752</v>
      </c>
      <c r="F165">
        <f>VLOOKUP(A165,'Conc. HH'!$B$1:$Y$321,23,FALSE)</f>
        <v>47692.177246744221</v>
      </c>
      <c r="G165">
        <f>VLOOKUP(A165,'Targeted HH'!$B$1:$Y$321,23,FALSE)</f>
        <v>85401.938378745821</v>
      </c>
      <c r="H165">
        <f>VLOOKUP(A165,'EFIG HH'!$B$1:$Y$321,23,FALSE)</f>
        <v>115663.84652000164</v>
      </c>
      <c r="I165">
        <f t="shared" si="67"/>
        <v>432183.7570348992</v>
      </c>
      <c r="J165">
        <f t="shared" si="68"/>
        <v>504550.37561934174</v>
      </c>
      <c r="K165" s="44">
        <f t="shared" si="69"/>
        <v>402107.38576063851</v>
      </c>
      <c r="L165">
        <f t="shared" si="70"/>
        <v>30076.371274260688</v>
      </c>
      <c r="M165">
        <f t="shared" si="71"/>
        <v>0</v>
      </c>
      <c r="N165">
        <f t="shared" si="72"/>
        <v>432183.7570348992</v>
      </c>
      <c r="O165">
        <f t="shared" si="81"/>
        <v>0</v>
      </c>
      <c r="P165">
        <f t="shared" si="82"/>
        <v>0</v>
      </c>
      <c r="Q165">
        <f t="shared" si="83"/>
        <v>432183.7570348992</v>
      </c>
      <c r="R165">
        <f t="shared" si="84"/>
        <v>0</v>
      </c>
      <c r="S165">
        <f t="shared" si="85"/>
        <v>0</v>
      </c>
      <c r="T165">
        <f t="shared" si="86"/>
        <v>432183.7570348992</v>
      </c>
      <c r="U165">
        <f t="shared" si="87"/>
        <v>0</v>
      </c>
      <c r="V165">
        <f t="shared" si="88"/>
        <v>0</v>
      </c>
      <c r="W165">
        <f t="shared" si="89"/>
        <v>432183.7570348992</v>
      </c>
      <c r="X165" s="44">
        <f t="shared" si="73"/>
        <v>0</v>
      </c>
      <c r="Y165" s="28">
        <f t="shared" si="74"/>
        <v>3332.9436431732311</v>
      </c>
      <c r="Z165" s="28">
        <f t="shared" si="75"/>
        <v>428850.813391726</v>
      </c>
      <c r="AA165">
        <f t="shared" si="76"/>
        <v>0</v>
      </c>
      <c r="AB165" s="28">
        <f t="shared" si="77"/>
        <v>428850.813391726</v>
      </c>
      <c r="AD165" s="28">
        <f t="shared" si="78"/>
        <v>0</v>
      </c>
      <c r="AE165" s="28">
        <f t="shared" si="79"/>
        <v>428850.813391726</v>
      </c>
      <c r="AF165" s="51"/>
      <c r="AG165" t="str">
        <f t="shared" si="80"/>
        <v>5305640</v>
      </c>
    </row>
    <row r="166" spans="1:33" x14ac:dyDescent="0.25">
      <c r="A166" s="7" t="s">
        <v>181</v>
      </c>
      <c r="B166" s="2" t="s">
        <v>980</v>
      </c>
      <c r="C166" s="4" t="s">
        <v>979</v>
      </c>
      <c r="D166">
        <f>_xlfn.IFNA(VLOOKUP(A166,'Prior Year data'!$A$1:$T$317,12,FALSE),0)</f>
        <v>464816.24354265135</v>
      </c>
      <c r="E166">
        <f>VLOOKUP(A166,'Basic HH'!$B$1:$Y$321,23,FALSE)</f>
        <v>207392.56915397925</v>
      </c>
      <c r="F166">
        <f>VLOOKUP(A166,'Conc. HH'!$B$1:$Y$321,23,FALSE)</f>
        <v>0</v>
      </c>
      <c r="G166">
        <f>VLOOKUP(A166,'Targeted HH'!$B$1:$Y$321,23,FALSE)</f>
        <v>100812.36634326512</v>
      </c>
      <c r="H166">
        <f>VLOOKUP(A166,'EFIG HH'!$B$1:$Y$321,23,FALSE)</f>
        <v>139013.56557352067</v>
      </c>
      <c r="I166">
        <f t="shared" si="67"/>
        <v>447218.50107076502</v>
      </c>
      <c r="J166">
        <f t="shared" si="68"/>
        <v>464816.24354265135</v>
      </c>
      <c r="K166" s="44">
        <f t="shared" si="69"/>
        <v>416095.83748154429</v>
      </c>
      <c r="L166">
        <f t="shared" si="70"/>
        <v>31122.663589220727</v>
      </c>
      <c r="M166">
        <f t="shared" si="71"/>
        <v>0</v>
      </c>
      <c r="N166">
        <f t="shared" si="72"/>
        <v>447218.50107076502</v>
      </c>
      <c r="O166">
        <f t="shared" si="81"/>
        <v>0</v>
      </c>
      <c r="P166">
        <f t="shared" si="82"/>
        <v>0</v>
      </c>
      <c r="Q166">
        <f t="shared" si="83"/>
        <v>447218.50107076502</v>
      </c>
      <c r="R166">
        <f t="shared" si="84"/>
        <v>0</v>
      </c>
      <c r="S166">
        <f t="shared" si="85"/>
        <v>0</v>
      </c>
      <c r="T166">
        <f t="shared" si="86"/>
        <v>447218.50107076502</v>
      </c>
      <c r="U166">
        <f t="shared" si="87"/>
        <v>0</v>
      </c>
      <c r="V166">
        <f t="shared" si="88"/>
        <v>0</v>
      </c>
      <c r="W166">
        <f t="shared" si="89"/>
        <v>447218.50107076502</v>
      </c>
      <c r="X166" s="44">
        <f t="shared" si="73"/>
        <v>0</v>
      </c>
      <c r="Y166" s="28">
        <f t="shared" si="74"/>
        <v>3448.889589186721</v>
      </c>
      <c r="Z166" s="28">
        <f t="shared" si="75"/>
        <v>443769.61148157832</v>
      </c>
      <c r="AA166">
        <f t="shared" si="76"/>
        <v>0</v>
      </c>
      <c r="AB166" s="28">
        <f t="shared" si="77"/>
        <v>443769.61148157832</v>
      </c>
      <c r="AD166" s="28">
        <f t="shared" si="78"/>
        <v>0</v>
      </c>
      <c r="AE166" s="28">
        <f t="shared" si="79"/>
        <v>443769.61148157832</v>
      </c>
      <c r="AF166" s="51"/>
      <c r="AG166" t="str">
        <f t="shared" si="80"/>
        <v>5305670</v>
      </c>
    </row>
    <row r="167" spans="1:33" x14ac:dyDescent="0.25">
      <c r="A167" s="7" t="s">
        <v>501</v>
      </c>
      <c r="B167" s="2" t="s">
        <v>982</v>
      </c>
      <c r="C167" s="4" t="s">
        <v>981</v>
      </c>
      <c r="D167">
        <f>_xlfn.IFNA(VLOOKUP(A167,'Prior Year data'!$A$1:$T$317,12,FALSE),0)</f>
        <v>337512.12929135608</v>
      </c>
      <c r="E167">
        <f>VLOOKUP(A167,'Basic HH'!$B$1:$Y$321,23,FALSE)</f>
        <v>142781.78116790397</v>
      </c>
      <c r="F167">
        <f>VLOOKUP(A167,'Conc. HH'!$B$1:$Y$321,23,FALSE)</f>
        <v>37534.127034431665</v>
      </c>
      <c r="G167">
        <f>VLOOKUP(A167,'Targeted HH'!$B$1:$Y$321,23,FALSE)</f>
        <v>89019.831898019707</v>
      </c>
      <c r="H167">
        <f>VLOOKUP(A167,'EFIG HH'!$B$1:$Y$321,23,FALSE)</f>
        <v>122739.34027246271</v>
      </c>
      <c r="I167">
        <f t="shared" si="67"/>
        <v>392075.08037281805</v>
      </c>
      <c r="J167">
        <f t="shared" si="68"/>
        <v>337512.12929135608</v>
      </c>
      <c r="K167" s="44">
        <f t="shared" si="69"/>
        <v>364789.93720690714</v>
      </c>
      <c r="L167">
        <f t="shared" si="70"/>
        <v>0</v>
      </c>
      <c r="M167">
        <f t="shared" si="71"/>
        <v>364789.93720690714</v>
      </c>
      <c r="N167">
        <f t="shared" si="72"/>
        <v>346409.29603846848</v>
      </c>
      <c r="O167">
        <f t="shared" si="81"/>
        <v>0</v>
      </c>
      <c r="P167">
        <f t="shared" si="82"/>
        <v>346409.29603846848</v>
      </c>
      <c r="Q167">
        <f t="shared" si="83"/>
        <v>346409.29603846848</v>
      </c>
      <c r="R167">
        <f t="shared" si="84"/>
        <v>0</v>
      </c>
      <c r="S167">
        <f t="shared" si="85"/>
        <v>346409.29603846848</v>
      </c>
      <c r="T167">
        <f t="shared" si="86"/>
        <v>346409.29603846848</v>
      </c>
      <c r="U167">
        <f t="shared" si="87"/>
        <v>0</v>
      </c>
      <c r="V167">
        <f t="shared" si="88"/>
        <v>346409.29603846848</v>
      </c>
      <c r="W167">
        <f t="shared" si="89"/>
        <v>346409.29603846848</v>
      </c>
      <c r="X167" s="44">
        <f t="shared" si="73"/>
        <v>45665.784334349562</v>
      </c>
      <c r="Y167" s="28">
        <f t="shared" si="74"/>
        <v>2671.4624100838096</v>
      </c>
      <c r="Z167" s="28">
        <f t="shared" si="75"/>
        <v>343737.83362838469</v>
      </c>
      <c r="AA167">
        <f t="shared" si="76"/>
        <v>0</v>
      </c>
      <c r="AB167" s="28">
        <f t="shared" si="77"/>
        <v>343737.83362838469</v>
      </c>
      <c r="AD167" s="28">
        <f t="shared" si="78"/>
        <v>0</v>
      </c>
      <c r="AE167" s="28">
        <f t="shared" si="79"/>
        <v>343737.83362838469</v>
      </c>
      <c r="AF167" s="51"/>
      <c r="AG167" t="str">
        <f t="shared" si="80"/>
        <v>5305700</v>
      </c>
    </row>
    <row r="168" spans="1:33" x14ac:dyDescent="0.25">
      <c r="A168" s="7" t="s">
        <v>503</v>
      </c>
      <c r="B168" s="2" t="s">
        <v>984</v>
      </c>
      <c r="C168" s="4" t="s">
        <v>983</v>
      </c>
      <c r="D168">
        <f>_xlfn.IFNA(VLOOKUP(A168,'Prior Year data'!$A$1:$T$317,12,FALSE),0)</f>
        <v>688897.83197316225</v>
      </c>
      <c r="E168">
        <f>VLOOKUP(A168,'Basic HH'!$B$1:$Y$321,23,FALSE)</f>
        <v>356094.32170790521</v>
      </c>
      <c r="F168">
        <f>VLOOKUP(A168,'Conc. HH'!$B$1:$Y$321,23,FALSE)</f>
        <v>93609.208387076578</v>
      </c>
      <c r="G168">
        <f>VLOOKUP(A168,'Targeted HH'!$B$1:$Y$321,23,FALSE)</f>
        <v>191863.4136834353</v>
      </c>
      <c r="H168">
        <f>VLOOKUP(A168,'EFIG HH'!$B$1:$Y$321,23,FALSE)</f>
        <v>264538.67993039108</v>
      </c>
      <c r="I168">
        <f t="shared" si="67"/>
        <v>906105.6237088081</v>
      </c>
      <c r="J168">
        <f t="shared" si="68"/>
        <v>688897.83197316225</v>
      </c>
      <c r="K168" s="44">
        <f t="shared" si="69"/>
        <v>843048.25815825362</v>
      </c>
      <c r="L168">
        <f t="shared" si="70"/>
        <v>0</v>
      </c>
      <c r="M168">
        <f t="shared" si="71"/>
        <v>843048.25815825362</v>
      </c>
      <c r="N168">
        <f t="shared" si="72"/>
        <v>800569.65351380873</v>
      </c>
      <c r="O168">
        <f t="shared" si="81"/>
        <v>0</v>
      </c>
      <c r="P168">
        <f t="shared" si="82"/>
        <v>800569.65351380873</v>
      </c>
      <c r="Q168">
        <f t="shared" si="83"/>
        <v>800569.65351380873</v>
      </c>
      <c r="R168">
        <f t="shared" si="84"/>
        <v>0</v>
      </c>
      <c r="S168">
        <f t="shared" si="85"/>
        <v>800569.65351380873</v>
      </c>
      <c r="T168">
        <f t="shared" si="86"/>
        <v>800569.65351380873</v>
      </c>
      <c r="U168">
        <f t="shared" si="87"/>
        <v>0</v>
      </c>
      <c r="V168">
        <f t="shared" si="88"/>
        <v>800569.65351380873</v>
      </c>
      <c r="W168">
        <f t="shared" si="89"/>
        <v>800569.65351380873</v>
      </c>
      <c r="X168" s="44">
        <f t="shared" si="73"/>
        <v>105535.97019499936</v>
      </c>
      <c r="Y168" s="28">
        <f t="shared" si="74"/>
        <v>6173.8866724248055</v>
      </c>
      <c r="Z168" s="28">
        <f t="shared" si="75"/>
        <v>794395.76684138388</v>
      </c>
      <c r="AA168">
        <f t="shared" si="76"/>
        <v>0</v>
      </c>
      <c r="AB168" s="28">
        <f t="shared" si="77"/>
        <v>794395.76684138388</v>
      </c>
      <c r="AD168" s="28">
        <f t="shared" si="78"/>
        <v>0</v>
      </c>
      <c r="AE168" s="28">
        <f t="shared" si="79"/>
        <v>794395.76684138388</v>
      </c>
      <c r="AF168" s="51"/>
      <c r="AG168" t="str">
        <f t="shared" si="80"/>
        <v>5305730</v>
      </c>
    </row>
    <row r="169" spans="1:33" x14ac:dyDescent="0.25">
      <c r="A169" s="7" t="s">
        <v>183</v>
      </c>
      <c r="B169" s="2" t="s">
        <v>986</v>
      </c>
      <c r="C169" s="4" t="s">
        <v>985</v>
      </c>
      <c r="D169">
        <f>_xlfn.IFNA(VLOOKUP(A169,'Prior Year data'!$A$1:$T$317,12,FALSE),0)</f>
        <v>969649.77957572986</v>
      </c>
      <c r="E169">
        <f>VLOOKUP(A169,'Basic HH'!$B$1:$Y$321,23,FALSE)</f>
        <v>496295.7092402447</v>
      </c>
      <c r="F169">
        <f>VLOOKUP(A169,'Conc. HH'!$B$1:$Y$321,23,FALSE)</f>
        <v>0</v>
      </c>
      <c r="G169">
        <f>VLOOKUP(A169,'Targeted HH'!$B$1:$Y$321,23,FALSE)</f>
        <v>237491.06569246729</v>
      </c>
      <c r="H169">
        <f>VLOOKUP(A169,'EFIG HH'!$B$1:$Y$321,23,FALSE)</f>
        <v>327449.46942936192</v>
      </c>
      <c r="I169">
        <f t="shared" si="67"/>
        <v>1061236.244362074</v>
      </c>
      <c r="J169">
        <f t="shared" si="68"/>
        <v>969649.77957572986</v>
      </c>
      <c r="K169" s="44">
        <f t="shared" si="69"/>
        <v>987383.08635790041</v>
      </c>
      <c r="L169">
        <f t="shared" si="70"/>
        <v>0</v>
      </c>
      <c r="M169">
        <f t="shared" si="71"/>
        <v>987383.08635790041</v>
      </c>
      <c r="N169">
        <f t="shared" si="72"/>
        <v>937631.89435658115</v>
      </c>
      <c r="O169">
        <f t="shared" si="81"/>
        <v>32017.885219148709</v>
      </c>
      <c r="P169">
        <f t="shared" si="82"/>
        <v>0</v>
      </c>
      <c r="Q169">
        <f t="shared" si="83"/>
        <v>937631.89435658115</v>
      </c>
      <c r="R169">
        <f t="shared" si="84"/>
        <v>0</v>
      </c>
      <c r="S169">
        <f t="shared" si="85"/>
        <v>0</v>
      </c>
      <c r="T169">
        <f t="shared" si="86"/>
        <v>937631.89435658115</v>
      </c>
      <c r="U169">
        <f t="shared" si="87"/>
        <v>32017.885219148709</v>
      </c>
      <c r="V169">
        <f t="shared" si="88"/>
        <v>0</v>
      </c>
      <c r="W169">
        <f t="shared" si="89"/>
        <v>937631.89435658115</v>
      </c>
      <c r="X169" s="44">
        <f t="shared" si="73"/>
        <v>123604.3500054928</v>
      </c>
      <c r="Y169" s="28">
        <f t="shared" si="74"/>
        <v>7230.8924411518065</v>
      </c>
      <c r="Z169" s="28">
        <f t="shared" si="75"/>
        <v>930401.00191542937</v>
      </c>
      <c r="AA169">
        <f t="shared" si="76"/>
        <v>0</v>
      </c>
      <c r="AB169" s="28">
        <f t="shared" si="77"/>
        <v>930401.00191542937</v>
      </c>
      <c r="AD169" s="28">
        <f t="shared" si="78"/>
        <v>0</v>
      </c>
      <c r="AE169" s="28">
        <f t="shared" si="79"/>
        <v>930401.00191542937</v>
      </c>
      <c r="AF169" s="51"/>
      <c r="AG169" t="str">
        <f t="shared" si="80"/>
        <v>5305760</v>
      </c>
    </row>
    <row r="170" spans="1:33" x14ac:dyDescent="0.25">
      <c r="A170" s="7" t="s">
        <v>505</v>
      </c>
      <c r="B170" s="2" t="s">
        <v>988</v>
      </c>
      <c r="C170" s="4" t="s">
        <v>987</v>
      </c>
      <c r="D170">
        <f>_xlfn.IFNA(VLOOKUP(A170,'Prior Year data'!$A$1:$T$317,12,FALSE),0)</f>
        <v>704898.92882449785</v>
      </c>
      <c r="E170">
        <f>VLOOKUP(A170,'Basic HH'!$B$1:$Y$321,23,FALSE)</f>
        <v>298465.53051363037</v>
      </c>
      <c r="F170">
        <f>VLOOKUP(A170,'Conc. HH'!$B$1:$Y$321,23,FALSE)</f>
        <v>72303.109848999302</v>
      </c>
      <c r="G170">
        <f>VLOOKUP(A170,'Targeted HH'!$B$1:$Y$321,23,FALSE)</f>
        <v>142823.91645630181</v>
      </c>
      <c r="H170">
        <f>VLOOKUP(A170,'EFIG HH'!$B$1:$Y$321,23,FALSE)</f>
        <v>196923.68438819508</v>
      </c>
      <c r="I170">
        <f t="shared" si="67"/>
        <v>710516.24120712653</v>
      </c>
      <c r="J170">
        <f t="shared" si="68"/>
        <v>704898.92882449785</v>
      </c>
      <c r="K170" s="44">
        <f t="shared" si="69"/>
        <v>661070.25921661861</v>
      </c>
      <c r="L170">
        <f t="shared" si="70"/>
        <v>43828.669607879245</v>
      </c>
      <c r="M170">
        <f t="shared" si="71"/>
        <v>0</v>
      </c>
      <c r="N170">
        <f t="shared" si="72"/>
        <v>704898.92882449785</v>
      </c>
      <c r="O170">
        <f t="shared" si="81"/>
        <v>0</v>
      </c>
      <c r="P170">
        <f t="shared" si="82"/>
        <v>0</v>
      </c>
      <c r="Q170">
        <f t="shared" si="83"/>
        <v>704898.92882449785</v>
      </c>
      <c r="R170">
        <f t="shared" si="84"/>
        <v>0</v>
      </c>
      <c r="S170">
        <f t="shared" si="85"/>
        <v>0</v>
      </c>
      <c r="T170">
        <f t="shared" si="86"/>
        <v>704898.92882449785</v>
      </c>
      <c r="U170">
        <f t="shared" si="87"/>
        <v>0</v>
      </c>
      <c r="V170">
        <f t="shared" si="88"/>
        <v>0</v>
      </c>
      <c r="W170">
        <f t="shared" si="89"/>
        <v>704898.92882449785</v>
      </c>
      <c r="X170" s="44">
        <f t="shared" si="73"/>
        <v>5617.3123826286756</v>
      </c>
      <c r="Y170" s="28">
        <f t="shared" si="74"/>
        <v>5436.0867701826073</v>
      </c>
      <c r="Z170" s="28">
        <f t="shared" si="75"/>
        <v>699462.84205431526</v>
      </c>
      <c r="AA170">
        <f t="shared" si="76"/>
        <v>0</v>
      </c>
      <c r="AB170" s="28">
        <f t="shared" si="77"/>
        <v>699462.84205431526</v>
      </c>
      <c r="AD170" s="28">
        <f t="shared" si="78"/>
        <v>0</v>
      </c>
      <c r="AE170" s="28">
        <f t="shared" si="79"/>
        <v>699462.84205431526</v>
      </c>
      <c r="AF170" s="51"/>
      <c r="AG170" t="str">
        <f t="shared" si="80"/>
        <v>5305790</v>
      </c>
    </row>
    <row r="171" spans="1:33" x14ac:dyDescent="0.25">
      <c r="A171" s="7" t="s">
        <v>507</v>
      </c>
      <c r="B171" s="2" t="s">
        <v>990</v>
      </c>
      <c r="C171" s="4" t="s">
        <v>989</v>
      </c>
      <c r="D171">
        <f>_xlfn.IFNA(VLOOKUP(A171,'Prior Year data'!$A$1:$T$317,12,FALSE),0)</f>
        <v>1377.0597856717359</v>
      </c>
      <c r="E171">
        <f>VLOOKUP(A171,'Basic HH'!$B$1:$Y$321,23,FALSE)</f>
        <v>0</v>
      </c>
      <c r="F171">
        <f>VLOOKUP(A171,'Conc. HH'!$B$1:$Y$321,23,FALSE)</f>
        <v>1179.5509439523037</v>
      </c>
      <c r="G171">
        <f>VLOOKUP(A171,'Targeted HH'!$B$1:$Y$321,23,FALSE)</f>
        <v>0</v>
      </c>
      <c r="H171">
        <f>VLOOKUP(A171,'EFIG HH'!$B$1:$Y$321,23,FALSE)</f>
        <v>0</v>
      </c>
      <c r="I171">
        <f t="shared" si="67"/>
        <v>1179.5509439523037</v>
      </c>
      <c r="J171">
        <f t="shared" si="68"/>
        <v>1377.0597856717359</v>
      </c>
      <c r="K171" s="44">
        <f t="shared" si="69"/>
        <v>1097.464073379911</v>
      </c>
      <c r="L171">
        <f t="shared" si="70"/>
        <v>82.086870572392627</v>
      </c>
      <c r="M171">
        <f t="shared" si="71"/>
        <v>0</v>
      </c>
      <c r="N171">
        <f t="shared" si="72"/>
        <v>1179.5509439523037</v>
      </c>
      <c r="O171">
        <f t="shared" si="81"/>
        <v>0</v>
      </c>
      <c r="P171">
        <f t="shared" si="82"/>
        <v>0</v>
      </c>
      <c r="Q171">
        <f t="shared" si="83"/>
        <v>1179.5509439523037</v>
      </c>
      <c r="R171">
        <f t="shared" si="84"/>
        <v>0</v>
      </c>
      <c r="S171">
        <f t="shared" si="85"/>
        <v>0</v>
      </c>
      <c r="T171">
        <f t="shared" si="86"/>
        <v>1179.5509439523037</v>
      </c>
      <c r="U171">
        <f t="shared" si="87"/>
        <v>0</v>
      </c>
      <c r="V171">
        <f t="shared" si="88"/>
        <v>0</v>
      </c>
      <c r="W171">
        <f t="shared" si="89"/>
        <v>1179.5509439523037</v>
      </c>
      <c r="X171" s="44">
        <f t="shared" si="73"/>
        <v>0</v>
      </c>
      <c r="Y171" s="28">
        <f t="shared" si="74"/>
        <v>9.0965399704444518</v>
      </c>
      <c r="Z171" s="28">
        <f t="shared" si="75"/>
        <v>1170.4544039818593</v>
      </c>
      <c r="AA171">
        <f t="shared" si="76"/>
        <v>0</v>
      </c>
      <c r="AB171" s="28">
        <f t="shared" si="77"/>
        <v>1170.4544039818593</v>
      </c>
      <c r="AD171" s="28">
        <f t="shared" si="78"/>
        <v>0</v>
      </c>
      <c r="AE171" s="28">
        <f t="shared" si="79"/>
        <v>1170.4544039818593</v>
      </c>
      <c r="AF171" s="51"/>
      <c r="AG171" t="str">
        <f t="shared" si="80"/>
        <v>5305820</v>
      </c>
    </row>
    <row r="172" spans="1:33" x14ac:dyDescent="0.25">
      <c r="A172" s="7" t="s">
        <v>185</v>
      </c>
      <c r="B172" s="2" t="s">
        <v>992</v>
      </c>
      <c r="C172" s="4" t="s">
        <v>991</v>
      </c>
      <c r="D172">
        <f>_xlfn.IFNA(VLOOKUP(A172,'Prior Year data'!$A$1:$T$317,12,FALSE),0)</f>
        <v>3278866.0426155431</v>
      </c>
      <c r="E172">
        <f>VLOOKUP(A172,'Basic HH'!$B$1:$Y$321,23,FALSE)</f>
        <v>1286756.292934845</v>
      </c>
      <c r="F172">
        <f>VLOOKUP(A172,'Conc. HH'!$B$1:$Y$321,23,FALSE)</f>
        <v>0</v>
      </c>
      <c r="G172">
        <f>VLOOKUP(A172,'Targeted HH'!$B$1:$Y$321,23,FALSE)</f>
        <v>798988.07563776523</v>
      </c>
      <c r="H172">
        <f>VLOOKUP(A172,'EFIG HH'!$B$1:$Y$321,23,FALSE)</f>
        <v>1101751.5536431181</v>
      </c>
      <c r="I172">
        <f t="shared" si="67"/>
        <v>3187495.9222157281</v>
      </c>
      <c r="J172">
        <f t="shared" si="68"/>
        <v>3278866.0426155431</v>
      </c>
      <c r="K172" s="44">
        <f t="shared" si="69"/>
        <v>2965672.8915459043</v>
      </c>
      <c r="L172">
        <f t="shared" si="70"/>
        <v>221823.03066982375</v>
      </c>
      <c r="M172">
        <f t="shared" si="71"/>
        <v>0</v>
      </c>
      <c r="N172">
        <f t="shared" si="72"/>
        <v>3187495.9222157281</v>
      </c>
      <c r="O172">
        <f t="shared" si="81"/>
        <v>0</v>
      </c>
      <c r="P172">
        <f t="shared" si="82"/>
        <v>0</v>
      </c>
      <c r="Q172">
        <f t="shared" si="83"/>
        <v>3187495.9222157281</v>
      </c>
      <c r="R172">
        <f t="shared" si="84"/>
        <v>0</v>
      </c>
      <c r="S172">
        <f t="shared" si="85"/>
        <v>0</v>
      </c>
      <c r="T172">
        <f t="shared" si="86"/>
        <v>3187495.9222157281</v>
      </c>
      <c r="U172">
        <f t="shared" si="87"/>
        <v>0</v>
      </c>
      <c r="V172">
        <f t="shared" si="88"/>
        <v>0</v>
      </c>
      <c r="W172">
        <f t="shared" si="89"/>
        <v>3187495.9222157281</v>
      </c>
      <c r="X172" s="44">
        <f t="shared" si="73"/>
        <v>0</v>
      </c>
      <c r="Y172" s="28">
        <f t="shared" si="74"/>
        <v>24581.54453669491</v>
      </c>
      <c r="Z172" s="28">
        <f t="shared" si="75"/>
        <v>3162914.3776790332</v>
      </c>
      <c r="AA172">
        <f t="shared" si="76"/>
        <v>0</v>
      </c>
      <c r="AB172" s="28">
        <f t="shared" si="77"/>
        <v>3162914.3776790332</v>
      </c>
      <c r="AD172" s="28">
        <f t="shared" si="78"/>
        <v>0</v>
      </c>
      <c r="AE172" s="28">
        <f t="shared" si="79"/>
        <v>3162914.3776790332</v>
      </c>
      <c r="AF172" s="51"/>
      <c r="AG172" t="str">
        <f t="shared" si="80"/>
        <v>5305850</v>
      </c>
    </row>
    <row r="173" spans="1:33" x14ac:dyDescent="0.25">
      <c r="A173" s="7" t="s">
        <v>509</v>
      </c>
      <c r="B173" s="2" t="s">
        <v>994</v>
      </c>
      <c r="C173" s="4" t="s">
        <v>993</v>
      </c>
      <c r="D173">
        <f>_xlfn.IFNA(VLOOKUP(A173,'Prior Year data'!$A$1:$T$317,12,FALSE),0)</f>
        <v>133764.50567537939</v>
      </c>
      <c r="E173">
        <f>VLOOKUP(A173,'Basic HH'!$B$1:$Y$321,23,FALSE)</f>
        <v>62789.578465403589</v>
      </c>
      <c r="F173">
        <f>VLOOKUP(A173,'Conc. HH'!$B$1:$Y$321,23,FALSE)</f>
        <v>16505.97152718982</v>
      </c>
      <c r="G173">
        <f>VLOOKUP(A173,'Targeted HH'!$B$1:$Y$321,23,FALSE)</f>
        <v>50524.732189481183</v>
      </c>
      <c r="H173">
        <f>VLOOKUP(A173,'EFIG HH'!$B$1:$Y$321,23,FALSE)</f>
        <v>69662.817421223823</v>
      </c>
      <c r="I173">
        <f t="shared" si="67"/>
        <v>199483.09960329841</v>
      </c>
      <c r="J173">
        <f t="shared" si="68"/>
        <v>133764.50567537939</v>
      </c>
      <c r="K173" s="44">
        <f t="shared" si="69"/>
        <v>185600.74593093529</v>
      </c>
      <c r="L173">
        <f t="shared" si="70"/>
        <v>0</v>
      </c>
      <c r="M173">
        <f t="shared" si="71"/>
        <v>185600.74593093529</v>
      </c>
      <c r="N173">
        <f t="shared" si="72"/>
        <v>176248.89610286258</v>
      </c>
      <c r="O173">
        <f t="shared" si="81"/>
        <v>0</v>
      </c>
      <c r="P173">
        <f t="shared" si="82"/>
        <v>176248.89610286258</v>
      </c>
      <c r="Q173">
        <f t="shared" si="83"/>
        <v>176248.89610286258</v>
      </c>
      <c r="R173">
        <f t="shared" si="84"/>
        <v>0</v>
      </c>
      <c r="S173">
        <f t="shared" si="85"/>
        <v>176248.89610286258</v>
      </c>
      <c r="T173">
        <f t="shared" si="86"/>
        <v>176248.89610286258</v>
      </c>
      <c r="U173">
        <f t="shared" si="87"/>
        <v>0</v>
      </c>
      <c r="V173">
        <f t="shared" si="88"/>
        <v>176248.89610286258</v>
      </c>
      <c r="W173">
        <f t="shared" si="89"/>
        <v>176248.89610286258</v>
      </c>
      <c r="X173" s="44">
        <f t="shared" si="73"/>
        <v>23234.203500435833</v>
      </c>
      <c r="Y173" s="28">
        <f t="shared" si="74"/>
        <v>1359.208041302903</v>
      </c>
      <c r="Z173" s="28">
        <f t="shared" si="75"/>
        <v>174889.68806155969</v>
      </c>
      <c r="AA173">
        <f t="shared" si="76"/>
        <v>0</v>
      </c>
      <c r="AB173" s="28">
        <f t="shared" si="77"/>
        <v>174889.68806155969</v>
      </c>
      <c r="AD173" s="28">
        <f t="shared" si="78"/>
        <v>0</v>
      </c>
      <c r="AE173" s="28">
        <f t="shared" si="79"/>
        <v>174889.68806155969</v>
      </c>
      <c r="AF173" s="51"/>
      <c r="AG173" t="str">
        <f t="shared" si="80"/>
        <v>5305880</v>
      </c>
    </row>
    <row r="174" spans="1:33" x14ac:dyDescent="0.25">
      <c r="A174" s="7" t="s">
        <v>187</v>
      </c>
      <c r="B174" s="2" t="s">
        <v>996</v>
      </c>
      <c r="C174" s="4" t="s">
        <v>995</v>
      </c>
      <c r="D174">
        <f>_xlfn.IFNA(VLOOKUP(A174,'Prior Year data'!$A$1:$T$317,12,FALSE),0)</f>
        <v>745832.7162917821</v>
      </c>
      <c r="E174">
        <f>VLOOKUP(A174,'Basic HH'!$B$1:$Y$321,23,FALSE)</f>
        <v>852390.03094814986</v>
      </c>
      <c r="F174">
        <f>VLOOKUP(A174,'Conc. HH'!$B$1:$Y$321,23,FALSE)</f>
        <v>0</v>
      </c>
      <c r="G174">
        <f>VLOOKUP(A174,'Targeted HH'!$B$1:$Y$321,23,FALSE)</f>
        <v>0</v>
      </c>
      <c r="H174">
        <f>VLOOKUP(A174,'EFIG HH'!$B$1:$Y$321,23,FALSE)</f>
        <v>0</v>
      </c>
      <c r="I174">
        <f t="shared" si="67"/>
        <v>852390.03094814986</v>
      </c>
      <c r="J174">
        <f t="shared" si="68"/>
        <v>745832.7162917821</v>
      </c>
      <c r="K174" s="44">
        <f t="shared" si="69"/>
        <v>793070.82095015608</v>
      </c>
      <c r="L174">
        <f t="shared" si="70"/>
        <v>0</v>
      </c>
      <c r="M174">
        <f t="shared" si="71"/>
        <v>793070.82095015608</v>
      </c>
      <c r="N174">
        <f t="shared" si="72"/>
        <v>753110.42540674563</v>
      </c>
      <c r="O174">
        <f t="shared" si="81"/>
        <v>0</v>
      </c>
      <c r="P174">
        <f t="shared" si="82"/>
        <v>753110.42540674563</v>
      </c>
      <c r="Q174">
        <f t="shared" si="83"/>
        <v>753110.42540674563</v>
      </c>
      <c r="R174">
        <f t="shared" si="84"/>
        <v>0</v>
      </c>
      <c r="S174">
        <f t="shared" si="85"/>
        <v>753110.42540674563</v>
      </c>
      <c r="T174">
        <f t="shared" si="86"/>
        <v>753110.42540674563</v>
      </c>
      <c r="U174">
        <f t="shared" si="87"/>
        <v>0</v>
      </c>
      <c r="V174">
        <f t="shared" si="88"/>
        <v>753110.42540674563</v>
      </c>
      <c r="W174">
        <f t="shared" si="89"/>
        <v>753110.42540674563</v>
      </c>
      <c r="X174" s="44">
        <f t="shared" si="73"/>
        <v>99279.60554140422</v>
      </c>
      <c r="Y174" s="28">
        <f t="shared" si="74"/>
        <v>5807.8874185089044</v>
      </c>
      <c r="Z174" s="28">
        <f t="shared" si="75"/>
        <v>747302.53798823676</v>
      </c>
      <c r="AA174">
        <f t="shared" si="76"/>
        <v>0</v>
      </c>
      <c r="AB174" s="28">
        <f t="shared" si="77"/>
        <v>747302.53798823676</v>
      </c>
      <c r="AD174" s="28">
        <f t="shared" si="78"/>
        <v>0</v>
      </c>
      <c r="AE174" s="28">
        <f t="shared" si="79"/>
        <v>747302.53798823676</v>
      </c>
      <c r="AF174" s="51"/>
      <c r="AG174" t="str">
        <f t="shared" si="80"/>
        <v>5305910</v>
      </c>
    </row>
    <row r="175" spans="1:33" x14ac:dyDescent="0.25">
      <c r="A175" s="7" t="s">
        <v>189</v>
      </c>
      <c r="B175" s="2" t="s">
        <v>998</v>
      </c>
      <c r="C175" s="4" t="s">
        <v>997</v>
      </c>
      <c r="D175">
        <f>_xlfn.IFNA(VLOOKUP(A175,'Prior Year data'!$A$1:$T$317,12,FALSE),0)</f>
        <v>861910.91517842654</v>
      </c>
      <c r="E175">
        <f>VLOOKUP(A175,'Basic HH'!$B$1:$Y$321,23,FALSE)</f>
        <v>384569.00240472978</v>
      </c>
      <c r="F175">
        <f>VLOOKUP(A175,'Conc. HH'!$B$1:$Y$321,23,FALSE)</f>
        <v>0</v>
      </c>
      <c r="G175">
        <f>VLOOKUP(A175,'Targeted HH'!$B$1:$Y$321,23,FALSE)</f>
        <v>186936.83825241221</v>
      </c>
      <c r="H175">
        <f>VLOOKUP(A175,'EFIG HH'!$B$1:$Y$321,23,FALSE)</f>
        <v>257773.49907672699</v>
      </c>
      <c r="I175">
        <f t="shared" si="67"/>
        <v>829279.33973386895</v>
      </c>
      <c r="J175">
        <f t="shared" si="68"/>
        <v>861910.91517842654</v>
      </c>
      <c r="K175" s="44">
        <f t="shared" si="69"/>
        <v>771568.44036312855</v>
      </c>
      <c r="L175">
        <f t="shared" si="70"/>
        <v>57710.899370740401</v>
      </c>
      <c r="M175">
        <f t="shared" si="71"/>
        <v>0</v>
      </c>
      <c r="N175">
        <f t="shared" si="72"/>
        <v>829279.33973386895</v>
      </c>
      <c r="O175">
        <f t="shared" si="81"/>
        <v>0</v>
      </c>
      <c r="P175">
        <f t="shared" si="82"/>
        <v>0</v>
      </c>
      <c r="Q175">
        <f t="shared" si="83"/>
        <v>829279.33973386895</v>
      </c>
      <c r="R175">
        <f t="shared" si="84"/>
        <v>0</v>
      </c>
      <c r="S175">
        <f t="shared" si="85"/>
        <v>0</v>
      </c>
      <c r="T175">
        <f t="shared" si="86"/>
        <v>829279.33973386895</v>
      </c>
      <c r="U175">
        <f t="shared" si="87"/>
        <v>0</v>
      </c>
      <c r="V175">
        <f t="shared" si="88"/>
        <v>0</v>
      </c>
      <c r="W175">
        <f t="shared" si="89"/>
        <v>829279.33973386895</v>
      </c>
      <c r="X175" s="44">
        <f t="shared" si="73"/>
        <v>0</v>
      </c>
      <c r="Y175" s="28">
        <f t="shared" si="74"/>
        <v>6395.29195345882</v>
      </c>
      <c r="Z175" s="28">
        <f t="shared" si="75"/>
        <v>822884.04778041015</v>
      </c>
      <c r="AA175">
        <f t="shared" si="76"/>
        <v>0</v>
      </c>
      <c r="AB175" s="28">
        <f t="shared" si="77"/>
        <v>822884.04778041015</v>
      </c>
      <c r="AD175" s="28">
        <f t="shared" si="78"/>
        <v>0</v>
      </c>
      <c r="AE175" s="28">
        <f t="shared" si="79"/>
        <v>822884.04778041015</v>
      </c>
      <c r="AF175" s="51"/>
      <c r="AG175" t="str">
        <f t="shared" si="80"/>
        <v>5305940</v>
      </c>
    </row>
    <row r="176" spans="1:33" x14ac:dyDescent="0.25">
      <c r="A176" s="7" t="s">
        <v>191</v>
      </c>
      <c r="B176" s="2" t="s">
        <v>1000</v>
      </c>
      <c r="C176" s="4" t="s">
        <v>999</v>
      </c>
      <c r="D176">
        <f>_xlfn.IFNA(VLOOKUP(A176,'Prior Year data'!$A$1:$T$317,12,FALSE),0)</f>
        <v>20737.901511648386</v>
      </c>
      <c r="E176">
        <f>VLOOKUP(A176,'Basic HH'!$B$1:$Y$321,23,FALSE)</f>
        <v>14622.230601532345</v>
      </c>
      <c r="F176">
        <f>VLOOKUP(A176,'Conc. HH'!$B$1:$Y$321,23,FALSE)</f>
        <v>0</v>
      </c>
      <c r="G176">
        <f>VLOOKUP(A176,'Targeted HH'!$B$1:$Y$321,23,FALSE)</f>
        <v>6997.1371174557089</v>
      </c>
      <c r="H176">
        <f>VLOOKUP(A176,'EFIG HH'!$B$1:$Y$321,23,FALSE)</f>
        <v>9647.5580247818925</v>
      </c>
      <c r="I176">
        <f t="shared" si="67"/>
        <v>31266.925743769949</v>
      </c>
      <c r="J176">
        <f t="shared" si="68"/>
        <v>20737.901511648386</v>
      </c>
      <c r="K176" s="44">
        <f t="shared" si="69"/>
        <v>29091.009476749237</v>
      </c>
      <c r="L176">
        <f t="shared" si="70"/>
        <v>0</v>
      </c>
      <c r="M176">
        <f t="shared" si="71"/>
        <v>29091.009476749237</v>
      </c>
      <c r="N176">
        <f t="shared" si="72"/>
        <v>27625.203126623714</v>
      </c>
      <c r="O176">
        <f t="shared" si="81"/>
        <v>0</v>
      </c>
      <c r="P176">
        <f t="shared" si="82"/>
        <v>27625.203126623714</v>
      </c>
      <c r="Q176">
        <f t="shared" si="83"/>
        <v>27625.203126623714</v>
      </c>
      <c r="R176">
        <f t="shared" si="84"/>
        <v>0</v>
      </c>
      <c r="S176">
        <f t="shared" si="85"/>
        <v>27625.203126623714</v>
      </c>
      <c r="T176">
        <f t="shared" si="86"/>
        <v>27625.203126623714</v>
      </c>
      <c r="U176">
        <f t="shared" si="87"/>
        <v>0</v>
      </c>
      <c r="V176">
        <f t="shared" si="88"/>
        <v>27625.203126623714</v>
      </c>
      <c r="W176">
        <f t="shared" si="89"/>
        <v>27625.203126623714</v>
      </c>
      <c r="X176" s="44">
        <f t="shared" si="73"/>
        <v>3641.7226171462353</v>
      </c>
      <c r="Y176" s="28">
        <f t="shared" si="74"/>
        <v>213.04189168038255</v>
      </c>
      <c r="Z176" s="28">
        <f t="shared" si="75"/>
        <v>27412.161234943331</v>
      </c>
      <c r="AA176">
        <f t="shared" si="76"/>
        <v>0</v>
      </c>
      <c r="AB176" s="28">
        <f t="shared" si="77"/>
        <v>27412.161234943331</v>
      </c>
      <c r="AD176" s="28">
        <f t="shared" si="78"/>
        <v>0</v>
      </c>
      <c r="AE176" s="28">
        <f t="shared" si="79"/>
        <v>27412.161234943331</v>
      </c>
      <c r="AF176" s="51"/>
      <c r="AG176" t="str">
        <f t="shared" si="80"/>
        <v>5305970</v>
      </c>
    </row>
    <row r="177" spans="1:33" x14ac:dyDescent="0.25">
      <c r="A177" s="7" t="s">
        <v>511</v>
      </c>
      <c r="B177" s="2" t="s">
        <v>1002</v>
      </c>
      <c r="C177" s="4" t="s">
        <v>1001</v>
      </c>
      <c r="D177">
        <f>_xlfn.IFNA(VLOOKUP(A177,'Prior Year data'!$A$1:$T$317,12,FALSE),0)</f>
        <v>160893.81754619864</v>
      </c>
      <c r="E177">
        <f>VLOOKUP(A177,'Basic HH'!$B$1:$Y$321,23,FALSE)</f>
        <v>98054.958151452098</v>
      </c>
      <c r="F177">
        <f>VLOOKUP(A177,'Conc. HH'!$B$1:$Y$321,23,FALSE)</f>
        <v>25776.448686296444</v>
      </c>
      <c r="G177">
        <f>VLOOKUP(A177,'Targeted HH'!$B$1:$Y$321,23,FALSE)</f>
        <v>64948.352815901213</v>
      </c>
      <c r="H177">
        <f>VLOOKUP(A177,'EFIG HH'!$B$1:$Y$321,23,FALSE)</f>
        <v>89549.910468705304</v>
      </c>
      <c r="I177">
        <f t="shared" si="67"/>
        <v>278329.67012235505</v>
      </c>
      <c r="J177">
        <f t="shared" si="68"/>
        <v>160893.81754619864</v>
      </c>
      <c r="K177" s="44">
        <f t="shared" si="69"/>
        <v>258960.25524041982</v>
      </c>
      <c r="L177">
        <f t="shared" si="70"/>
        <v>0</v>
      </c>
      <c r="M177">
        <f t="shared" si="71"/>
        <v>258960.25524041982</v>
      </c>
      <c r="N177">
        <f t="shared" si="72"/>
        <v>245912.04572864901</v>
      </c>
      <c r="O177">
        <f t="shared" si="81"/>
        <v>0</v>
      </c>
      <c r="P177">
        <f t="shared" si="82"/>
        <v>245912.04572864901</v>
      </c>
      <c r="Q177">
        <f t="shared" si="83"/>
        <v>245912.04572864901</v>
      </c>
      <c r="R177">
        <f t="shared" si="84"/>
        <v>0</v>
      </c>
      <c r="S177">
        <f t="shared" si="85"/>
        <v>245912.04572864901</v>
      </c>
      <c r="T177">
        <f t="shared" si="86"/>
        <v>245912.04572864901</v>
      </c>
      <c r="U177">
        <f t="shared" si="87"/>
        <v>0</v>
      </c>
      <c r="V177">
        <f t="shared" si="88"/>
        <v>245912.04572864901</v>
      </c>
      <c r="W177">
        <f t="shared" si="89"/>
        <v>245912.04572864901</v>
      </c>
      <c r="X177" s="44">
        <f t="shared" si="73"/>
        <v>32417.624393706035</v>
      </c>
      <c r="Y177" s="28">
        <f t="shared" si="74"/>
        <v>1896.4409843029832</v>
      </c>
      <c r="Z177" s="28">
        <f t="shared" si="75"/>
        <v>244015.60474434603</v>
      </c>
      <c r="AA177">
        <f t="shared" si="76"/>
        <v>0</v>
      </c>
      <c r="AB177" s="28">
        <f t="shared" si="77"/>
        <v>244015.60474434603</v>
      </c>
      <c r="AD177" s="28">
        <f t="shared" si="78"/>
        <v>0</v>
      </c>
      <c r="AE177" s="28">
        <f t="shared" si="79"/>
        <v>244015.60474434603</v>
      </c>
      <c r="AF177" s="51"/>
      <c r="AG177" t="str">
        <f t="shared" si="80"/>
        <v>5306000</v>
      </c>
    </row>
    <row r="178" spans="1:33" x14ac:dyDescent="0.25">
      <c r="A178" s="7" t="s">
        <v>513</v>
      </c>
      <c r="B178" s="2" t="s">
        <v>1004</v>
      </c>
      <c r="C178" s="4" t="s">
        <v>1003</v>
      </c>
      <c r="D178">
        <f>_xlfn.IFNA(VLOOKUP(A178,'Prior Year data'!$A$1:$T$317,12,FALSE),0)</f>
        <v>394302.07869801356</v>
      </c>
      <c r="E178">
        <f>VLOOKUP(A178,'Basic HH'!$B$1:$Y$321,23,FALSE)</f>
        <v>164285.06146427509</v>
      </c>
      <c r="F178">
        <f>VLOOKUP(A178,'Conc. HH'!$B$1:$Y$321,23,FALSE)</f>
        <v>43186.857009496678</v>
      </c>
      <c r="G178">
        <f>VLOOKUP(A178,'Targeted HH'!$B$1:$Y$321,23,FALSE)</f>
        <v>87220.569537803545</v>
      </c>
      <c r="H178">
        <f>VLOOKUP(A178,'EFIG HH'!$B$1:$Y$321,23,FALSE)</f>
        <v>120258.54166431664</v>
      </c>
      <c r="I178">
        <f t="shared" si="67"/>
        <v>414951.02967589197</v>
      </c>
      <c r="J178">
        <f t="shared" si="68"/>
        <v>394302.07869801356</v>
      </c>
      <c r="K178" s="44">
        <f t="shared" si="69"/>
        <v>386073.91195450316</v>
      </c>
      <c r="L178">
        <f t="shared" si="70"/>
        <v>8228.1667435104027</v>
      </c>
      <c r="M178">
        <f t="shared" si="71"/>
        <v>0</v>
      </c>
      <c r="N178">
        <f t="shared" si="72"/>
        <v>394302.07869801356</v>
      </c>
      <c r="O178">
        <f t="shared" si="81"/>
        <v>0</v>
      </c>
      <c r="P178">
        <f t="shared" si="82"/>
        <v>0</v>
      </c>
      <c r="Q178">
        <f t="shared" si="83"/>
        <v>394302.07869801356</v>
      </c>
      <c r="R178">
        <f t="shared" si="84"/>
        <v>0</v>
      </c>
      <c r="S178">
        <f t="shared" si="85"/>
        <v>0</v>
      </c>
      <c r="T178">
        <f t="shared" si="86"/>
        <v>394302.07869801356</v>
      </c>
      <c r="U178">
        <f t="shared" si="87"/>
        <v>0</v>
      </c>
      <c r="V178">
        <f t="shared" si="88"/>
        <v>0</v>
      </c>
      <c r="W178">
        <f t="shared" si="89"/>
        <v>394302.07869801356</v>
      </c>
      <c r="X178" s="44">
        <f t="shared" si="73"/>
        <v>20648.950977878412</v>
      </c>
      <c r="Y178" s="28">
        <f t="shared" si="74"/>
        <v>3040.8051790350223</v>
      </c>
      <c r="Z178" s="28">
        <f t="shared" si="75"/>
        <v>391261.27351897856</v>
      </c>
      <c r="AA178">
        <f t="shared" si="76"/>
        <v>0</v>
      </c>
      <c r="AB178" s="28">
        <f t="shared" si="77"/>
        <v>391261.27351897856</v>
      </c>
      <c r="AD178" s="28">
        <f t="shared" si="78"/>
        <v>0</v>
      </c>
      <c r="AE178" s="28">
        <f t="shared" si="79"/>
        <v>391261.27351897856</v>
      </c>
      <c r="AF178" s="51"/>
      <c r="AG178" t="str">
        <f t="shared" si="80"/>
        <v>5306060</v>
      </c>
    </row>
    <row r="179" spans="1:33" x14ac:dyDescent="0.25">
      <c r="A179" s="7" t="s">
        <v>515</v>
      </c>
      <c r="B179" s="2" t="s">
        <v>1006</v>
      </c>
      <c r="C179" s="4" t="s">
        <v>1005</v>
      </c>
      <c r="D179">
        <f>_xlfn.IFNA(VLOOKUP(A179,'Prior Year data'!$A$1:$T$317,12,FALSE),0)</f>
        <v>424841.04368364514</v>
      </c>
      <c r="E179">
        <f>VLOOKUP(A179,'Basic HH'!$B$1:$Y$321,23,FALSE)</f>
        <v>171166.11115911388</v>
      </c>
      <c r="F179">
        <f>VLOOKUP(A179,'Conc. HH'!$B$1:$Y$321,23,FALSE)</f>
        <v>44995.730601517484</v>
      </c>
      <c r="G179">
        <f>VLOOKUP(A179,'Targeted HH'!$B$1:$Y$321,23,FALSE)</f>
        <v>127979.49006161955</v>
      </c>
      <c r="H179">
        <f>VLOOKUP(A179,'EFIG HH'!$B$1:$Y$321,23,FALSE)</f>
        <v>176456.3900386203</v>
      </c>
      <c r="I179">
        <f t="shared" si="67"/>
        <v>520597.72186087118</v>
      </c>
      <c r="J179">
        <f t="shared" si="68"/>
        <v>424841.04368364514</v>
      </c>
      <c r="K179" s="44">
        <f t="shared" si="69"/>
        <v>484368.47883090354</v>
      </c>
      <c r="L179">
        <f t="shared" si="70"/>
        <v>0</v>
      </c>
      <c r="M179">
        <f t="shared" si="71"/>
        <v>484368.47883090354</v>
      </c>
      <c r="N179">
        <f t="shared" si="72"/>
        <v>459962.64332222397</v>
      </c>
      <c r="O179">
        <f t="shared" si="81"/>
        <v>0</v>
      </c>
      <c r="P179">
        <f t="shared" si="82"/>
        <v>459962.64332222397</v>
      </c>
      <c r="Q179">
        <f t="shared" si="83"/>
        <v>459962.64332222397</v>
      </c>
      <c r="R179">
        <f t="shared" si="84"/>
        <v>0</v>
      </c>
      <c r="S179">
        <f t="shared" si="85"/>
        <v>459962.64332222397</v>
      </c>
      <c r="T179">
        <f t="shared" si="86"/>
        <v>459962.64332222397</v>
      </c>
      <c r="U179">
        <f t="shared" si="87"/>
        <v>0</v>
      </c>
      <c r="V179">
        <f t="shared" si="88"/>
        <v>459962.64332222397</v>
      </c>
      <c r="W179">
        <f t="shared" si="89"/>
        <v>459962.64332222397</v>
      </c>
      <c r="X179" s="44">
        <f t="shared" si="73"/>
        <v>60635.078538647213</v>
      </c>
      <c r="Y179" s="28">
        <f t="shared" si="74"/>
        <v>3547.1707189452959</v>
      </c>
      <c r="Z179" s="28">
        <f t="shared" si="75"/>
        <v>456415.4726032787</v>
      </c>
      <c r="AA179">
        <f t="shared" si="76"/>
        <v>0</v>
      </c>
      <c r="AB179" s="28">
        <f t="shared" si="77"/>
        <v>456415.4726032787</v>
      </c>
      <c r="AD179" s="28">
        <f t="shared" si="78"/>
        <v>0</v>
      </c>
      <c r="AE179" s="28">
        <f t="shared" si="79"/>
        <v>456415.4726032787</v>
      </c>
      <c r="AF179" s="51"/>
      <c r="AG179" t="str">
        <f t="shared" si="80"/>
        <v>5306090</v>
      </c>
    </row>
    <row r="180" spans="1:33" x14ac:dyDescent="0.25">
      <c r="A180" s="7" t="s">
        <v>292</v>
      </c>
      <c r="B180" s="2" t="s">
        <v>1008</v>
      </c>
      <c r="C180" s="4" t="s">
        <v>1007</v>
      </c>
      <c r="D180">
        <f>_xlfn.IFNA(VLOOKUP(A180,'Prior Year data'!$A$1:$T$317,12,FALSE),0)</f>
        <v>65992.06108743904</v>
      </c>
      <c r="E180">
        <f>VLOOKUP(A180,'Basic HH'!$B$1:$Y$321,23,FALSE)</f>
        <v>28384.329991209834</v>
      </c>
      <c r="F180">
        <f>VLOOKUP(A180,'Conc. HH'!$B$1:$Y$321,23,FALSE)</f>
        <v>0</v>
      </c>
      <c r="G180">
        <f>VLOOKUP(A180,'Targeted HH'!$B$1:$Y$321,23,FALSE)</f>
        <v>13686.447086337319</v>
      </c>
      <c r="H180">
        <f>VLOOKUP(A180,'EFIG HH'!$B$1:$Y$321,23,FALSE)</f>
        <v>18872.702610974666</v>
      </c>
      <c r="I180">
        <f t="shared" si="67"/>
        <v>60943.479688521817</v>
      </c>
      <c r="J180">
        <f t="shared" si="68"/>
        <v>65992.06108743904</v>
      </c>
      <c r="K180" s="44">
        <f t="shared" si="69"/>
        <v>56702.323717198873</v>
      </c>
      <c r="L180">
        <f t="shared" si="70"/>
        <v>4241.1559713229435</v>
      </c>
      <c r="M180">
        <f t="shared" si="71"/>
        <v>0</v>
      </c>
      <c r="N180">
        <f t="shared" si="72"/>
        <v>60943.479688521817</v>
      </c>
      <c r="O180">
        <f t="shared" si="81"/>
        <v>0</v>
      </c>
      <c r="P180">
        <f t="shared" si="82"/>
        <v>0</v>
      </c>
      <c r="Q180">
        <f t="shared" si="83"/>
        <v>60943.479688521817</v>
      </c>
      <c r="R180">
        <f t="shared" si="84"/>
        <v>0</v>
      </c>
      <c r="S180">
        <f t="shared" si="85"/>
        <v>0</v>
      </c>
      <c r="T180">
        <f t="shared" si="86"/>
        <v>60943.479688521817</v>
      </c>
      <c r="U180">
        <f t="shared" si="87"/>
        <v>0</v>
      </c>
      <c r="V180">
        <f t="shared" si="88"/>
        <v>0</v>
      </c>
      <c r="W180">
        <f t="shared" si="89"/>
        <v>60943.479688521817</v>
      </c>
      <c r="X180" s="44">
        <f t="shared" si="73"/>
        <v>0</v>
      </c>
      <c r="Y180" s="28">
        <f t="shared" si="74"/>
        <v>469.98800837467263</v>
      </c>
      <c r="Z180" s="28">
        <f t="shared" si="75"/>
        <v>60473.491680147141</v>
      </c>
      <c r="AA180">
        <f t="shared" si="76"/>
        <v>0</v>
      </c>
      <c r="AB180" s="28">
        <f t="shared" si="77"/>
        <v>60473.491680147141</v>
      </c>
      <c r="AD180" s="28">
        <f t="shared" si="78"/>
        <v>0</v>
      </c>
      <c r="AE180" s="28">
        <f t="shared" si="79"/>
        <v>60473.491680147141</v>
      </c>
      <c r="AF180" s="51"/>
      <c r="AG180" t="str">
        <f t="shared" si="80"/>
        <v>5306120</v>
      </c>
    </row>
    <row r="181" spans="1:33" x14ac:dyDescent="0.25">
      <c r="A181" s="7" t="s">
        <v>517</v>
      </c>
      <c r="B181" s="2" t="s">
        <v>1010</v>
      </c>
      <c r="C181" s="4" t="s">
        <v>1009</v>
      </c>
      <c r="D181">
        <f>_xlfn.IFNA(VLOOKUP(A181,'Prior Year data'!$A$1:$T$317,12,FALSE),0)</f>
        <v>566850.70043574646</v>
      </c>
      <c r="E181">
        <f>VLOOKUP(A181,'Basic HH'!$B$1:$Y$321,23,FALSE)</f>
        <v>189540.06334198822</v>
      </c>
      <c r="F181">
        <f>VLOOKUP(A181,'Conc. HH'!$B$1:$Y$321,23,FALSE)</f>
        <v>49281.936064202098</v>
      </c>
      <c r="G181">
        <f>VLOOKUP(A181,'Targeted HH'!$B$1:$Y$321,23,FALSE)</f>
        <v>119657.10538548001</v>
      </c>
      <c r="H181">
        <f>VLOOKUP(A181,'EFIG HH'!$B$1:$Y$321,23,FALSE)</f>
        <v>162057.22416926097</v>
      </c>
      <c r="I181">
        <f t="shared" si="67"/>
        <v>520536.32896093128</v>
      </c>
      <c r="J181">
        <f t="shared" si="68"/>
        <v>566850.70043574646</v>
      </c>
      <c r="K181" s="44">
        <f t="shared" si="69"/>
        <v>484311.35836282192</v>
      </c>
      <c r="L181">
        <f t="shared" si="70"/>
        <v>36224.970598109358</v>
      </c>
      <c r="M181">
        <f t="shared" si="71"/>
        <v>0</v>
      </c>
      <c r="N181">
        <f t="shared" si="72"/>
        <v>520536.32896093128</v>
      </c>
      <c r="O181">
        <f t="shared" si="81"/>
        <v>0</v>
      </c>
      <c r="P181">
        <f t="shared" si="82"/>
        <v>0</v>
      </c>
      <c r="Q181">
        <f t="shared" si="83"/>
        <v>520536.32896093128</v>
      </c>
      <c r="R181">
        <f t="shared" si="84"/>
        <v>0</v>
      </c>
      <c r="S181">
        <f t="shared" si="85"/>
        <v>0</v>
      </c>
      <c r="T181">
        <f t="shared" si="86"/>
        <v>520536.32896093128</v>
      </c>
      <c r="U181">
        <f t="shared" si="87"/>
        <v>0</v>
      </c>
      <c r="V181">
        <f t="shared" si="88"/>
        <v>0</v>
      </c>
      <c r="W181">
        <f t="shared" si="89"/>
        <v>520536.32896093128</v>
      </c>
      <c r="X181" s="44">
        <f t="shared" si="73"/>
        <v>0</v>
      </c>
      <c r="Y181" s="28">
        <f t="shared" si="74"/>
        <v>4014.3069247995122</v>
      </c>
      <c r="Z181" s="28">
        <f t="shared" si="75"/>
        <v>516522.02203613176</v>
      </c>
      <c r="AA181">
        <f t="shared" si="76"/>
        <v>0</v>
      </c>
      <c r="AB181" s="28">
        <f t="shared" si="77"/>
        <v>516522.02203613176</v>
      </c>
      <c r="AD181" s="28">
        <f t="shared" si="78"/>
        <v>0</v>
      </c>
      <c r="AE181" s="28">
        <f t="shared" si="79"/>
        <v>516522.02203613176</v>
      </c>
      <c r="AF181" s="51"/>
      <c r="AG181" t="str">
        <f t="shared" si="80"/>
        <v>5306150</v>
      </c>
    </row>
    <row r="182" spans="1:33" x14ac:dyDescent="0.25">
      <c r="A182" s="7" t="s">
        <v>193</v>
      </c>
      <c r="B182" s="2" t="s">
        <v>1012</v>
      </c>
      <c r="C182" s="4" t="s">
        <v>1011</v>
      </c>
      <c r="D182">
        <f>_xlfn.IFNA(VLOOKUP(A182,'Prior Year data'!$A$1:$T$317,12,FALSE),0)</f>
        <v>2037500.76826218</v>
      </c>
      <c r="E182">
        <f>VLOOKUP(A182,'Basic HH'!$B$1:$Y$321,23,FALSE)</f>
        <v>947004.46425218275</v>
      </c>
      <c r="F182">
        <f>VLOOKUP(A182,'Conc. HH'!$B$1:$Y$321,23,FALSE)</f>
        <v>0</v>
      </c>
      <c r="G182">
        <f>VLOOKUP(A182,'Targeted HH'!$B$1:$Y$321,23,FALSE)</f>
        <v>537544.76914100873</v>
      </c>
      <c r="H182">
        <f>VLOOKUP(A182,'EFIG HH'!$B$1:$Y$321,23,FALSE)</f>
        <v>741159.45766853844</v>
      </c>
      <c r="I182">
        <f t="shared" si="67"/>
        <v>2225708.6910617296</v>
      </c>
      <c r="J182">
        <f t="shared" si="68"/>
        <v>2037500.76826218</v>
      </c>
      <c r="K182" s="44">
        <f t="shared" si="69"/>
        <v>2070817.9996577124</v>
      </c>
      <c r="L182">
        <f t="shared" si="70"/>
        <v>0</v>
      </c>
      <c r="M182">
        <f t="shared" si="71"/>
        <v>2070817.9996577124</v>
      </c>
      <c r="N182">
        <f t="shared" si="72"/>
        <v>1966475.8599915537</v>
      </c>
      <c r="O182">
        <f t="shared" si="81"/>
        <v>71024.908270626329</v>
      </c>
      <c r="P182">
        <f t="shared" si="82"/>
        <v>0</v>
      </c>
      <c r="Q182">
        <f t="shared" si="83"/>
        <v>1966475.8599915537</v>
      </c>
      <c r="R182">
        <f t="shared" si="84"/>
        <v>0</v>
      </c>
      <c r="S182">
        <f t="shared" si="85"/>
        <v>0</v>
      </c>
      <c r="T182">
        <f t="shared" si="86"/>
        <v>1966475.8599915537</v>
      </c>
      <c r="U182">
        <f t="shared" si="87"/>
        <v>71024.908270626329</v>
      </c>
      <c r="V182">
        <f t="shared" si="88"/>
        <v>0</v>
      </c>
      <c r="W182">
        <f t="shared" si="89"/>
        <v>1966475.8599915537</v>
      </c>
      <c r="X182" s="44">
        <f t="shared" si="73"/>
        <v>259232.83107017586</v>
      </c>
      <c r="Y182" s="28">
        <f t="shared" si="74"/>
        <v>15165.200242551477</v>
      </c>
      <c r="Z182" s="28">
        <f t="shared" si="75"/>
        <v>1951310.6597490022</v>
      </c>
      <c r="AA182">
        <f t="shared" si="76"/>
        <v>0</v>
      </c>
      <c r="AB182" s="28">
        <f t="shared" si="77"/>
        <v>1951310.6597490022</v>
      </c>
      <c r="AD182" s="28">
        <f t="shared" si="78"/>
        <v>0</v>
      </c>
      <c r="AE182" s="28">
        <f t="shared" si="79"/>
        <v>1951310.6597490022</v>
      </c>
      <c r="AF182" s="51"/>
      <c r="AG182" t="str">
        <f t="shared" si="80"/>
        <v>5306180</v>
      </c>
    </row>
    <row r="183" spans="1:33" x14ac:dyDescent="0.25">
      <c r="A183" s="7" t="s">
        <v>519</v>
      </c>
      <c r="B183" s="2" t="s">
        <v>1014</v>
      </c>
      <c r="C183" s="4" t="s">
        <v>1013</v>
      </c>
      <c r="D183">
        <f>_xlfn.IFNA(VLOOKUP(A183,'Prior Year data'!$A$1:$T$317,12,FALSE),0)</f>
        <v>1099174.2277958891</v>
      </c>
      <c r="E183">
        <f>VLOOKUP(A183,'Basic HH'!$B$1:$Y$321,23,FALSE)</f>
        <v>362248.38360727491</v>
      </c>
      <c r="F183">
        <f>VLOOKUP(A183,'Conc. HH'!$B$1:$Y$321,23,FALSE)</f>
        <v>94187.483983706727</v>
      </c>
      <c r="G183">
        <f>VLOOKUP(A183,'Targeted HH'!$B$1:$Y$321,23,FALSE)</f>
        <v>234856.15125787447</v>
      </c>
      <c r="H183">
        <f>VLOOKUP(A183,'EFIG HH'!$B$1:$Y$321,23,FALSE)</f>
        <v>318076.68946457456</v>
      </c>
      <c r="I183">
        <f t="shared" si="67"/>
        <v>1009368.7083134307</v>
      </c>
      <c r="J183">
        <f t="shared" si="68"/>
        <v>1099174.2277958891</v>
      </c>
      <c r="K183" s="44">
        <f t="shared" si="69"/>
        <v>939125.09658647666</v>
      </c>
      <c r="L183">
        <f t="shared" si="70"/>
        <v>70243.611726953997</v>
      </c>
      <c r="M183">
        <f t="shared" si="71"/>
        <v>0</v>
      </c>
      <c r="N183">
        <f t="shared" si="72"/>
        <v>1009368.7083134307</v>
      </c>
      <c r="O183">
        <f t="shared" si="81"/>
        <v>0</v>
      </c>
      <c r="P183">
        <f t="shared" si="82"/>
        <v>0</v>
      </c>
      <c r="Q183">
        <f t="shared" si="83"/>
        <v>1009368.7083134307</v>
      </c>
      <c r="R183">
        <f t="shared" si="84"/>
        <v>0</v>
      </c>
      <c r="S183">
        <f t="shared" si="85"/>
        <v>0</v>
      </c>
      <c r="T183">
        <f t="shared" si="86"/>
        <v>1009368.7083134307</v>
      </c>
      <c r="U183">
        <f t="shared" si="87"/>
        <v>0</v>
      </c>
      <c r="V183">
        <f t="shared" si="88"/>
        <v>0</v>
      </c>
      <c r="W183">
        <f t="shared" si="89"/>
        <v>1009368.7083134307</v>
      </c>
      <c r="X183" s="44">
        <f t="shared" si="73"/>
        <v>0</v>
      </c>
      <c r="Y183" s="28">
        <f t="shared" si="74"/>
        <v>7784.1172076246357</v>
      </c>
      <c r="Z183" s="28">
        <f t="shared" si="75"/>
        <v>1001584.5911058061</v>
      </c>
      <c r="AA183">
        <f t="shared" si="76"/>
        <v>0</v>
      </c>
      <c r="AB183" s="28">
        <f t="shared" si="77"/>
        <v>1001584.5911058061</v>
      </c>
      <c r="AD183" s="28">
        <f t="shared" si="78"/>
        <v>0</v>
      </c>
      <c r="AE183" s="28">
        <f t="shared" si="79"/>
        <v>1001584.5911058061</v>
      </c>
      <c r="AF183" s="51"/>
      <c r="AG183" t="str">
        <f t="shared" si="80"/>
        <v>5306220</v>
      </c>
    </row>
    <row r="184" spans="1:33" x14ac:dyDescent="0.25">
      <c r="A184" s="7" t="s">
        <v>521</v>
      </c>
      <c r="B184" s="2" t="s">
        <v>1016</v>
      </c>
      <c r="C184" s="4" t="s">
        <v>1015</v>
      </c>
      <c r="D184">
        <f>_xlfn.IFNA(VLOOKUP(A184,'Prior Year data'!$A$1:$T$317,12,FALSE),0)</f>
        <v>252463.43734737142</v>
      </c>
      <c r="E184">
        <f>VLOOKUP(A184,'Basic HH'!$B$1:$Y$321,23,FALSE)</f>
        <v>112677.18875298444</v>
      </c>
      <c r="F184">
        <f>VLOOKUP(A184,'Conc. HH'!$B$1:$Y$321,23,FALSE)</f>
        <v>26259.338402870399</v>
      </c>
      <c r="G184">
        <f>VLOOKUP(A184,'Targeted HH'!$B$1:$Y$321,23,FALSE)</f>
        <v>53919.115434511645</v>
      </c>
      <c r="H184">
        <f>VLOOKUP(A184,'EFIG HH'!$B$1:$Y$321,23,FALSE)</f>
        <v>74342.947132142799</v>
      </c>
      <c r="I184">
        <f t="shared" si="67"/>
        <v>267198.58972250926</v>
      </c>
      <c r="J184">
        <f t="shared" si="68"/>
        <v>252463.43734737142</v>
      </c>
      <c r="K184" s="44">
        <f t="shared" si="69"/>
        <v>248603.80484769479</v>
      </c>
      <c r="L184">
        <f t="shared" si="70"/>
        <v>3859.6324996766343</v>
      </c>
      <c r="M184">
        <f t="shared" si="71"/>
        <v>0</v>
      </c>
      <c r="N184">
        <f t="shared" si="72"/>
        <v>252463.43734737142</v>
      </c>
      <c r="O184">
        <f t="shared" si="81"/>
        <v>0</v>
      </c>
      <c r="P184">
        <f t="shared" si="82"/>
        <v>0</v>
      </c>
      <c r="Q184">
        <f t="shared" si="83"/>
        <v>252463.43734737142</v>
      </c>
      <c r="R184">
        <f t="shared" si="84"/>
        <v>0</v>
      </c>
      <c r="S184">
        <f t="shared" si="85"/>
        <v>0</v>
      </c>
      <c r="T184">
        <f t="shared" si="86"/>
        <v>252463.43734737142</v>
      </c>
      <c r="U184">
        <f t="shared" si="87"/>
        <v>0</v>
      </c>
      <c r="V184">
        <f t="shared" si="88"/>
        <v>0</v>
      </c>
      <c r="W184">
        <f t="shared" si="89"/>
        <v>252463.43734737142</v>
      </c>
      <c r="X184" s="44">
        <f t="shared" si="73"/>
        <v>14735.152375137841</v>
      </c>
      <c r="Y184" s="28">
        <f t="shared" si="74"/>
        <v>1946.9644449701918</v>
      </c>
      <c r="Z184" s="28">
        <f t="shared" si="75"/>
        <v>250516.47290240123</v>
      </c>
      <c r="AA184">
        <f t="shared" si="76"/>
        <v>0</v>
      </c>
      <c r="AB184" s="28">
        <f t="shared" si="77"/>
        <v>250516.47290240123</v>
      </c>
      <c r="AD184" s="28">
        <f t="shared" si="78"/>
        <v>0</v>
      </c>
      <c r="AE184" s="28">
        <f t="shared" si="79"/>
        <v>250516.47290240123</v>
      </c>
      <c r="AF184" s="51"/>
      <c r="AG184" t="str">
        <f t="shared" si="80"/>
        <v>5306240</v>
      </c>
    </row>
    <row r="185" spans="1:33" x14ac:dyDescent="0.25">
      <c r="A185" s="7" t="s">
        <v>523</v>
      </c>
      <c r="B185" s="2" t="s">
        <v>1018</v>
      </c>
      <c r="C185" s="4" t="s">
        <v>1017</v>
      </c>
      <c r="D185">
        <f>_xlfn.IFNA(VLOOKUP(A185,'Prior Year data'!$A$1:$T$317,12,FALSE),0)</f>
        <v>44961.715637064146</v>
      </c>
      <c r="E185">
        <f>VLOOKUP(A185,'Basic HH'!$B$1:$Y$321,23,FALSE)</f>
        <v>16342.493025242027</v>
      </c>
      <c r="F185">
        <f>VLOOKUP(A185,'Conc. HH'!$B$1:$Y$321,23,FALSE)</f>
        <v>4296.0747810494067</v>
      </c>
      <c r="G185">
        <f>VLOOKUP(A185,'Targeted HH'!$B$1:$Y$321,23,FALSE)</f>
        <v>12430.105391934292</v>
      </c>
      <c r="H185">
        <f>VLOOKUP(A185,'EFIG HH'!$B$1:$Y$321,23,FALSE)</f>
        <v>17138.461203465118</v>
      </c>
      <c r="I185">
        <f t="shared" si="67"/>
        <v>50207.134401690841</v>
      </c>
      <c r="J185">
        <f t="shared" si="68"/>
        <v>44961.715637064146</v>
      </c>
      <c r="K185" s="44">
        <f t="shared" si="69"/>
        <v>46713.138178320463</v>
      </c>
      <c r="L185">
        <f t="shared" si="70"/>
        <v>0</v>
      </c>
      <c r="M185">
        <f t="shared" si="71"/>
        <v>46713.138178320463</v>
      </c>
      <c r="N185">
        <f t="shared" si="72"/>
        <v>44359.407049436835</v>
      </c>
      <c r="O185">
        <f t="shared" si="81"/>
        <v>602.30858762731077</v>
      </c>
      <c r="P185">
        <f t="shared" si="82"/>
        <v>0</v>
      </c>
      <c r="Q185">
        <f t="shared" si="83"/>
        <v>44359.407049436835</v>
      </c>
      <c r="R185">
        <f t="shared" si="84"/>
        <v>0</v>
      </c>
      <c r="S185">
        <f t="shared" si="85"/>
        <v>0</v>
      </c>
      <c r="T185">
        <f t="shared" si="86"/>
        <v>44359.407049436835</v>
      </c>
      <c r="U185">
        <f t="shared" si="87"/>
        <v>602.30858762731077</v>
      </c>
      <c r="V185">
        <f t="shared" si="88"/>
        <v>0</v>
      </c>
      <c r="W185">
        <f t="shared" si="89"/>
        <v>44359.407049436835</v>
      </c>
      <c r="X185" s="44">
        <f t="shared" si="73"/>
        <v>5847.7273522540054</v>
      </c>
      <c r="Y185" s="28">
        <f t="shared" si="74"/>
        <v>342.09384627200484</v>
      </c>
      <c r="Z185" s="28">
        <f t="shared" si="75"/>
        <v>44017.313203164827</v>
      </c>
      <c r="AA185">
        <f t="shared" si="76"/>
        <v>0</v>
      </c>
      <c r="AB185" s="28">
        <f t="shared" si="77"/>
        <v>44017.313203164827</v>
      </c>
      <c r="AD185" s="28">
        <f t="shared" si="78"/>
        <v>0</v>
      </c>
      <c r="AE185" s="28">
        <f t="shared" si="79"/>
        <v>44017.313203164827</v>
      </c>
      <c r="AF185" s="51"/>
      <c r="AG185" t="str">
        <f t="shared" si="80"/>
        <v>5306270</v>
      </c>
    </row>
    <row r="186" spans="1:33" x14ac:dyDescent="0.25">
      <c r="A186" s="7" t="s">
        <v>525</v>
      </c>
      <c r="B186" s="2" t="s">
        <v>1020</v>
      </c>
      <c r="C186" s="4" t="s">
        <v>1019</v>
      </c>
      <c r="D186">
        <f>_xlfn.IFNA(VLOOKUP(A186,'Prior Year data'!$A$1:$T$317,12,FALSE),0)</f>
        <v>137844.88045702191</v>
      </c>
      <c r="E186">
        <f>VLOOKUP(A186,'Basic HH'!$B$1:$Y$321,23,FALSE)</f>
        <v>67950.365736532622</v>
      </c>
      <c r="F186">
        <f>VLOOKUP(A186,'Conc. HH'!$B$1:$Y$321,23,FALSE)</f>
        <v>0</v>
      </c>
      <c r="G186">
        <f>VLOOKUP(A186,'Targeted HH'!$B$1:$Y$321,23,FALSE)</f>
        <v>32516.107781117702</v>
      </c>
      <c r="H186">
        <f>VLOOKUP(A186,'EFIG HH'!$B$1:$Y$321,23,FALSE)</f>
        <v>44832.76964457467</v>
      </c>
      <c r="I186">
        <f t="shared" si="67"/>
        <v>145299.243162225</v>
      </c>
      <c r="J186">
        <f t="shared" si="68"/>
        <v>137844.88045702191</v>
      </c>
      <c r="K186" s="44">
        <f t="shared" si="69"/>
        <v>135187.63227430522</v>
      </c>
      <c r="L186">
        <f t="shared" si="70"/>
        <v>2657.2481827166921</v>
      </c>
      <c r="M186">
        <f t="shared" si="71"/>
        <v>0</v>
      </c>
      <c r="N186">
        <f t="shared" si="72"/>
        <v>137844.88045702191</v>
      </c>
      <c r="O186">
        <f t="shared" si="81"/>
        <v>0</v>
      </c>
      <c r="P186">
        <f t="shared" si="82"/>
        <v>0</v>
      </c>
      <c r="Q186">
        <f t="shared" si="83"/>
        <v>137844.88045702191</v>
      </c>
      <c r="R186">
        <f t="shared" si="84"/>
        <v>0</v>
      </c>
      <c r="S186">
        <f t="shared" si="85"/>
        <v>0</v>
      </c>
      <c r="T186">
        <f t="shared" si="86"/>
        <v>137844.88045702191</v>
      </c>
      <c r="U186">
        <f t="shared" si="87"/>
        <v>0</v>
      </c>
      <c r="V186">
        <f t="shared" si="88"/>
        <v>0</v>
      </c>
      <c r="W186">
        <f t="shared" si="89"/>
        <v>137844.88045702191</v>
      </c>
      <c r="X186" s="44">
        <f t="shared" si="73"/>
        <v>7454.3627052030934</v>
      </c>
      <c r="Y186" s="28">
        <f t="shared" si="74"/>
        <v>1063.0413813217554</v>
      </c>
      <c r="Z186" s="28">
        <f t="shared" si="75"/>
        <v>136781.83907570015</v>
      </c>
      <c r="AA186">
        <f t="shared" si="76"/>
        <v>0</v>
      </c>
      <c r="AB186" s="28">
        <f t="shared" si="77"/>
        <v>136781.83907570015</v>
      </c>
      <c r="AD186" s="28">
        <f t="shared" si="78"/>
        <v>0</v>
      </c>
      <c r="AE186" s="28">
        <f t="shared" si="79"/>
        <v>136781.83907570015</v>
      </c>
      <c r="AF186" s="51"/>
      <c r="AG186" t="str">
        <f t="shared" si="80"/>
        <v>5306300</v>
      </c>
    </row>
    <row r="187" spans="1:33" x14ac:dyDescent="0.25">
      <c r="A187" s="7" t="s">
        <v>294</v>
      </c>
      <c r="B187" s="2" t="s">
        <v>1022</v>
      </c>
      <c r="C187" s="4" t="s">
        <v>1021</v>
      </c>
      <c r="D187">
        <f>_xlfn.IFNA(VLOOKUP(A187,'Prior Year data'!$A$1:$T$317,12,FALSE),0)</f>
        <v>0</v>
      </c>
      <c r="E187">
        <f>VLOOKUP(A187,'Basic HH'!$B$1:$Y$321,23,FALSE)</f>
        <v>20643.149084516233</v>
      </c>
      <c r="F187">
        <f>VLOOKUP(A187,'Conc. HH'!$B$1:$Y$321,23,FALSE)</f>
        <v>0</v>
      </c>
      <c r="G187">
        <f>VLOOKUP(A187,'Targeted HH'!$B$1:$Y$321,23,FALSE)</f>
        <v>9878.311224643352</v>
      </c>
      <c r="H187">
        <f>VLOOKUP(A187,'EFIG HH'!$B$1:$Y$321,23,FALSE)</f>
        <v>13620.081917339143</v>
      </c>
      <c r="I187">
        <f t="shared" si="67"/>
        <v>44141.542226498728</v>
      </c>
      <c r="J187">
        <f t="shared" si="68"/>
        <v>44141.542226498728</v>
      </c>
      <c r="K187" s="44">
        <f t="shared" si="69"/>
        <v>41069.66043776361</v>
      </c>
      <c r="L187">
        <f t="shared" si="70"/>
        <v>3071.8817887351179</v>
      </c>
      <c r="M187">
        <f t="shared" si="71"/>
        <v>0</v>
      </c>
      <c r="N187">
        <f t="shared" si="72"/>
        <v>44141.542226498728</v>
      </c>
      <c r="O187">
        <f t="shared" si="81"/>
        <v>0</v>
      </c>
      <c r="P187">
        <f t="shared" si="82"/>
        <v>0</v>
      </c>
      <c r="Q187">
        <f t="shared" si="83"/>
        <v>44141.542226498728</v>
      </c>
      <c r="R187">
        <f t="shared" si="84"/>
        <v>0</v>
      </c>
      <c r="S187">
        <f t="shared" si="85"/>
        <v>0</v>
      </c>
      <c r="T187">
        <f t="shared" si="86"/>
        <v>44141.542226498728</v>
      </c>
      <c r="U187">
        <f t="shared" si="87"/>
        <v>0</v>
      </c>
      <c r="V187">
        <f t="shared" si="88"/>
        <v>0</v>
      </c>
      <c r="W187">
        <f t="shared" si="89"/>
        <v>44141.542226498728</v>
      </c>
      <c r="X187" s="44">
        <f t="shared" si="73"/>
        <v>0</v>
      </c>
      <c r="Y187" s="28">
        <f t="shared" si="74"/>
        <v>340.41370173889135</v>
      </c>
      <c r="Z187" s="28">
        <f t="shared" si="75"/>
        <v>43801.128524759835</v>
      </c>
      <c r="AA187">
        <f t="shared" si="76"/>
        <v>0</v>
      </c>
      <c r="AB187" s="28">
        <f t="shared" si="77"/>
        <v>43801.128524759835</v>
      </c>
      <c r="AD187" s="28">
        <f t="shared" si="78"/>
        <v>0</v>
      </c>
      <c r="AE187" s="28">
        <f t="shared" si="79"/>
        <v>43801.128524759835</v>
      </c>
      <c r="AF187" s="51"/>
      <c r="AG187" t="str">
        <f t="shared" si="80"/>
        <v>5306330</v>
      </c>
    </row>
    <row r="188" spans="1:33" x14ac:dyDescent="0.25">
      <c r="A188" s="7" t="s">
        <v>527</v>
      </c>
      <c r="B188" s="2" t="s">
        <v>1024</v>
      </c>
      <c r="C188" s="4" t="s">
        <v>1023</v>
      </c>
      <c r="D188">
        <f>_xlfn.IFNA(VLOOKUP(A188,'Prior Year data'!$A$1:$T$317,12,FALSE),0)</f>
        <v>62250.416187128627</v>
      </c>
      <c r="E188">
        <f>VLOOKUP(A188,'Basic HH'!$B$1:$Y$321,23,FALSE)</f>
        <v>30964.723626774365</v>
      </c>
      <c r="F188">
        <f>VLOOKUP(A188,'Conc. HH'!$B$1:$Y$321,23,FALSE)</f>
        <v>8139.9311640936157</v>
      </c>
      <c r="G188">
        <f>VLOOKUP(A188,'Targeted HH'!$B$1:$Y$321,23,FALSE)</f>
        <v>22151.125090140256</v>
      </c>
      <c r="H188">
        <f>VLOOKUP(A188,'EFIG HH'!$B$1:$Y$321,23,FALSE)</f>
        <v>30541.67169144129</v>
      </c>
      <c r="I188">
        <f t="shared" si="67"/>
        <v>91797.451572449529</v>
      </c>
      <c r="J188">
        <f t="shared" si="68"/>
        <v>62250.416187128627</v>
      </c>
      <c r="K188" s="44">
        <f t="shared" si="69"/>
        <v>85409.117465527015</v>
      </c>
      <c r="L188">
        <f t="shared" si="70"/>
        <v>0</v>
      </c>
      <c r="M188">
        <f t="shared" si="71"/>
        <v>85409.117465527015</v>
      </c>
      <c r="N188">
        <f t="shared" si="72"/>
        <v>81105.615146721408</v>
      </c>
      <c r="O188">
        <f t="shared" si="81"/>
        <v>0</v>
      </c>
      <c r="P188">
        <f t="shared" si="82"/>
        <v>81105.615146721408</v>
      </c>
      <c r="Q188">
        <f t="shared" si="83"/>
        <v>81105.615146721408</v>
      </c>
      <c r="R188">
        <f t="shared" si="84"/>
        <v>0</v>
      </c>
      <c r="S188">
        <f t="shared" si="85"/>
        <v>81105.615146721408</v>
      </c>
      <c r="T188">
        <f t="shared" si="86"/>
        <v>81105.615146721408</v>
      </c>
      <c r="U188">
        <f t="shared" si="87"/>
        <v>0</v>
      </c>
      <c r="V188">
        <f t="shared" si="88"/>
        <v>81105.615146721408</v>
      </c>
      <c r="W188">
        <f t="shared" si="89"/>
        <v>81105.615146721408</v>
      </c>
      <c r="X188" s="44">
        <f t="shared" si="73"/>
        <v>10691.836425728121</v>
      </c>
      <c r="Y188" s="28">
        <f t="shared" si="74"/>
        <v>625.47571496790658</v>
      </c>
      <c r="Z188" s="28">
        <f t="shared" si="75"/>
        <v>80480.139431753501</v>
      </c>
      <c r="AA188">
        <f t="shared" si="76"/>
        <v>0</v>
      </c>
      <c r="AB188" s="28">
        <f t="shared" si="77"/>
        <v>80480.139431753501</v>
      </c>
      <c r="AD188" s="28">
        <f t="shared" si="78"/>
        <v>0</v>
      </c>
      <c r="AE188" s="28">
        <f t="shared" si="79"/>
        <v>80480.139431753501</v>
      </c>
      <c r="AF188" s="51"/>
      <c r="AG188" t="str">
        <f t="shared" si="80"/>
        <v>5306360</v>
      </c>
    </row>
    <row r="189" spans="1:33" x14ac:dyDescent="0.25">
      <c r="A189" s="7" t="s">
        <v>529</v>
      </c>
      <c r="B189" s="2" t="s">
        <v>1026</v>
      </c>
      <c r="C189" s="4" t="s">
        <v>1025</v>
      </c>
      <c r="D189">
        <f>_xlfn.IFNA(VLOOKUP(A189,'Prior Year data'!$A$1:$T$317,12,FALSE),0)</f>
        <v>144187.97809545032</v>
      </c>
      <c r="E189">
        <f>VLOOKUP(A189,'Basic HH'!$B$1:$Y$321,23,FALSE)</f>
        <v>51145.731377996824</v>
      </c>
      <c r="F189">
        <f>VLOOKUP(A189,'Conc. HH'!$B$1:$Y$321,23,FALSE)</f>
        <v>13298.300207800568</v>
      </c>
      <c r="G189">
        <f>VLOOKUP(A189,'Targeted HH'!$B$1:$Y$321,23,FALSE)</f>
        <v>25741.675201066904</v>
      </c>
      <c r="H189">
        <f>VLOOKUP(A189,'EFIG HH'!$B$1:$Y$321,23,FALSE)</f>
        <v>34863.15681055926</v>
      </c>
      <c r="I189">
        <f t="shared" si="67"/>
        <v>125048.86359742355</v>
      </c>
      <c r="J189">
        <f t="shared" si="68"/>
        <v>144187.97809545032</v>
      </c>
      <c r="K189" s="44">
        <f t="shared" si="69"/>
        <v>116346.50959230348</v>
      </c>
      <c r="L189">
        <f t="shared" si="70"/>
        <v>8702.3540051200689</v>
      </c>
      <c r="M189">
        <f t="shared" si="71"/>
        <v>0</v>
      </c>
      <c r="N189">
        <f t="shared" si="72"/>
        <v>125048.86359742355</v>
      </c>
      <c r="O189">
        <f t="shared" si="81"/>
        <v>0</v>
      </c>
      <c r="P189">
        <f t="shared" si="82"/>
        <v>0</v>
      </c>
      <c r="Q189">
        <f t="shared" si="83"/>
        <v>125048.86359742355</v>
      </c>
      <c r="R189">
        <f t="shared" si="84"/>
        <v>0</v>
      </c>
      <c r="S189">
        <f t="shared" si="85"/>
        <v>0</v>
      </c>
      <c r="T189">
        <f t="shared" si="86"/>
        <v>125048.86359742355</v>
      </c>
      <c r="U189">
        <f t="shared" si="87"/>
        <v>0</v>
      </c>
      <c r="V189">
        <f t="shared" si="88"/>
        <v>0</v>
      </c>
      <c r="W189">
        <f t="shared" si="89"/>
        <v>125048.86359742355</v>
      </c>
      <c r="X189" s="44">
        <f t="shared" si="73"/>
        <v>0</v>
      </c>
      <c r="Y189" s="28">
        <f t="shared" si="74"/>
        <v>964.36020148580883</v>
      </c>
      <c r="Z189" s="28">
        <f t="shared" si="75"/>
        <v>124084.50339593775</v>
      </c>
      <c r="AA189">
        <f t="shared" si="76"/>
        <v>0</v>
      </c>
      <c r="AB189" s="28">
        <f t="shared" si="77"/>
        <v>124084.50339593775</v>
      </c>
      <c r="AD189" s="28">
        <f t="shared" si="78"/>
        <v>0</v>
      </c>
      <c r="AE189" s="28">
        <f t="shared" si="79"/>
        <v>124084.50339593775</v>
      </c>
      <c r="AF189" s="51"/>
      <c r="AG189" t="str">
        <f t="shared" si="80"/>
        <v>5306390</v>
      </c>
    </row>
    <row r="190" spans="1:33" x14ac:dyDescent="0.25">
      <c r="A190" s="7" t="s">
        <v>531</v>
      </c>
      <c r="B190" s="2" t="s">
        <v>1028</v>
      </c>
      <c r="C190" s="4" t="s">
        <v>1027</v>
      </c>
      <c r="D190">
        <f>_xlfn.IFNA(VLOOKUP(A190,'Prior Year data'!$A$1:$T$317,12,FALSE),0)</f>
        <v>762332.49665507383</v>
      </c>
      <c r="E190">
        <f>VLOOKUP(A190,'Basic HH'!$B$1:$Y$321,23,FALSE)</f>
        <v>221699.26327839165</v>
      </c>
      <c r="F190">
        <f>VLOOKUP(A190,'Conc. HH'!$B$1:$Y$321,23,FALSE)</f>
        <v>57643.585876897057</v>
      </c>
      <c r="G190">
        <f>VLOOKUP(A190,'Targeted HH'!$B$1:$Y$321,23,FALSE)</f>
        <v>195219.57189374111</v>
      </c>
      <c r="H190">
        <f>VLOOKUP(A190,'EFIG HH'!$B$1:$Y$321,23,FALSE)</f>
        <v>264395.0129220672</v>
      </c>
      <c r="I190">
        <f t="shared" si="67"/>
        <v>738957.43397109699</v>
      </c>
      <c r="J190">
        <f t="shared" si="68"/>
        <v>762332.49665507383</v>
      </c>
      <c r="K190" s="44">
        <f t="shared" si="69"/>
        <v>687532.18307210272</v>
      </c>
      <c r="L190">
        <f t="shared" si="70"/>
        <v>51425.250898994273</v>
      </c>
      <c r="M190">
        <f t="shared" si="71"/>
        <v>0</v>
      </c>
      <c r="N190">
        <f t="shared" si="72"/>
        <v>738957.43397109699</v>
      </c>
      <c r="O190">
        <f t="shared" si="81"/>
        <v>0</v>
      </c>
      <c r="P190">
        <f t="shared" si="82"/>
        <v>0</v>
      </c>
      <c r="Q190">
        <f t="shared" si="83"/>
        <v>738957.43397109699</v>
      </c>
      <c r="R190">
        <f t="shared" si="84"/>
        <v>0</v>
      </c>
      <c r="S190">
        <f t="shared" si="85"/>
        <v>0</v>
      </c>
      <c r="T190">
        <f t="shared" si="86"/>
        <v>738957.43397109699</v>
      </c>
      <c r="U190">
        <f t="shared" si="87"/>
        <v>0</v>
      </c>
      <c r="V190">
        <f t="shared" si="88"/>
        <v>0</v>
      </c>
      <c r="W190">
        <f t="shared" si="89"/>
        <v>738957.43397109699</v>
      </c>
      <c r="X190" s="44">
        <f t="shared" si="73"/>
        <v>0</v>
      </c>
      <c r="Y190" s="28">
        <f t="shared" si="74"/>
        <v>5698.7414312534856</v>
      </c>
      <c r="Z190" s="28">
        <f t="shared" si="75"/>
        <v>733258.6925398435</v>
      </c>
      <c r="AA190">
        <f t="shared" si="76"/>
        <v>0</v>
      </c>
      <c r="AB190" s="28">
        <f t="shared" si="77"/>
        <v>733258.6925398435</v>
      </c>
      <c r="AD190" s="28">
        <f t="shared" si="78"/>
        <v>0</v>
      </c>
      <c r="AE190" s="28">
        <f t="shared" si="79"/>
        <v>733258.6925398435</v>
      </c>
      <c r="AF190" s="51"/>
      <c r="AG190" t="str">
        <f t="shared" si="80"/>
        <v>5306420</v>
      </c>
    </row>
    <row r="191" spans="1:33" x14ac:dyDescent="0.25">
      <c r="A191" s="7" t="s">
        <v>296</v>
      </c>
      <c r="B191" s="2" t="s">
        <v>1030</v>
      </c>
      <c r="C191" s="4" t="s">
        <v>1029</v>
      </c>
      <c r="D191">
        <f>_xlfn.IFNA(VLOOKUP(A191,'Prior Year data'!$A$1:$T$317,12,FALSE),0)</f>
        <v>318599.21328916837</v>
      </c>
      <c r="E191">
        <f>VLOOKUP(A191,'Basic HH'!$B$1:$Y$321,23,FALSE)</f>
        <v>152243.22449830725</v>
      </c>
      <c r="F191">
        <f>VLOOKUP(A191,'Conc. HH'!$B$1:$Y$321,23,FALSE)</f>
        <v>0</v>
      </c>
      <c r="G191">
        <f>VLOOKUP(A191,'Targeted HH'!$B$1:$Y$321,23,FALSE)</f>
        <v>72852.545281744722</v>
      </c>
      <c r="H191">
        <f>VLOOKUP(A191,'EFIG HH'!$B$1:$Y$321,23,FALSE)</f>
        <v>100448.10414037619</v>
      </c>
      <c r="I191">
        <f t="shared" si="67"/>
        <v>325543.87392042816</v>
      </c>
      <c r="J191">
        <f t="shared" si="68"/>
        <v>318599.21328916837</v>
      </c>
      <c r="K191" s="44">
        <f t="shared" si="69"/>
        <v>302888.74572850665</v>
      </c>
      <c r="L191">
        <f t="shared" si="70"/>
        <v>15710.467560661724</v>
      </c>
      <c r="M191">
        <f t="shared" si="71"/>
        <v>0</v>
      </c>
      <c r="N191">
        <f t="shared" si="72"/>
        <v>318599.21328916837</v>
      </c>
      <c r="O191">
        <f t="shared" si="81"/>
        <v>0</v>
      </c>
      <c r="P191">
        <f t="shared" si="82"/>
        <v>0</v>
      </c>
      <c r="Q191">
        <f t="shared" si="83"/>
        <v>318599.21328916837</v>
      </c>
      <c r="R191">
        <f t="shared" si="84"/>
        <v>0</v>
      </c>
      <c r="S191">
        <f t="shared" si="85"/>
        <v>0</v>
      </c>
      <c r="T191">
        <f t="shared" si="86"/>
        <v>318599.21328916837</v>
      </c>
      <c r="U191">
        <f t="shared" si="87"/>
        <v>0</v>
      </c>
      <c r="V191">
        <f t="shared" si="88"/>
        <v>0</v>
      </c>
      <c r="W191">
        <f t="shared" si="89"/>
        <v>318599.21328916837</v>
      </c>
      <c r="X191" s="44">
        <f t="shared" si="73"/>
        <v>6944.6606312597869</v>
      </c>
      <c r="Y191" s="28">
        <f t="shared" si="74"/>
        <v>2456.9947513468883</v>
      </c>
      <c r="Z191" s="28">
        <f t="shared" si="75"/>
        <v>316142.21853782149</v>
      </c>
      <c r="AA191">
        <f t="shared" si="76"/>
        <v>0</v>
      </c>
      <c r="AB191" s="28">
        <f t="shared" si="77"/>
        <v>316142.21853782149</v>
      </c>
      <c r="AD191" s="28">
        <f t="shared" si="78"/>
        <v>0</v>
      </c>
      <c r="AE191" s="28">
        <f t="shared" si="79"/>
        <v>316142.21853782149</v>
      </c>
      <c r="AF191" s="51"/>
      <c r="AG191" t="str">
        <f t="shared" si="80"/>
        <v>5306450</v>
      </c>
    </row>
    <row r="192" spans="1:33" x14ac:dyDescent="0.25">
      <c r="A192" s="7" t="s">
        <v>533</v>
      </c>
      <c r="B192" s="2" t="s">
        <v>1032</v>
      </c>
      <c r="C192" s="4" t="s">
        <v>1031</v>
      </c>
      <c r="D192">
        <f>_xlfn.IFNA(VLOOKUP(A192,'Prior Year data'!$A$1:$T$317,12,FALSE),0)</f>
        <v>1849305.7970697989</v>
      </c>
      <c r="E192">
        <f>VLOOKUP(A192,'Basic HH'!$B$1:$Y$321,23,FALSE)</f>
        <v>652959.38601576176</v>
      </c>
      <c r="F192">
        <f>VLOOKUP(A192,'Conc. HH'!$B$1:$Y$321,23,FALSE)</f>
        <v>171013.67685092546</v>
      </c>
      <c r="G192">
        <f>VLOOKUP(A192,'Targeted HH'!$B$1:$Y$321,23,FALSE)</f>
        <v>362946.4858778714</v>
      </c>
      <c r="H192">
        <f>VLOOKUP(A192,'EFIG HH'!$B$1:$Y$321,23,FALSE)</f>
        <v>500479.12715852086</v>
      </c>
      <c r="I192">
        <f t="shared" si="67"/>
        <v>1687398.6759030796</v>
      </c>
      <c r="J192">
        <f t="shared" si="68"/>
        <v>1849305.7970697989</v>
      </c>
      <c r="K192" s="44">
        <f t="shared" si="69"/>
        <v>1569969.8548563444</v>
      </c>
      <c r="L192">
        <f t="shared" si="70"/>
        <v>117428.82104673516</v>
      </c>
      <c r="M192">
        <f t="shared" si="71"/>
        <v>0</v>
      </c>
      <c r="N192">
        <f t="shared" si="72"/>
        <v>1687398.6759030796</v>
      </c>
      <c r="O192">
        <f t="shared" si="81"/>
        <v>0</v>
      </c>
      <c r="P192">
        <f t="shared" si="82"/>
        <v>0</v>
      </c>
      <c r="Q192">
        <f t="shared" si="83"/>
        <v>1687398.6759030796</v>
      </c>
      <c r="R192">
        <f t="shared" si="84"/>
        <v>0</v>
      </c>
      <c r="S192">
        <f t="shared" si="85"/>
        <v>0</v>
      </c>
      <c r="T192">
        <f t="shared" si="86"/>
        <v>1687398.6759030796</v>
      </c>
      <c r="U192">
        <f t="shared" si="87"/>
        <v>0</v>
      </c>
      <c r="V192">
        <f t="shared" si="88"/>
        <v>0</v>
      </c>
      <c r="W192">
        <f t="shared" si="89"/>
        <v>1687398.6759030796</v>
      </c>
      <c r="X192" s="44">
        <f t="shared" si="73"/>
        <v>0</v>
      </c>
      <c r="Y192" s="28">
        <f t="shared" si="74"/>
        <v>13012.994122997437</v>
      </c>
      <c r="Z192" s="28">
        <f t="shared" si="75"/>
        <v>1674385.6817800822</v>
      </c>
      <c r="AA192">
        <f t="shared" si="76"/>
        <v>0</v>
      </c>
      <c r="AB192" s="28">
        <f t="shared" si="77"/>
        <v>1674385.6817800822</v>
      </c>
      <c r="AD192" s="28">
        <f t="shared" si="78"/>
        <v>0</v>
      </c>
      <c r="AE192" s="28">
        <f t="shared" si="79"/>
        <v>1674385.6817800822</v>
      </c>
      <c r="AF192" s="51"/>
      <c r="AG192" t="str">
        <f t="shared" si="80"/>
        <v>5306480</v>
      </c>
    </row>
    <row r="193" spans="1:33" x14ac:dyDescent="0.25">
      <c r="A193" s="7" t="s">
        <v>535</v>
      </c>
      <c r="B193" s="2" t="s">
        <v>1034</v>
      </c>
      <c r="C193" s="4" t="s">
        <v>1033</v>
      </c>
      <c r="D193">
        <f>_xlfn.IFNA(VLOOKUP(A193,'Prior Year data'!$A$1:$T$317,12,FALSE),0)</f>
        <v>26077.570790031277</v>
      </c>
      <c r="E193">
        <f>VLOOKUP(A193,'Basic HH'!$B$1:$Y$321,23,FALSE)</f>
        <v>9513.5939129183298</v>
      </c>
      <c r="F193">
        <f>VLOOKUP(A193,'Conc. HH'!$B$1:$Y$321,23,FALSE)</f>
        <v>2473.6106904811863</v>
      </c>
      <c r="G193">
        <f>VLOOKUP(A193,'Targeted HH'!$B$1:$Y$321,23,FALSE)</f>
        <v>5079.7004827414748</v>
      </c>
      <c r="H193">
        <f>VLOOKUP(A193,'EFIG HH'!$B$1:$Y$321,23,FALSE)</f>
        <v>6880.9221349810578</v>
      </c>
      <c r="I193">
        <f t="shared" si="67"/>
        <v>23947.82722112205</v>
      </c>
      <c r="J193">
        <f t="shared" si="68"/>
        <v>26077.570790031277</v>
      </c>
      <c r="K193" s="44">
        <f t="shared" si="69"/>
        <v>22281.258936242823</v>
      </c>
      <c r="L193">
        <f t="shared" si="70"/>
        <v>1666.5682848792276</v>
      </c>
      <c r="M193">
        <f t="shared" si="71"/>
        <v>0</v>
      </c>
      <c r="N193">
        <f t="shared" si="72"/>
        <v>23947.82722112205</v>
      </c>
      <c r="O193">
        <f t="shared" si="81"/>
        <v>0</v>
      </c>
      <c r="P193">
        <f t="shared" si="82"/>
        <v>0</v>
      </c>
      <c r="Q193">
        <f t="shared" si="83"/>
        <v>23947.82722112205</v>
      </c>
      <c r="R193">
        <f t="shared" si="84"/>
        <v>0</v>
      </c>
      <c r="S193">
        <f t="shared" si="85"/>
        <v>0</v>
      </c>
      <c r="T193">
        <f t="shared" si="86"/>
        <v>23947.82722112205</v>
      </c>
      <c r="U193">
        <f t="shared" si="87"/>
        <v>0</v>
      </c>
      <c r="V193">
        <f t="shared" si="88"/>
        <v>0</v>
      </c>
      <c r="W193">
        <f t="shared" si="89"/>
        <v>23947.82722112205</v>
      </c>
      <c r="X193" s="44">
        <f t="shared" si="73"/>
        <v>0</v>
      </c>
      <c r="Y193" s="28">
        <f t="shared" si="74"/>
        <v>184.682457878685</v>
      </c>
      <c r="Z193" s="28">
        <f t="shared" si="75"/>
        <v>23763.144763243366</v>
      </c>
      <c r="AA193">
        <f t="shared" si="76"/>
        <v>0</v>
      </c>
      <c r="AB193" s="28">
        <f t="shared" si="77"/>
        <v>23763.144763243366</v>
      </c>
      <c r="AD193" s="28">
        <f t="shared" si="78"/>
        <v>0</v>
      </c>
      <c r="AE193" s="28">
        <f t="shared" si="79"/>
        <v>23763.144763243366</v>
      </c>
      <c r="AF193" s="51"/>
      <c r="AG193" t="str">
        <f t="shared" si="80"/>
        <v>5306510</v>
      </c>
    </row>
    <row r="194" spans="1:33" x14ac:dyDescent="0.25">
      <c r="A194" s="7" t="s">
        <v>537</v>
      </c>
      <c r="B194" s="2" t="s">
        <v>1036</v>
      </c>
      <c r="C194" s="4" t="s">
        <v>1035</v>
      </c>
      <c r="D194">
        <f>_xlfn.IFNA(VLOOKUP(A194,'Prior Year data'!$A$1:$T$317,12,FALSE),0)</f>
        <v>39747.644563992748</v>
      </c>
      <c r="E194">
        <f>VLOOKUP(A194,'Basic HH'!$B$1:$Y$321,23,FALSE)</f>
        <v>15794.798313051404</v>
      </c>
      <c r="F194">
        <f>VLOOKUP(A194,'Conc. HH'!$B$1:$Y$321,23,FALSE)</f>
        <v>0</v>
      </c>
      <c r="G194">
        <f>VLOOKUP(A194,'Targeted HH'!$B$1:$Y$321,23,FALSE)</f>
        <v>0</v>
      </c>
      <c r="H194">
        <f>VLOOKUP(A194,'EFIG HH'!$B$1:$Y$321,23,FALSE)</f>
        <v>0</v>
      </c>
      <c r="I194">
        <f t="shared" si="67"/>
        <v>15794.798313051404</v>
      </c>
      <c r="J194">
        <f t="shared" si="68"/>
        <v>39747.644563992748</v>
      </c>
      <c r="K194" s="44">
        <f t="shared" si="69"/>
        <v>14695.612583526083</v>
      </c>
      <c r="L194">
        <f t="shared" si="70"/>
        <v>1099.1857295253212</v>
      </c>
      <c r="M194">
        <f t="shared" si="71"/>
        <v>0</v>
      </c>
      <c r="N194">
        <f t="shared" si="72"/>
        <v>15794.798313051404</v>
      </c>
      <c r="O194">
        <f t="shared" si="81"/>
        <v>0</v>
      </c>
      <c r="P194">
        <f t="shared" si="82"/>
        <v>0</v>
      </c>
      <c r="Q194">
        <f t="shared" si="83"/>
        <v>15794.798313051404</v>
      </c>
      <c r="R194">
        <f t="shared" si="84"/>
        <v>0</v>
      </c>
      <c r="S194">
        <f t="shared" si="85"/>
        <v>0</v>
      </c>
      <c r="T194">
        <f t="shared" si="86"/>
        <v>15794.798313051404</v>
      </c>
      <c r="U194">
        <f t="shared" si="87"/>
        <v>0</v>
      </c>
      <c r="V194">
        <f t="shared" si="88"/>
        <v>0</v>
      </c>
      <c r="W194">
        <f t="shared" si="89"/>
        <v>15794.798313051404</v>
      </c>
      <c r="X194" s="44">
        <f t="shared" si="73"/>
        <v>0</v>
      </c>
      <c r="Y194" s="28">
        <f t="shared" si="74"/>
        <v>121.80738349321391</v>
      </c>
      <c r="Z194" s="28">
        <f t="shared" si="75"/>
        <v>15672.990929558189</v>
      </c>
      <c r="AA194">
        <f t="shared" si="76"/>
        <v>0</v>
      </c>
      <c r="AB194" s="28">
        <f t="shared" si="77"/>
        <v>15672.990929558189</v>
      </c>
      <c r="AD194" s="28">
        <f t="shared" si="78"/>
        <v>0</v>
      </c>
      <c r="AE194" s="28">
        <f t="shared" si="79"/>
        <v>15672.990929558189</v>
      </c>
      <c r="AF194" s="51"/>
      <c r="AG194" t="str">
        <f t="shared" si="80"/>
        <v>5306540</v>
      </c>
    </row>
    <row r="195" spans="1:33" x14ac:dyDescent="0.25">
      <c r="A195" s="7" t="s">
        <v>655</v>
      </c>
      <c r="B195" s="2" t="s">
        <v>656</v>
      </c>
      <c r="C195" s="1"/>
      <c r="D195">
        <f>_xlfn.IFNA(VLOOKUP(A195,'Prior Year data'!$A$1:$T$317,12,FALSE),0)</f>
        <v>2103592.5674677659</v>
      </c>
      <c r="E195">
        <f>VLOOKUP(A195,'Basic HH'!$B$1:$Y$321,23,FALSE)</f>
        <v>866900.40070897446</v>
      </c>
      <c r="F195">
        <f>VLOOKUP(A195,'Conc. HH'!$B$1:$Y$321,23,FALSE)</f>
        <v>214313.73646299259</v>
      </c>
      <c r="G195">
        <f>VLOOKUP(A195,'Targeted HH'!$B$1:$Y$321,23,FALSE)</f>
        <v>412754.15017507272</v>
      </c>
      <c r="H195">
        <f>VLOOKUP(A195,'EFIG HH'!$B$1:$Y$321,23,FALSE)</f>
        <v>548377.30802943988</v>
      </c>
      <c r="I195">
        <f t="shared" si="67"/>
        <v>2042345.5953764794</v>
      </c>
      <c r="J195">
        <f t="shared" si="68"/>
        <v>2103592.5674677659</v>
      </c>
      <c r="K195" s="44">
        <f t="shared" si="69"/>
        <v>1900215.4403277931</v>
      </c>
      <c r="L195">
        <f t="shared" si="70"/>
        <v>142130.15504868631</v>
      </c>
      <c r="M195">
        <f t="shared" si="71"/>
        <v>0</v>
      </c>
      <c r="N195">
        <f t="shared" si="72"/>
        <v>2042345.5953764794</v>
      </c>
      <c r="O195">
        <f t="shared" si="81"/>
        <v>0</v>
      </c>
      <c r="P195">
        <f t="shared" si="82"/>
        <v>0</v>
      </c>
      <c r="Q195">
        <f t="shared" si="83"/>
        <v>2042345.5953764794</v>
      </c>
      <c r="R195">
        <f t="shared" si="84"/>
        <v>0</v>
      </c>
      <c r="S195">
        <f t="shared" si="85"/>
        <v>0</v>
      </c>
      <c r="T195">
        <f t="shared" si="86"/>
        <v>2042345.5953764794</v>
      </c>
      <c r="U195">
        <f t="shared" si="87"/>
        <v>0</v>
      </c>
      <c r="V195">
        <f t="shared" si="88"/>
        <v>0</v>
      </c>
      <c r="W195">
        <f t="shared" si="89"/>
        <v>2042345.5953764794</v>
      </c>
      <c r="X195" s="44">
        <f t="shared" si="73"/>
        <v>0</v>
      </c>
      <c r="Y195" s="28">
        <f t="shared" si="74"/>
        <v>15750.297549297329</v>
      </c>
      <c r="Z195" s="28">
        <f t="shared" si="75"/>
        <v>2026595.2978271821</v>
      </c>
      <c r="AA195">
        <f t="shared" si="76"/>
        <v>0</v>
      </c>
      <c r="AB195" s="28">
        <f t="shared" si="77"/>
        <v>2026595.2978271821</v>
      </c>
      <c r="AD195" s="28">
        <f t="shared" si="78"/>
        <v>0</v>
      </c>
      <c r="AE195" s="28">
        <f t="shared" si="79"/>
        <v>2026595.2978271821</v>
      </c>
      <c r="AF195" s="51"/>
      <c r="AG195" t="str">
        <f t="shared" si="80"/>
        <v>5399999</v>
      </c>
    </row>
    <row r="196" spans="1:33" x14ac:dyDescent="0.25">
      <c r="A196" s="7" t="s">
        <v>539</v>
      </c>
      <c r="B196" s="2" t="s">
        <v>1038</v>
      </c>
      <c r="C196" s="4" t="s">
        <v>1037</v>
      </c>
      <c r="D196">
        <f>_xlfn.IFNA(VLOOKUP(A196,'Prior Year data'!$A$1:$T$317,12,FALSE),0)</f>
        <v>6389658.6512811938</v>
      </c>
      <c r="E196">
        <f>VLOOKUP(A196,'Basic HH'!$B$1:$Y$321,23,FALSE)</f>
        <v>2082377.6639005754</v>
      </c>
      <c r="F196">
        <f>VLOOKUP(A196,'Conc. HH'!$B$1:$Y$321,23,FALSE)</f>
        <v>431199.23366368335</v>
      </c>
      <c r="G196">
        <f>VLOOKUP(A196,'Targeted HH'!$B$1:$Y$321,23,FALSE)</f>
        <v>1385227.351105717</v>
      </c>
      <c r="H196">
        <f>VLOOKUP(A196,'EFIG HH'!$B$1:$Y$321,23,FALSE)</f>
        <v>1909932.7372002043</v>
      </c>
      <c r="I196">
        <f t="shared" ref="I196:I259" si="90">SUM(E196:H196)</f>
        <v>5808736.9858701807</v>
      </c>
      <c r="J196">
        <f t="shared" ref="J196:J259" si="91">IF(D196=0,I196,D196)</f>
        <v>6389658.6512811938</v>
      </c>
      <c r="K196" s="44">
        <f t="shared" ref="K196:K259" si="92">I196*(1-$K$1)</f>
        <v>5404497.5220361575</v>
      </c>
      <c r="L196">
        <f t="shared" ref="L196:L259" si="93">IF(K196&lt;J196,MIN(J196,I196)-K196,0)</f>
        <v>404239.4638340231</v>
      </c>
      <c r="M196">
        <f t="shared" ref="M196:M259" si="94">IF(L196=0,K196,0)</f>
        <v>0</v>
      </c>
      <c r="N196">
        <f t="shared" ref="N196:N259" si="95">M196-(M196/$M$3*$L$3)+IF(L196&gt;0,K196+L196)</f>
        <v>5808736.9858701807</v>
      </c>
      <c r="O196">
        <f t="shared" si="81"/>
        <v>0</v>
      </c>
      <c r="P196">
        <f t="shared" si="82"/>
        <v>0</v>
      </c>
      <c r="Q196">
        <f t="shared" si="83"/>
        <v>5808736.9858701807</v>
      </c>
      <c r="R196">
        <f t="shared" si="84"/>
        <v>0</v>
      </c>
      <c r="S196">
        <f t="shared" si="85"/>
        <v>0</v>
      </c>
      <c r="T196">
        <f t="shared" si="86"/>
        <v>5808736.9858701807</v>
      </c>
      <c r="U196">
        <f t="shared" si="87"/>
        <v>0</v>
      </c>
      <c r="V196">
        <f t="shared" si="88"/>
        <v>0</v>
      </c>
      <c r="W196">
        <f t="shared" si="89"/>
        <v>5808736.9858701807</v>
      </c>
      <c r="X196" s="44">
        <f t="shared" ref="X196:X259" si="96">I196-W196</f>
        <v>0</v>
      </c>
      <c r="Y196" s="28">
        <f t="shared" ref="Y196:Y259" si="97">W196/$W$3*$Y$1</f>
        <v>44796.206930002467</v>
      </c>
      <c r="Z196" s="28">
        <f t="shared" ref="Z196:Z259" si="98">W196-Y196</f>
        <v>5763940.7789401785</v>
      </c>
      <c r="AA196">
        <f t="shared" ref="AA196:AA259" si="99">Z196/$Z$3*$AA$1</f>
        <v>0</v>
      </c>
      <c r="AB196" s="28">
        <f t="shared" ref="AB196:AB259" si="100">Z196-AA196</f>
        <v>5763940.7789401785</v>
      </c>
      <c r="AD196" s="28">
        <f t="shared" ref="AD196:AD259" si="101">IF(AC196&gt;0,AC196*AB196,0)</f>
        <v>0</v>
      </c>
      <c r="AE196" s="28">
        <f t="shared" ref="AE196:AE259" si="102">AB196-AD196</f>
        <v>5763940.7789401785</v>
      </c>
      <c r="AF196" s="51"/>
      <c r="AG196" t="str">
        <f t="shared" si="80"/>
        <v>5306570</v>
      </c>
    </row>
    <row r="197" spans="1:33" x14ac:dyDescent="0.25">
      <c r="A197" s="7" t="s">
        <v>541</v>
      </c>
      <c r="B197" s="2" t="s">
        <v>1040</v>
      </c>
      <c r="C197" s="4" t="s">
        <v>1039</v>
      </c>
      <c r="D197">
        <f>_xlfn.IFNA(VLOOKUP(A197,'Prior Year data'!$A$1:$T$317,12,FALSE),0)</f>
        <v>142147.16546188557</v>
      </c>
      <c r="E197">
        <f>VLOOKUP(A197,'Basic HH'!$B$1:$Y$321,23,FALSE)</f>
        <v>44387.736841564809</v>
      </c>
      <c r="F197">
        <f>VLOOKUP(A197,'Conc. HH'!$B$1:$Y$321,23,FALSE)</f>
        <v>11541.167447610704</v>
      </c>
      <c r="G197">
        <f>VLOOKUP(A197,'Targeted HH'!$B$1:$Y$321,23,FALSE)</f>
        <v>27961.209980039668</v>
      </c>
      <c r="H197">
        <f>VLOOKUP(A197,'EFIG HH'!$B$1:$Y$321,23,FALSE)</f>
        <v>37869.176754537511</v>
      </c>
      <c r="I197">
        <f t="shared" si="90"/>
        <v>121759.29102375268</v>
      </c>
      <c r="J197">
        <f t="shared" si="91"/>
        <v>142147.16546188557</v>
      </c>
      <c r="K197" s="44">
        <f t="shared" si="92"/>
        <v>113285.86372966439</v>
      </c>
      <c r="L197">
        <f t="shared" si="93"/>
        <v>8473.4272940882947</v>
      </c>
      <c r="M197">
        <f t="shared" si="94"/>
        <v>0</v>
      </c>
      <c r="N197">
        <f t="shared" si="95"/>
        <v>121759.29102375268</v>
      </c>
      <c r="O197">
        <f t="shared" si="81"/>
        <v>0</v>
      </c>
      <c r="P197">
        <f t="shared" si="82"/>
        <v>0</v>
      </c>
      <c r="Q197">
        <f t="shared" si="83"/>
        <v>121759.29102375268</v>
      </c>
      <c r="R197">
        <f t="shared" si="84"/>
        <v>0</v>
      </c>
      <c r="S197">
        <f t="shared" si="85"/>
        <v>0</v>
      </c>
      <c r="T197">
        <f t="shared" si="86"/>
        <v>121759.29102375268</v>
      </c>
      <c r="U197">
        <f t="shared" si="87"/>
        <v>0</v>
      </c>
      <c r="V197">
        <f t="shared" si="88"/>
        <v>0</v>
      </c>
      <c r="W197">
        <f t="shared" si="89"/>
        <v>121759.29102375268</v>
      </c>
      <c r="X197" s="44">
        <f t="shared" si="96"/>
        <v>0</v>
      </c>
      <c r="Y197" s="28">
        <f t="shared" si="97"/>
        <v>938.99145539179972</v>
      </c>
      <c r="Z197" s="28">
        <f t="shared" si="98"/>
        <v>120820.29956836088</v>
      </c>
      <c r="AA197">
        <f t="shared" si="99"/>
        <v>0</v>
      </c>
      <c r="AB197" s="28">
        <f t="shared" si="100"/>
        <v>120820.29956836088</v>
      </c>
      <c r="AD197" s="28">
        <f t="shared" si="101"/>
        <v>0</v>
      </c>
      <c r="AE197" s="28">
        <f t="shared" si="102"/>
        <v>120820.29956836088</v>
      </c>
      <c r="AF197" s="51"/>
      <c r="AG197" t="str">
        <f t="shared" ref="AG197:AG260" si="103">A197</f>
        <v>5306600</v>
      </c>
    </row>
    <row r="198" spans="1:33" x14ac:dyDescent="0.25">
      <c r="A198" s="7" t="s">
        <v>195</v>
      </c>
      <c r="B198" s="2" t="s">
        <v>1042</v>
      </c>
      <c r="C198" s="4" t="s">
        <v>1041</v>
      </c>
      <c r="D198">
        <f>_xlfn.IFNA(VLOOKUP(A198,'Prior Year data'!$A$1:$T$317,12,FALSE),0)</f>
        <v>17281.584593040319</v>
      </c>
      <c r="E198">
        <f>VLOOKUP(A198,'Basic HH'!$B$1:$Y$321,23,FALSE)</f>
        <v>0</v>
      </c>
      <c r="F198">
        <f>VLOOKUP(A198,'Conc. HH'!$B$1:$Y$321,23,FALSE)</f>
        <v>0</v>
      </c>
      <c r="G198">
        <f>VLOOKUP(A198,'Targeted HH'!$B$1:$Y$321,23,FALSE)</f>
        <v>0</v>
      </c>
      <c r="H198">
        <f>VLOOKUP(A198,'EFIG HH'!$B$1:$Y$321,23,FALSE)</f>
        <v>0</v>
      </c>
      <c r="I198">
        <f t="shared" si="90"/>
        <v>0</v>
      </c>
      <c r="J198">
        <f t="shared" si="91"/>
        <v>17281.584593040319</v>
      </c>
      <c r="K198" s="44">
        <f t="shared" si="92"/>
        <v>0</v>
      </c>
      <c r="L198">
        <f t="shared" si="93"/>
        <v>0</v>
      </c>
      <c r="M198">
        <f t="shared" si="94"/>
        <v>0</v>
      </c>
      <c r="N198">
        <f t="shared" si="95"/>
        <v>0</v>
      </c>
      <c r="O198">
        <f t="shared" si="81"/>
        <v>0</v>
      </c>
      <c r="P198">
        <f t="shared" si="82"/>
        <v>0</v>
      </c>
      <c r="Q198">
        <f t="shared" si="83"/>
        <v>0</v>
      </c>
      <c r="R198">
        <f t="shared" si="84"/>
        <v>0</v>
      </c>
      <c r="S198">
        <f t="shared" si="85"/>
        <v>0</v>
      </c>
      <c r="T198">
        <f t="shared" si="86"/>
        <v>0</v>
      </c>
      <c r="U198">
        <f t="shared" si="87"/>
        <v>0</v>
      </c>
      <c r="V198">
        <f t="shared" si="88"/>
        <v>0</v>
      </c>
      <c r="W198">
        <f t="shared" si="89"/>
        <v>0</v>
      </c>
      <c r="X198" s="44">
        <f t="shared" si="96"/>
        <v>0</v>
      </c>
      <c r="Y198" s="28">
        <f t="shared" si="97"/>
        <v>0</v>
      </c>
      <c r="Z198" s="28">
        <f t="shared" si="98"/>
        <v>0</v>
      </c>
      <c r="AA198">
        <f t="shared" si="99"/>
        <v>0</v>
      </c>
      <c r="AB198" s="28">
        <f t="shared" si="100"/>
        <v>0</v>
      </c>
      <c r="AD198" s="28">
        <f t="shared" si="101"/>
        <v>0</v>
      </c>
      <c r="AE198" s="28">
        <f t="shared" si="102"/>
        <v>0</v>
      </c>
      <c r="AF198" s="51"/>
      <c r="AG198" t="str">
        <f t="shared" si="103"/>
        <v>5306630</v>
      </c>
    </row>
    <row r="199" spans="1:33" x14ac:dyDescent="0.25">
      <c r="A199" s="7" t="s">
        <v>298</v>
      </c>
      <c r="B199" s="2" t="s">
        <v>1044</v>
      </c>
      <c r="C199" s="4" t="s">
        <v>1043</v>
      </c>
      <c r="D199">
        <f>_xlfn.IFNA(VLOOKUP(A199,'Prior Year data'!$A$1:$T$317,12,FALSE),0)</f>
        <v>67834.266217269644</v>
      </c>
      <c r="E199">
        <f>VLOOKUP(A199,'Basic HH'!$B$1:$Y$321,23,FALSE)</f>
        <v>28068.715943930685</v>
      </c>
      <c r="F199">
        <f>VLOOKUP(A199,'Conc. HH'!$B$1:$Y$321,23,FALSE)</f>
        <v>0</v>
      </c>
      <c r="G199">
        <f>VLOOKUP(A199,'Targeted HH'!$B$1:$Y$321,23,FALSE)</f>
        <v>12757.7724962539</v>
      </c>
      <c r="H199">
        <f>VLOOKUP(A199,'EFIG HH'!$B$1:$Y$321,23,FALSE)</f>
        <v>17278.449037065977</v>
      </c>
      <c r="I199">
        <f t="shared" si="90"/>
        <v>58104.937477250562</v>
      </c>
      <c r="J199">
        <f t="shared" si="91"/>
        <v>67834.266217269644</v>
      </c>
      <c r="K199" s="44">
        <f t="shared" si="92"/>
        <v>54061.32027973434</v>
      </c>
      <c r="L199">
        <f t="shared" si="93"/>
        <v>4043.6171975162215</v>
      </c>
      <c r="M199">
        <f t="shared" si="94"/>
        <v>0</v>
      </c>
      <c r="N199">
        <f t="shared" si="95"/>
        <v>58104.937477250562</v>
      </c>
      <c r="O199">
        <f t="shared" si="81"/>
        <v>0</v>
      </c>
      <c r="P199">
        <f t="shared" si="82"/>
        <v>0</v>
      </c>
      <c r="Q199">
        <f t="shared" si="83"/>
        <v>58104.937477250562</v>
      </c>
      <c r="R199">
        <f t="shared" si="84"/>
        <v>0</v>
      </c>
      <c r="S199">
        <f t="shared" si="85"/>
        <v>0</v>
      </c>
      <c r="T199">
        <f t="shared" si="86"/>
        <v>58104.937477250562</v>
      </c>
      <c r="U199">
        <f t="shared" si="87"/>
        <v>0</v>
      </c>
      <c r="V199">
        <f t="shared" si="88"/>
        <v>0</v>
      </c>
      <c r="W199">
        <f t="shared" si="89"/>
        <v>58104.937477250562</v>
      </c>
      <c r="X199" s="44">
        <f t="shared" si="96"/>
        <v>0</v>
      </c>
      <c r="Y199" s="28">
        <f t="shared" si="97"/>
        <v>448.0975484373468</v>
      </c>
      <c r="Z199" s="28">
        <f t="shared" si="98"/>
        <v>57656.839928813213</v>
      </c>
      <c r="AA199">
        <f t="shared" si="99"/>
        <v>0</v>
      </c>
      <c r="AB199" s="28">
        <f t="shared" si="100"/>
        <v>57656.839928813213</v>
      </c>
      <c r="AD199" s="28">
        <f t="shared" si="101"/>
        <v>0</v>
      </c>
      <c r="AE199" s="28">
        <f t="shared" si="102"/>
        <v>57656.839928813213</v>
      </c>
      <c r="AF199" s="51"/>
      <c r="AG199" t="str">
        <f t="shared" si="103"/>
        <v>5306660</v>
      </c>
    </row>
    <row r="200" spans="1:33" x14ac:dyDescent="0.25">
      <c r="A200" s="7" t="s">
        <v>197</v>
      </c>
      <c r="B200" s="2" t="s">
        <v>1046</v>
      </c>
      <c r="C200" s="4" t="s">
        <v>1045</v>
      </c>
      <c r="D200">
        <f>_xlfn.IFNA(VLOOKUP(A200,'Prior Year data'!$A$1:$T$317,12,FALSE),0)</f>
        <v>981962.79264970752</v>
      </c>
      <c r="E200">
        <f>VLOOKUP(A200,'Basic HH'!$B$1:$Y$321,23,FALSE)</f>
        <v>459310.06713048654</v>
      </c>
      <c r="F200">
        <f>VLOOKUP(A200,'Conc. HH'!$B$1:$Y$321,23,FALSE)</f>
        <v>0</v>
      </c>
      <c r="G200">
        <f>VLOOKUP(A200,'Targeted HH'!$B$1:$Y$321,23,FALSE)</f>
        <v>0</v>
      </c>
      <c r="H200">
        <f>VLOOKUP(A200,'EFIG HH'!$B$1:$Y$321,23,FALSE)</f>
        <v>0</v>
      </c>
      <c r="I200">
        <f t="shared" si="90"/>
        <v>459310.06713048654</v>
      </c>
      <c r="J200">
        <f t="shared" si="91"/>
        <v>981962.79264970752</v>
      </c>
      <c r="K200" s="44">
        <f t="shared" si="92"/>
        <v>427345.93177334359</v>
      </c>
      <c r="L200">
        <f t="shared" si="93"/>
        <v>31964.13535714295</v>
      </c>
      <c r="M200">
        <f t="shared" si="94"/>
        <v>0</v>
      </c>
      <c r="N200">
        <f t="shared" si="95"/>
        <v>459310.06713048654</v>
      </c>
      <c r="O200">
        <f t="shared" si="81"/>
        <v>0</v>
      </c>
      <c r="P200">
        <f t="shared" si="82"/>
        <v>0</v>
      </c>
      <c r="Q200">
        <f t="shared" si="83"/>
        <v>459310.06713048654</v>
      </c>
      <c r="R200">
        <f t="shared" si="84"/>
        <v>0</v>
      </c>
      <c r="S200">
        <f t="shared" si="85"/>
        <v>0</v>
      </c>
      <c r="T200">
        <f t="shared" si="86"/>
        <v>459310.06713048654</v>
      </c>
      <c r="U200">
        <f t="shared" si="87"/>
        <v>0</v>
      </c>
      <c r="V200">
        <f t="shared" si="88"/>
        <v>0</v>
      </c>
      <c r="W200">
        <f t="shared" si="89"/>
        <v>459310.06713048654</v>
      </c>
      <c r="X200" s="44">
        <f t="shared" si="96"/>
        <v>0</v>
      </c>
      <c r="Y200" s="28">
        <f t="shared" si="97"/>
        <v>3542.1381381633164</v>
      </c>
      <c r="Z200" s="28">
        <f t="shared" si="98"/>
        <v>455767.92899232323</v>
      </c>
      <c r="AA200">
        <f t="shared" si="99"/>
        <v>0</v>
      </c>
      <c r="AB200" s="28">
        <f t="shared" si="100"/>
        <v>455767.92899232323</v>
      </c>
      <c r="AD200" s="28">
        <f t="shared" si="101"/>
        <v>0</v>
      </c>
      <c r="AE200" s="28">
        <f t="shared" si="102"/>
        <v>455767.92899232323</v>
      </c>
      <c r="AF200" s="51"/>
      <c r="AG200" t="str">
        <f t="shared" si="103"/>
        <v>5306690</v>
      </c>
    </row>
    <row r="201" spans="1:33" x14ac:dyDescent="0.25">
      <c r="A201" s="7" t="s">
        <v>87</v>
      </c>
      <c r="B201" s="2" t="s">
        <v>1047</v>
      </c>
      <c r="C201" s="4" t="s">
        <v>55</v>
      </c>
      <c r="D201">
        <f>_xlfn.IFNA(VLOOKUP(A201,'Prior Year data'!$A$1:$T$317,12,FALSE),0)</f>
        <v>59572.088587619925</v>
      </c>
      <c r="E201">
        <f>VLOOKUP(A201,'Basic HH'!$B$1:$Y$321,23,FALSE)</f>
        <v>23728.736705585623</v>
      </c>
      <c r="F201">
        <f>VLOOKUP(A201,'Conc. HH'!$B$1:$Y$321,23,FALSE)</f>
        <v>0</v>
      </c>
      <c r="G201">
        <f>VLOOKUP(A201,'Targeted HH'!$B$1:$Y$321,23,FALSE)</f>
        <v>13729.744798136368</v>
      </c>
      <c r="H201">
        <f>VLOOKUP(A201,'EFIG HH'!$B$1:$Y$321,23,FALSE)</f>
        <v>18932.616567817586</v>
      </c>
      <c r="I201">
        <f t="shared" si="90"/>
        <v>56391.098071539571</v>
      </c>
      <c r="J201">
        <f t="shared" si="91"/>
        <v>59572.088587619925</v>
      </c>
      <c r="K201" s="44">
        <f t="shared" si="92"/>
        <v>52466.749748504575</v>
      </c>
      <c r="L201">
        <f t="shared" si="93"/>
        <v>3924.3483230349957</v>
      </c>
      <c r="M201">
        <f t="shared" si="94"/>
        <v>0</v>
      </c>
      <c r="N201">
        <f t="shared" si="95"/>
        <v>56391.098071539571</v>
      </c>
      <c r="O201">
        <f t="shared" si="81"/>
        <v>0</v>
      </c>
      <c r="P201">
        <f t="shared" si="82"/>
        <v>0</v>
      </c>
      <c r="Q201">
        <f t="shared" si="83"/>
        <v>56391.098071539571</v>
      </c>
      <c r="R201">
        <f t="shared" si="84"/>
        <v>0</v>
      </c>
      <c r="S201">
        <f t="shared" si="85"/>
        <v>0</v>
      </c>
      <c r="T201">
        <f t="shared" si="86"/>
        <v>56391.098071539571</v>
      </c>
      <c r="U201">
        <f t="shared" si="87"/>
        <v>0</v>
      </c>
      <c r="V201">
        <f t="shared" si="88"/>
        <v>0</v>
      </c>
      <c r="W201">
        <f t="shared" si="89"/>
        <v>56391.098071539571</v>
      </c>
      <c r="X201" s="44">
        <f t="shared" si="96"/>
        <v>0</v>
      </c>
      <c r="Y201" s="28">
        <f t="shared" si="97"/>
        <v>434.88064692333882</v>
      </c>
      <c r="Z201" s="28">
        <f t="shared" si="98"/>
        <v>55956.217424616232</v>
      </c>
      <c r="AA201">
        <f t="shared" si="99"/>
        <v>0</v>
      </c>
      <c r="AB201" s="28">
        <f t="shared" si="100"/>
        <v>55956.217424616232</v>
      </c>
      <c r="AD201" s="28">
        <f t="shared" si="101"/>
        <v>0</v>
      </c>
      <c r="AE201" s="28">
        <f t="shared" si="102"/>
        <v>55956.217424616232</v>
      </c>
      <c r="AF201" s="51"/>
      <c r="AG201" t="str">
        <f t="shared" si="103"/>
        <v>5306770</v>
      </c>
    </row>
    <row r="202" spans="1:33" x14ac:dyDescent="0.25">
      <c r="A202" s="7" t="s">
        <v>543</v>
      </c>
      <c r="B202" s="2" t="s">
        <v>1049</v>
      </c>
      <c r="C202" s="4" t="s">
        <v>1048</v>
      </c>
      <c r="D202">
        <f>_xlfn.IFNA(VLOOKUP(A202,'Prior Year data'!$A$1:$T$317,12,FALSE),0)</f>
        <v>438818.27960661979</v>
      </c>
      <c r="E202">
        <f>VLOOKUP(A202,'Basic HH'!$B$1:$Y$321,23,FALSE)</f>
        <v>170995.85999781726</v>
      </c>
      <c r="F202">
        <f>VLOOKUP(A202,'Conc. HH'!$B$1:$Y$321,23,FALSE)</f>
        <v>44784.762070648816</v>
      </c>
      <c r="G202">
        <f>VLOOKUP(A202,'Targeted HH'!$B$1:$Y$321,23,FALSE)</f>
        <v>86794.640474281914</v>
      </c>
      <c r="H202">
        <f>VLOOKUP(A202,'EFIG HH'!$B$1:$Y$321,23,FALSE)</f>
        <v>119684.0514973964</v>
      </c>
      <c r="I202">
        <f t="shared" si="90"/>
        <v>422259.31404014444</v>
      </c>
      <c r="J202">
        <f t="shared" si="91"/>
        <v>438818.27960661979</v>
      </c>
      <c r="K202" s="44">
        <f t="shared" si="92"/>
        <v>392873.60091150302</v>
      </c>
      <c r="L202">
        <f t="shared" si="93"/>
        <v>29385.713128641422</v>
      </c>
      <c r="M202">
        <f t="shared" si="94"/>
        <v>0</v>
      </c>
      <c r="N202">
        <f t="shared" si="95"/>
        <v>422259.31404014444</v>
      </c>
      <c r="O202">
        <f t="shared" si="81"/>
        <v>0</v>
      </c>
      <c r="P202">
        <f t="shared" si="82"/>
        <v>0</v>
      </c>
      <c r="Q202">
        <f t="shared" si="83"/>
        <v>422259.31404014444</v>
      </c>
      <c r="R202">
        <f t="shared" si="84"/>
        <v>0</v>
      </c>
      <c r="S202">
        <f t="shared" si="85"/>
        <v>0</v>
      </c>
      <c r="T202">
        <f t="shared" si="86"/>
        <v>422259.31404014444</v>
      </c>
      <c r="U202">
        <f t="shared" si="87"/>
        <v>0</v>
      </c>
      <c r="V202">
        <f t="shared" si="88"/>
        <v>0</v>
      </c>
      <c r="W202">
        <f t="shared" si="89"/>
        <v>422259.31404014444</v>
      </c>
      <c r="X202" s="44">
        <f t="shared" si="96"/>
        <v>0</v>
      </c>
      <c r="Y202" s="28">
        <f t="shared" si="97"/>
        <v>3256.4076589929373</v>
      </c>
      <c r="Z202" s="28">
        <f t="shared" si="98"/>
        <v>419002.90638115152</v>
      </c>
      <c r="AA202">
        <f t="shared" si="99"/>
        <v>0</v>
      </c>
      <c r="AB202" s="28">
        <f t="shared" si="100"/>
        <v>419002.90638115152</v>
      </c>
      <c r="AD202" s="28">
        <f t="shared" si="101"/>
        <v>0</v>
      </c>
      <c r="AE202" s="28">
        <f t="shared" si="102"/>
        <v>419002.90638115152</v>
      </c>
      <c r="AF202" s="51"/>
      <c r="AG202" t="str">
        <f t="shared" si="103"/>
        <v>5306750</v>
      </c>
    </row>
    <row r="203" spans="1:33" x14ac:dyDescent="0.25">
      <c r="A203" s="7" t="s">
        <v>545</v>
      </c>
      <c r="B203" s="2" t="s">
        <v>1051</v>
      </c>
      <c r="C203" s="4" t="s">
        <v>1050</v>
      </c>
      <c r="D203">
        <f>_xlfn.IFNA(VLOOKUP(A203,'Prior Year data'!$A$1:$T$317,12,FALSE),0)</f>
        <v>103337.51293477119</v>
      </c>
      <c r="E203">
        <f>VLOOKUP(A203,'Basic HH'!$B$1:$Y$321,23,FALSE)</f>
        <v>55908.52877056483</v>
      </c>
      <c r="F203">
        <f>VLOOKUP(A203,'Conc. HH'!$B$1:$Y$321,23,FALSE)</f>
        <v>14697.097935169029</v>
      </c>
      <c r="G203">
        <f>VLOOKUP(A203,'Targeted HH'!$B$1:$Y$321,23,FALSE)</f>
        <v>28687.253770630898</v>
      </c>
      <c r="H203">
        <f>VLOOKUP(A203,'EFIG HH'!$B$1:$Y$321,23,FALSE)</f>
        <v>39553.597518243376</v>
      </c>
      <c r="I203">
        <f t="shared" si="90"/>
        <v>138846.47799460811</v>
      </c>
      <c r="J203">
        <f t="shared" si="91"/>
        <v>103337.51293477119</v>
      </c>
      <c r="K203" s="44">
        <f t="shared" si="92"/>
        <v>129183.92554020829</v>
      </c>
      <c r="L203">
        <f t="shared" si="93"/>
        <v>0</v>
      </c>
      <c r="M203">
        <f t="shared" si="94"/>
        <v>129183.92554020829</v>
      </c>
      <c r="N203">
        <f t="shared" si="95"/>
        <v>122674.74549465766</v>
      </c>
      <c r="O203">
        <f t="shared" si="81"/>
        <v>0</v>
      </c>
      <c r="P203">
        <f t="shared" si="82"/>
        <v>122674.74549465766</v>
      </c>
      <c r="Q203">
        <f t="shared" si="83"/>
        <v>122674.74549465766</v>
      </c>
      <c r="R203">
        <f t="shared" si="84"/>
        <v>0</v>
      </c>
      <c r="S203">
        <f t="shared" si="85"/>
        <v>122674.74549465766</v>
      </c>
      <c r="T203">
        <f t="shared" si="86"/>
        <v>122674.74549465766</v>
      </c>
      <c r="U203">
        <f t="shared" si="87"/>
        <v>0</v>
      </c>
      <c r="V203">
        <f t="shared" si="88"/>
        <v>122674.74549465766</v>
      </c>
      <c r="W203">
        <f t="shared" si="89"/>
        <v>122674.74549465766</v>
      </c>
      <c r="X203" s="44">
        <f t="shared" si="96"/>
        <v>16171.732499950449</v>
      </c>
      <c r="Y203" s="28">
        <f t="shared" si="97"/>
        <v>946.05131849343593</v>
      </c>
      <c r="Z203" s="28">
        <f t="shared" si="98"/>
        <v>121728.69417616422</v>
      </c>
      <c r="AA203">
        <f t="shared" si="99"/>
        <v>0</v>
      </c>
      <c r="AB203" s="28">
        <f t="shared" si="100"/>
        <v>121728.69417616422</v>
      </c>
      <c r="AD203" s="28">
        <f t="shared" si="101"/>
        <v>0</v>
      </c>
      <c r="AE203" s="28">
        <f t="shared" si="102"/>
        <v>121728.69417616422</v>
      </c>
      <c r="AF203" s="51"/>
      <c r="AG203" t="str">
        <f t="shared" si="103"/>
        <v>5306780</v>
      </c>
    </row>
    <row r="204" spans="1:33" x14ac:dyDescent="0.25">
      <c r="A204" s="7" t="s">
        <v>547</v>
      </c>
      <c r="B204" s="2" t="s">
        <v>1053</v>
      </c>
      <c r="C204" s="4" t="s">
        <v>1052</v>
      </c>
      <c r="D204">
        <f>_xlfn.IFNA(VLOOKUP(A204,'Prior Year data'!$A$1:$T$317,12,FALSE),0)</f>
        <v>1338296.9116609897</v>
      </c>
      <c r="E204">
        <f>VLOOKUP(A204,'Basic HH'!$B$1:$Y$321,23,FALSE)</f>
        <v>518659.12074847048</v>
      </c>
      <c r="F204">
        <f>VLOOKUP(A204,'Conc. HH'!$B$1:$Y$321,23,FALSE)</f>
        <v>127771.50605062442</v>
      </c>
      <c r="G204">
        <f>VLOOKUP(A204,'Targeted HH'!$B$1:$Y$321,23,FALSE)</f>
        <v>248192.56951916419</v>
      </c>
      <c r="H204">
        <f>VLOOKUP(A204,'EFIG HH'!$B$1:$Y$321,23,FALSE)</f>
        <v>342204.55817314598</v>
      </c>
      <c r="I204">
        <f t="shared" si="90"/>
        <v>1236827.7544914051</v>
      </c>
      <c r="J204">
        <f t="shared" si="91"/>
        <v>1338296.9116609897</v>
      </c>
      <c r="K204" s="44">
        <f t="shared" si="92"/>
        <v>1150754.8974233647</v>
      </c>
      <c r="L204">
        <f t="shared" si="93"/>
        <v>86072.857068040408</v>
      </c>
      <c r="M204">
        <f t="shared" si="94"/>
        <v>0</v>
      </c>
      <c r="N204">
        <f t="shared" si="95"/>
        <v>1236827.7544914051</v>
      </c>
      <c r="O204">
        <f t="shared" si="81"/>
        <v>0</v>
      </c>
      <c r="P204">
        <f t="shared" si="82"/>
        <v>0</v>
      </c>
      <c r="Q204">
        <f t="shared" si="83"/>
        <v>1236827.7544914051</v>
      </c>
      <c r="R204">
        <f t="shared" si="84"/>
        <v>0</v>
      </c>
      <c r="S204">
        <f t="shared" si="85"/>
        <v>0</v>
      </c>
      <c r="T204">
        <f t="shared" si="86"/>
        <v>1236827.7544914051</v>
      </c>
      <c r="U204">
        <f t="shared" si="87"/>
        <v>0</v>
      </c>
      <c r="V204">
        <f t="shared" si="88"/>
        <v>0</v>
      </c>
      <c r="W204">
        <f t="shared" si="89"/>
        <v>1236827.7544914051</v>
      </c>
      <c r="X204" s="44">
        <f t="shared" si="96"/>
        <v>0</v>
      </c>
      <c r="Y204" s="28">
        <f t="shared" si="97"/>
        <v>9538.2511140960632</v>
      </c>
      <c r="Z204" s="28">
        <f t="shared" si="98"/>
        <v>1227289.5033773091</v>
      </c>
      <c r="AA204">
        <f t="shared" si="99"/>
        <v>0</v>
      </c>
      <c r="AB204" s="28">
        <f t="shared" si="100"/>
        <v>1227289.5033773091</v>
      </c>
      <c r="AD204" s="28">
        <f t="shared" si="101"/>
        <v>0</v>
      </c>
      <c r="AE204" s="28">
        <f t="shared" si="102"/>
        <v>1227289.5033773091</v>
      </c>
      <c r="AF204" s="51"/>
      <c r="AG204" t="str">
        <f t="shared" si="103"/>
        <v>5306820</v>
      </c>
    </row>
    <row r="205" spans="1:33" x14ac:dyDescent="0.25">
      <c r="A205" s="7" t="s">
        <v>549</v>
      </c>
      <c r="B205" s="2" t="s">
        <v>1055</v>
      </c>
      <c r="C205" s="4" t="s">
        <v>1054</v>
      </c>
      <c r="D205">
        <f>_xlfn.IFNA(VLOOKUP(A205,'Prior Year data'!$A$1:$T$317,12,FALSE),0)</f>
        <v>559124.05407067051</v>
      </c>
      <c r="E205">
        <f>VLOOKUP(A205,'Basic HH'!$B$1:$Y$321,23,FALSE)</f>
        <v>184730.46722655772</v>
      </c>
      <c r="F205">
        <f>VLOOKUP(A205,'Conc. HH'!$B$1:$Y$321,23,FALSE)</f>
        <v>48381.931714877639</v>
      </c>
      <c r="G205">
        <f>VLOOKUP(A205,'Targeted HH'!$B$1:$Y$321,23,FALSE)</f>
        <v>103432.00238795746</v>
      </c>
      <c r="H205">
        <f>VLOOKUP(A205,'EFIG HH'!$B$1:$Y$321,23,FALSE)</f>
        <v>142625.86989973413</v>
      </c>
      <c r="I205">
        <f t="shared" si="90"/>
        <v>479170.27122912696</v>
      </c>
      <c r="J205">
        <f t="shared" si="91"/>
        <v>559124.05407067051</v>
      </c>
      <c r="K205" s="44">
        <f t="shared" si="92"/>
        <v>445824.03193510452</v>
      </c>
      <c r="L205">
        <f t="shared" si="93"/>
        <v>33346.239294022438</v>
      </c>
      <c r="M205">
        <f t="shared" si="94"/>
        <v>0</v>
      </c>
      <c r="N205">
        <f t="shared" si="95"/>
        <v>479170.27122912696</v>
      </c>
      <c r="O205">
        <f t="shared" si="81"/>
        <v>0</v>
      </c>
      <c r="P205">
        <f t="shared" si="82"/>
        <v>0</v>
      </c>
      <c r="Q205">
        <f t="shared" si="83"/>
        <v>479170.27122912696</v>
      </c>
      <c r="R205">
        <f t="shared" si="84"/>
        <v>0</v>
      </c>
      <c r="S205">
        <f t="shared" si="85"/>
        <v>0</v>
      </c>
      <c r="T205">
        <f t="shared" si="86"/>
        <v>479170.27122912696</v>
      </c>
      <c r="U205">
        <f t="shared" si="87"/>
        <v>0</v>
      </c>
      <c r="V205">
        <f t="shared" si="88"/>
        <v>0</v>
      </c>
      <c r="W205">
        <f t="shared" si="89"/>
        <v>479170.27122912696</v>
      </c>
      <c r="X205" s="44">
        <f t="shared" si="96"/>
        <v>0</v>
      </c>
      <c r="Y205" s="28">
        <f t="shared" si="97"/>
        <v>3695.2973902759345</v>
      </c>
      <c r="Z205" s="28">
        <f t="shared" si="98"/>
        <v>475474.97383885103</v>
      </c>
      <c r="AA205">
        <f t="shared" si="99"/>
        <v>0</v>
      </c>
      <c r="AB205" s="28">
        <f t="shared" si="100"/>
        <v>475474.97383885103</v>
      </c>
      <c r="AD205" s="28">
        <f t="shared" si="101"/>
        <v>0</v>
      </c>
      <c r="AE205" s="28">
        <f t="shared" si="102"/>
        <v>475474.97383885103</v>
      </c>
      <c r="AF205" s="51"/>
      <c r="AG205" t="str">
        <f t="shared" si="103"/>
        <v>5306840</v>
      </c>
    </row>
    <row r="206" spans="1:33" x14ac:dyDescent="0.25">
      <c r="A206" s="7" t="s">
        <v>551</v>
      </c>
      <c r="B206" s="2" t="s">
        <v>1057</v>
      </c>
      <c r="C206" s="4" t="s">
        <v>1056</v>
      </c>
      <c r="D206">
        <f>_xlfn.IFNA(VLOOKUP(A206,'Prior Year data'!$A$1:$T$317,12,FALSE),0)</f>
        <v>81185.291102676696</v>
      </c>
      <c r="E206">
        <f>VLOOKUP(A206,'Basic HH'!$B$1:$Y$321,23,FALSE)</f>
        <v>42146.429380887334</v>
      </c>
      <c r="F206">
        <f>VLOOKUP(A206,'Conc. HH'!$B$1:$Y$321,23,FALSE)</f>
        <v>5547.5962184423461</v>
      </c>
      <c r="G206">
        <f>VLOOKUP(A206,'Targeted HH'!$B$1:$Y$321,23,FALSE)</f>
        <v>20168.218750313514</v>
      </c>
      <c r="H206">
        <f>VLOOKUP(A206,'EFIG HH'!$B$1:$Y$321,23,FALSE)</f>
        <v>27807.667247900754</v>
      </c>
      <c r="I206">
        <f t="shared" si="90"/>
        <v>95669.911597543949</v>
      </c>
      <c r="J206">
        <f t="shared" si="91"/>
        <v>81185.291102676696</v>
      </c>
      <c r="K206" s="44">
        <f t="shared" si="92"/>
        <v>89012.086692867873</v>
      </c>
      <c r="L206">
        <f t="shared" si="93"/>
        <v>0</v>
      </c>
      <c r="M206">
        <f t="shared" si="94"/>
        <v>89012.086692867873</v>
      </c>
      <c r="N206">
        <f t="shared" si="95"/>
        <v>84527.041853959468</v>
      </c>
      <c r="O206">
        <f t="shared" si="81"/>
        <v>0</v>
      </c>
      <c r="P206">
        <f t="shared" si="82"/>
        <v>84527.041853959468</v>
      </c>
      <c r="Q206">
        <f t="shared" si="83"/>
        <v>84527.041853959468</v>
      </c>
      <c r="R206">
        <f t="shared" si="84"/>
        <v>0</v>
      </c>
      <c r="S206">
        <f t="shared" si="85"/>
        <v>84527.041853959468</v>
      </c>
      <c r="T206">
        <f t="shared" si="86"/>
        <v>84527.041853959468</v>
      </c>
      <c r="U206">
        <f t="shared" si="87"/>
        <v>0</v>
      </c>
      <c r="V206">
        <f t="shared" si="88"/>
        <v>84527.041853959468</v>
      </c>
      <c r="W206">
        <f t="shared" si="89"/>
        <v>84527.041853959468</v>
      </c>
      <c r="X206" s="44">
        <f t="shared" si="96"/>
        <v>11142.869743584481</v>
      </c>
      <c r="Y206" s="28">
        <f t="shared" si="97"/>
        <v>651.86130260013999</v>
      </c>
      <c r="Z206" s="28">
        <f t="shared" si="98"/>
        <v>83875.180551359328</v>
      </c>
      <c r="AA206">
        <f t="shared" si="99"/>
        <v>0</v>
      </c>
      <c r="AB206" s="28">
        <f t="shared" si="100"/>
        <v>83875.180551359328</v>
      </c>
      <c r="AD206" s="28">
        <f t="shared" si="101"/>
        <v>0</v>
      </c>
      <c r="AE206" s="28">
        <f t="shared" si="102"/>
        <v>83875.180551359328</v>
      </c>
      <c r="AF206" s="51"/>
      <c r="AG206" t="str">
        <f t="shared" si="103"/>
        <v>5306870</v>
      </c>
    </row>
    <row r="207" spans="1:33" x14ac:dyDescent="0.25">
      <c r="A207" s="7" t="s">
        <v>81</v>
      </c>
      <c r="B207" s="2" t="s">
        <v>1058</v>
      </c>
      <c r="C207" s="4" t="s">
        <v>34</v>
      </c>
      <c r="D207">
        <f>_xlfn.IFNA(VLOOKUP(A207,'Prior Year data'!$A$1:$T$317,12,FALSE),0)</f>
        <v>305795.01118587953</v>
      </c>
      <c r="E207">
        <f>VLOOKUP(A207,'Basic HH'!$B$1:$Y$321,23,FALSE)</f>
        <v>60665.923820133205</v>
      </c>
      <c r="F207">
        <f>VLOOKUP(A207,'Conc. HH'!$B$1:$Y$321,23,FALSE)</f>
        <v>15773.626568780686</v>
      </c>
      <c r="G207">
        <f>VLOOKUP(A207,'Targeted HH'!$B$1:$Y$321,23,FALSE)</f>
        <v>48376.873334528776</v>
      </c>
      <c r="H207">
        <f>VLOOKUP(A207,'EFIG HH'!$B$1:$Y$321,23,FALSE)</f>
        <v>65519.066179357942</v>
      </c>
      <c r="I207">
        <f t="shared" si="90"/>
        <v>190335.48990280062</v>
      </c>
      <c r="J207">
        <f t="shared" si="91"/>
        <v>305795.01118587953</v>
      </c>
      <c r="K207" s="44">
        <f t="shared" si="92"/>
        <v>177089.73328237617</v>
      </c>
      <c r="L207">
        <f t="shared" si="93"/>
        <v>13245.75662042445</v>
      </c>
      <c r="M207">
        <f t="shared" si="94"/>
        <v>0</v>
      </c>
      <c r="N207">
        <f t="shared" si="95"/>
        <v>190335.48990280062</v>
      </c>
      <c r="O207">
        <f t="shared" si="81"/>
        <v>0</v>
      </c>
      <c r="P207">
        <f t="shared" si="82"/>
        <v>0</v>
      </c>
      <c r="Q207">
        <f t="shared" si="83"/>
        <v>190335.48990280062</v>
      </c>
      <c r="R207">
        <f t="shared" si="84"/>
        <v>0</v>
      </c>
      <c r="S207">
        <f t="shared" si="85"/>
        <v>0</v>
      </c>
      <c r="T207">
        <f t="shared" si="86"/>
        <v>190335.48990280062</v>
      </c>
      <c r="U207">
        <f t="shared" si="87"/>
        <v>0</v>
      </c>
      <c r="V207">
        <f t="shared" si="88"/>
        <v>0</v>
      </c>
      <c r="W207">
        <f t="shared" si="89"/>
        <v>190335.48990280062</v>
      </c>
      <c r="X207" s="44">
        <f t="shared" si="96"/>
        <v>0</v>
      </c>
      <c r="Y207" s="28">
        <f t="shared" si="97"/>
        <v>1467.8419788242422</v>
      </c>
      <c r="Z207" s="28">
        <f t="shared" si="98"/>
        <v>188867.64792397639</v>
      </c>
      <c r="AA207">
        <f t="shared" si="99"/>
        <v>0</v>
      </c>
      <c r="AB207" s="28">
        <f t="shared" si="100"/>
        <v>188867.64792397639</v>
      </c>
      <c r="AD207" s="28">
        <f t="shared" si="101"/>
        <v>0</v>
      </c>
      <c r="AE207" s="28">
        <f t="shared" si="102"/>
        <v>188867.64792397639</v>
      </c>
      <c r="AF207" s="51"/>
      <c r="AG207" t="str">
        <f t="shared" si="103"/>
        <v>5306890</v>
      </c>
    </row>
    <row r="208" spans="1:33" x14ac:dyDescent="0.25">
      <c r="A208" s="7" t="s">
        <v>553</v>
      </c>
      <c r="B208" s="2" t="s">
        <v>1060</v>
      </c>
      <c r="C208" s="4" t="s">
        <v>1059</v>
      </c>
      <c r="D208">
        <f>_xlfn.IFNA(VLOOKUP(A208,'Prior Year data'!$A$1:$T$317,12,FALSE),0)</f>
        <v>806733.97753056721</v>
      </c>
      <c r="E208">
        <f>VLOOKUP(A208,'Basic HH'!$B$1:$Y$321,23,FALSE)</f>
        <v>308968.76715279772</v>
      </c>
      <c r="F208">
        <f>VLOOKUP(A208,'Conc. HH'!$B$1:$Y$321,23,FALSE)</f>
        <v>78471.919361589447</v>
      </c>
      <c r="G208">
        <f>VLOOKUP(A208,'Targeted HH'!$B$1:$Y$321,23,FALSE)</f>
        <v>140765.93495116779</v>
      </c>
      <c r="H208">
        <f>VLOOKUP(A208,'EFIG HH'!$B$1:$Y$321,23,FALSE)</f>
        <v>194086.16732208282</v>
      </c>
      <c r="I208">
        <f t="shared" si="90"/>
        <v>722292.78878763772</v>
      </c>
      <c r="J208">
        <f t="shared" si="91"/>
        <v>806733.97753056721</v>
      </c>
      <c r="K208" s="44">
        <f t="shared" si="92"/>
        <v>672027.25767804554</v>
      </c>
      <c r="L208">
        <f t="shared" si="93"/>
        <v>50265.531109592179</v>
      </c>
      <c r="M208">
        <f t="shared" si="94"/>
        <v>0</v>
      </c>
      <c r="N208">
        <f t="shared" si="95"/>
        <v>722292.78878763772</v>
      </c>
      <c r="O208">
        <f t="shared" si="81"/>
        <v>0</v>
      </c>
      <c r="P208">
        <f t="shared" si="82"/>
        <v>0</v>
      </c>
      <c r="Q208">
        <f t="shared" si="83"/>
        <v>722292.78878763772</v>
      </c>
      <c r="R208">
        <f t="shared" si="84"/>
        <v>0</v>
      </c>
      <c r="S208">
        <f t="shared" si="85"/>
        <v>0</v>
      </c>
      <c r="T208">
        <f t="shared" si="86"/>
        <v>722292.78878763772</v>
      </c>
      <c r="U208">
        <f t="shared" si="87"/>
        <v>0</v>
      </c>
      <c r="V208">
        <f t="shared" si="88"/>
        <v>0</v>
      </c>
      <c r="W208">
        <f t="shared" si="89"/>
        <v>722292.78878763772</v>
      </c>
      <c r="X208" s="44">
        <f t="shared" si="96"/>
        <v>0</v>
      </c>
      <c r="Y208" s="28">
        <f t="shared" si="97"/>
        <v>5570.225904406735</v>
      </c>
      <c r="Z208" s="28">
        <f t="shared" si="98"/>
        <v>716722.56288323097</v>
      </c>
      <c r="AA208">
        <f t="shared" si="99"/>
        <v>0</v>
      </c>
      <c r="AB208" s="28">
        <f t="shared" si="100"/>
        <v>716722.56288323097</v>
      </c>
      <c r="AD208" s="28">
        <f t="shared" si="101"/>
        <v>0</v>
      </c>
      <c r="AE208" s="28">
        <f t="shared" si="102"/>
        <v>716722.56288323097</v>
      </c>
      <c r="AF208" s="51"/>
      <c r="AG208" t="str">
        <f t="shared" si="103"/>
        <v>5306900</v>
      </c>
    </row>
    <row r="209" spans="1:33" x14ac:dyDescent="0.25">
      <c r="A209" s="7" t="s">
        <v>61</v>
      </c>
      <c r="B209" s="2" t="s">
        <v>1061</v>
      </c>
      <c r="C209" s="4" t="s">
        <v>21</v>
      </c>
      <c r="D209">
        <f>_xlfn.IFNA(VLOOKUP(A209,'Prior Year data'!$A$1:$T$317,12,FALSE),0)</f>
        <v>544269.94192698936</v>
      </c>
      <c r="E209">
        <f>VLOOKUP(A209,'Basic HH'!$B$1:$Y$321,23,FALSE)</f>
        <v>270971.98987648007</v>
      </c>
      <c r="F209">
        <f>VLOOKUP(A209,'Conc. HH'!$B$1:$Y$321,23,FALSE)</f>
        <v>0</v>
      </c>
      <c r="G209">
        <f>VLOOKUP(A209,'Targeted HH'!$B$1:$Y$321,23,FALSE)</f>
        <v>129667.50558268839</v>
      </c>
      <c r="H209">
        <f>VLOOKUP(A209,'EFIG HH'!$B$1:$Y$321,23,FALSE)</f>
        <v>178783.80300950786</v>
      </c>
      <c r="I209">
        <f t="shared" si="90"/>
        <v>579423.29846867628</v>
      </c>
      <c r="J209">
        <f t="shared" si="91"/>
        <v>544269.94192698936</v>
      </c>
      <c r="K209" s="44">
        <f t="shared" si="92"/>
        <v>539100.28779085155</v>
      </c>
      <c r="L209">
        <f t="shared" si="93"/>
        <v>5169.654136137804</v>
      </c>
      <c r="M209">
        <f t="shared" si="94"/>
        <v>0</v>
      </c>
      <c r="N209">
        <f t="shared" si="95"/>
        <v>544269.94192698936</v>
      </c>
      <c r="O209">
        <f t="shared" ref="O209:O272" si="104">IF(L209=0,IF(N209&lt;J209,MIN(I209,J209)-N209,0),0)</f>
        <v>0</v>
      </c>
      <c r="P209">
        <f t="shared" ref="P209:P272" si="105">IF(O209+L209=0,N209,0)</f>
        <v>0</v>
      </c>
      <c r="Q209">
        <f t="shared" ref="Q209:Q272" si="106">IF(J209&gt;0,N209,IF(O209&gt;0,O209+N209,P209-(P209/$P$3*$O$3)))</f>
        <v>544269.94192698936</v>
      </c>
      <c r="R209">
        <f t="shared" ref="R209:R272" si="107">IF(O209=0, IF(Q209&lt;J209,MIN(I209,J209)-Q209,0),0)</f>
        <v>0</v>
      </c>
      <c r="S209">
        <f t="shared" ref="S209:S272" si="108">IF(L209+O209+R209=0,N209,0)</f>
        <v>0</v>
      </c>
      <c r="T209">
        <f t="shared" ref="T209:T272" si="109">IF(J209&gt;0,Q209,IF(R209&gt;0,Q209+N209,S209-(S209/$S$3*$R$3)))</f>
        <v>544269.94192698936</v>
      </c>
      <c r="U209">
        <f t="shared" ref="U209:U272" si="110">IF(R209=0,IF(T209&lt;J209,MIN(I209,J209)-T209,0),0)</f>
        <v>0</v>
      </c>
      <c r="V209">
        <f t="shared" ref="V209:V272" si="111">IF(U209+R209+O209+L209=0,T209,0)</f>
        <v>0</v>
      </c>
      <c r="W209">
        <f t="shared" ref="W209:W272" si="112">IF(J209&gt;0,T209,IF(T209&gt;0,U209+T209,U209-(U209/$U$3*$T$3)))</f>
        <v>544269.94192698936</v>
      </c>
      <c r="X209" s="44">
        <f t="shared" si="96"/>
        <v>35153.356541686924</v>
      </c>
      <c r="Y209" s="28">
        <f t="shared" si="97"/>
        <v>4197.3373908389131</v>
      </c>
      <c r="Z209" s="28">
        <f t="shared" si="98"/>
        <v>540072.60453615047</v>
      </c>
      <c r="AA209">
        <f t="shared" si="99"/>
        <v>0</v>
      </c>
      <c r="AB209" s="28">
        <f t="shared" si="100"/>
        <v>540072.60453615047</v>
      </c>
      <c r="AD209" s="28">
        <f t="shared" si="101"/>
        <v>0</v>
      </c>
      <c r="AE209" s="28">
        <f t="shared" si="102"/>
        <v>540072.60453615047</v>
      </c>
      <c r="AF209" s="51"/>
      <c r="AG209" t="str">
        <f t="shared" si="103"/>
        <v>5306930</v>
      </c>
    </row>
    <row r="210" spans="1:33" x14ac:dyDescent="0.25">
      <c r="A210" s="7" t="s">
        <v>74</v>
      </c>
      <c r="B210" s="2" t="s">
        <v>1062</v>
      </c>
      <c r="C210" s="4" t="s">
        <v>20</v>
      </c>
      <c r="D210">
        <f>_xlfn.IFNA(VLOOKUP(A210,'Prior Year data'!$A$1:$T$317,12,FALSE),0)</f>
        <v>28302.765037655914</v>
      </c>
      <c r="E210">
        <f>VLOOKUP(A210,'Basic HH'!$B$1:$Y$321,23,FALSE)</f>
        <v>15451.703671182437</v>
      </c>
      <c r="F210">
        <f>VLOOKUP(A210,'Conc. HH'!$B$1:$Y$321,23,FALSE)</f>
        <v>0</v>
      </c>
      <c r="G210">
        <f>VLOOKUP(A210,'Targeted HH'!$B$1:$Y$321,23,FALSE)</f>
        <v>7394.0626592379858</v>
      </c>
      <c r="H210">
        <f>VLOOKUP(A210,'EFIG HH'!$B$1:$Y$321,23,FALSE)</f>
        <v>10194.833593572655</v>
      </c>
      <c r="I210">
        <f t="shared" si="90"/>
        <v>33040.599923993075</v>
      </c>
      <c r="J210">
        <f t="shared" si="91"/>
        <v>28302.765037655914</v>
      </c>
      <c r="K210" s="44">
        <f t="shared" si="92"/>
        <v>30741.250783118077</v>
      </c>
      <c r="L210">
        <f t="shared" si="93"/>
        <v>0</v>
      </c>
      <c r="M210">
        <f t="shared" si="94"/>
        <v>30741.250783118077</v>
      </c>
      <c r="N210">
        <f t="shared" si="95"/>
        <v>29192.293857277804</v>
      </c>
      <c r="O210">
        <f t="shared" si="104"/>
        <v>0</v>
      </c>
      <c r="P210">
        <f t="shared" si="105"/>
        <v>29192.293857277804</v>
      </c>
      <c r="Q210">
        <f t="shared" si="106"/>
        <v>29192.293857277804</v>
      </c>
      <c r="R210">
        <f t="shared" si="107"/>
        <v>0</v>
      </c>
      <c r="S210">
        <f t="shared" si="108"/>
        <v>29192.293857277804</v>
      </c>
      <c r="T210">
        <f t="shared" si="109"/>
        <v>29192.293857277804</v>
      </c>
      <c r="U210">
        <f t="shared" si="110"/>
        <v>0</v>
      </c>
      <c r="V210">
        <f t="shared" si="111"/>
        <v>29192.293857277804</v>
      </c>
      <c r="W210">
        <f t="shared" si="112"/>
        <v>29192.293857277804</v>
      </c>
      <c r="X210" s="44">
        <f t="shared" si="96"/>
        <v>3848.3060667152713</v>
      </c>
      <c r="Y210" s="28">
        <f t="shared" si="97"/>
        <v>225.12708693353846</v>
      </c>
      <c r="Z210" s="28">
        <f t="shared" si="98"/>
        <v>28967.166770344265</v>
      </c>
      <c r="AA210">
        <f t="shared" si="99"/>
        <v>0</v>
      </c>
      <c r="AB210" s="28">
        <f t="shared" si="100"/>
        <v>28967.166770344265</v>
      </c>
      <c r="AD210" s="28">
        <f t="shared" si="101"/>
        <v>0</v>
      </c>
      <c r="AE210" s="28">
        <f t="shared" si="102"/>
        <v>28967.166770344265</v>
      </c>
      <c r="AF210" s="51"/>
      <c r="AG210" t="str">
        <f t="shared" si="103"/>
        <v>5306940</v>
      </c>
    </row>
    <row r="211" spans="1:33" x14ac:dyDescent="0.25">
      <c r="A211" s="7" t="s">
        <v>199</v>
      </c>
      <c r="B211" s="2" t="s">
        <v>1064</v>
      </c>
      <c r="C211" s="4" t="s">
        <v>1063</v>
      </c>
      <c r="D211">
        <f>_xlfn.IFNA(VLOOKUP(A211,'Prior Year data'!$A$1:$T$317,12,FALSE),0)</f>
        <v>3409638.7995049697</v>
      </c>
      <c r="E211">
        <f>VLOOKUP(A211,'Basic HH'!$B$1:$Y$321,23,FALSE)</f>
        <v>1590382.6107196056</v>
      </c>
      <c r="F211">
        <f>VLOOKUP(A211,'Conc. HH'!$B$1:$Y$321,23,FALSE)</f>
        <v>0</v>
      </c>
      <c r="G211">
        <f>VLOOKUP(A211,'Targeted HH'!$B$1:$Y$321,23,FALSE)</f>
        <v>999355.81889308628</v>
      </c>
      <c r="H211">
        <f>VLOOKUP(A211,'EFIG HH'!$B$1:$Y$321,23,FALSE)</f>
        <v>1377898.2873041432</v>
      </c>
      <c r="I211">
        <f t="shared" si="90"/>
        <v>3967636.7169168349</v>
      </c>
      <c r="J211">
        <f t="shared" si="91"/>
        <v>3409638.7995049697</v>
      </c>
      <c r="K211" s="44">
        <f t="shared" si="92"/>
        <v>3691522.418225727</v>
      </c>
      <c r="L211">
        <f t="shared" si="93"/>
        <v>0</v>
      </c>
      <c r="M211">
        <f t="shared" si="94"/>
        <v>3691522.418225727</v>
      </c>
      <c r="N211">
        <f t="shared" si="95"/>
        <v>3505517.9756301288</v>
      </c>
      <c r="O211">
        <f t="shared" si="104"/>
        <v>0</v>
      </c>
      <c r="P211">
        <f t="shared" si="105"/>
        <v>3505517.9756301288</v>
      </c>
      <c r="Q211">
        <f t="shared" si="106"/>
        <v>3505517.9756301288</v>
      </c>
      <c r="R211">
        <f t="shared" si="107"/>
        <v>0</v>
      </c>
      <c r="S211">
        <f t="shared" si="108"/>
        <v>3505517.9756301288</v>
      </c>
      <c r="T211">
        <f t="shared" si="109"/>
        <v>3505517.9756301288</v>
      </c>
      <c r="U211">
        <f t="shared" si="110"/>
        <v>0</v>
      </c>
      <c r="V211">
        <f t="shared" si="111"/>
        <v>3505517.9756301288</v>
      </c>
      <c r="W211">
        <f t="shared" si="112"/>
        <v>3505517.9756301288</v>
      </c>
      <c r="X211" s="44">
        <f t="shared" si="96"/>
        <v>462118.74128670618</v>
      </c>
      <c r="Y211" s="28">
        <f t="shared" si="97"/>
        <v>27034.088307864062</v>
      </c>
      <c r="Z211" s="28">
        <f t="shared" si="98"/>
        <v>3478483.8873222647</v>
      </c>
      <c r="AA211">
        <f t="shared" si="99"/>
        <v>0</v>
      </c>
      <c r="AB211" s="28">
        <f t="shared" si="100"/>
        <v>3478483.8873222647</v>
      </c>
      <c r="AD211" s="28">
        <f t="shared" si="101"/>
        <v>0</v>
      </c>
      <c r="AE211" s="28">
        <f t="shared" si="102"/>
        <v>3478483.8873222647</v>
      </c>
      <c r="AF211" s="51"/>
      <c r="AG211" t="str">
        <f t="shared" si="103"/>
        <v>5306960</v>
      </c>
    </row>
    <row r="212" spans="1:33" x14ac:dyDescent="0.25">
      <c r="A212" s="7" t="s">
        <v>555</v>
      </c>
      <c r="B212" s="2" t="s">
        <v>1066</v>
      </c>
      <c r="C212" s="4" t="s">
        <v>1065</v>
      </c>
      <c r="D212">
        <f>_xlfn.IFNA(VLOOKUP(A212,'Prior Year data'!$A$1:$T$317,12,FALSE),0)</f>
        <v>2452.4180504498827</v>
      </c>
      <c r="E212">
        <f>VLOOKUP(A212,'Basic HH'!$B$1:$Y$321,23,FALSE)</f>
        <v>9461.4433304032791</v>
      </c>
      <c r="F212">
        <f>VLOOKUP(A212,'Conc. HH'!$B$1:$Y$321,23,FALSE)</f>
        <v>2620.9095432834765</v>
      </c>
      <c r="G212">
        <f>VLOOKUP(A212,'Targeted HH'!$B$1:$Y$321,23,FALSE)</f>
        <v>8012.1335957878146</v>
      </c>
      <c r="H212">
        <f>VLOOKUP(A212,'EFIG HH'!$B$1:$Y$321,23,FALSE)</f>
        <v>11047.021441788491</v>
      </c>
      <c r="I212">
        <f t="shared" si="90"/>
        <v>31141.507911263063</v>
      </c>
      <c r="J212">
        <f t="shared" si="91"/>
        <v>2452.4180504498827</v>
      </c>
      <c r="K212" s="44">
        <f t="shared" si="92"/>
        <v>28974.319675394585</v>
      </c>
      <c r="L212">
        <f t="shared" si="93"/>
        <v>0</v>
      </c>
      <c r="M212">
        <f t="shared" si="94"/>
        <v>28974.319675394585</v>
      </c>
      <c r="N212">
        <f t="shared" si="95"/>
        <v>27514.392964886145</v>
      </c>
      <c r="O212">
        <f t="shared" si="104"/>
        <v>0</v>
      </c>
      <c r="P212">
        <f t="shared" si="105"/>
        <v>27514.392964886145</v>
      </c>
      <c r="Q212">
        <f t="shared" si="106"/>
        <v>27514.392964886145</v>
      </c>
      <c r="R212">
        <f t="shared" si="107"/>
        <v>0</v>
      </c>
      <c r="S212">
        <f t="shared" si="108"/>
        <v>27514.392964886145</v>
      </c>
      <c r="T212">
        <f t="shared" si="109"/>
        <v>27514.392964886145</v>
      </c>
      <c r="U212">
        <f t="shared" si="110"/>
        <v>0</v>
      </c>
      <c r="V212">
        <f t="shared" si="111"/>
        <v>27514.392964886145</v>
      </c>
      <c r="W212">
        <f t="shared" si="112"/>
        <v>27514.392964886145</v>
      </c>
      <c r="X212" s="44">
        <f t="shared" si="96"/>
        <v>3627.1149463769179</v>
      </c>
      <c r="Y212" s="28">
        <f t="shared" si="97"/>
        <v>212.18733845354205</v>
      </c>
      <c r="Z212" s="28">
        <f t="shared" si="98"/>
        <v>27302.205626432602</v>
      </c>
      <c r="AA212">
        <f t="shared" si="99"/>
        <v>0</v>
      </c>
      <c r="AB212" s="28">
        <f t="shared" si="100"/>
        <v>27302.205626432602</v>
      </c>
      <c r="AC212" s="29"/>
      <c r="AD212" s="28">
        <f t="shared" si="101"/>
        <v>0</v>
      </c>
      <c r="AE212" s="28">
        <f t="shared" si="102"/>
        <v>27302.205626432602</v>
      </c>
      <c r="AF212" s="51"/>
      <c r="AG212" t="str">
        <f t="shared" si="103"/>
        <v>5301380</v>
      </c>
    </row>
    <row r="213" spans="1:33" x14ac:dyDescent="0.25">
      <c r="A213" s="7" t="s">
        <v>557</v>
      </c>
      <c r="B213" s="2" t="s">
        <v>1068</v>
      </c>
      <c r="C213" s="4" t="s">
        <v>1067</v>
      </c>
      <c r="D213">
        <f>_xlfn.IFNA(VLOOKUP(A213,'Prior Year data'!$A$1:$T$317,12,FALSE),0)</f>
        <v>54787.733351749899</v>
      </c>
      <c r="E213">
        <f>VLOOKUP(A213,'Basic HH'!$B$1:$Y$321,23,FALSE)</f>
        <v>24943.805143790454</v>
      </c>
      <c r="F213">
        <f>VLOOKUP(A213,'Conc. HH'!$B$1:$Y$321,23,FALSE)</f>
        <v>5091.6915210047209</v>
      </c>
      <c r="G213">
        <f>VLOOKUP(A213,'Targeted HH'!$B$1:$Y$321,23,FALSE)</f>
        <v>11936.292729777388</v>
      </c>
      <c r="H213">
        <f>VLOOKUP(A213,'EFIG HH'!$B$1:$Y$321,23,FALSE)</f>
        <v>16457.598983451462</v>
      </c>
      <c r="I213">
        <f t="shared" si="90"/>
        <v>58429.388378024021</v>
      </c>
      <c r="J213">
        <f t="shared" si="91"/>
        <v>54787.733351749899</v>
      </c>
      <c r="K213" s="44">
        <f t="shared" si="92"/>
        <v>54363.192114096601</v>
      </c>
      <c r="L213">
        <f t="shared" si="93"/>
        <v>424.54123765329859</v>
      </c>
      <c r="M213">
        <f t="shared" si="94"/>
        <v>0</v>
      </c>
      <c r="N213">
        <f t="shared" si="95"/>
        <v>54787.733351749899</v>
      </c>
      <c r="O213">
        <f t="shared" si="104"/>
        <v>0</v>
      </c>
      <c r="P213">
        <f t="shared" si="105"/>
        <v>0</v>
      </c>
      <c r="Q213">
        <f t="shared" si="106"/>
        <v>54787.733351749899</v>
      </c>
      <c r="R213">
        <f t="shared" si="107"/>
        <v>0</v>
      </c>
      <c r="S213">
        <f t="shared" si="108"/>
        <v>0</v>
      </c>
      <c r="T213">
        <f t="shared" si="109"/>
        <v>54787.733351749899</v>
      </c>
      <c r="U213">
        <f t="shared" si="110"/>
        <v>0</v>
      </c>
      <c r="V213">
        <f t="shared" si="111"/>
        <v>0</v>
      </c>
      <c r="W213">
        <f t="shared" si="112"/>
        <v>54787.733351749899</v>
      </c>
      <c r="X213" s="44">
        <f t="shared" si="96"/>
        <v>3641.6550262741221</v>
      </c>
      <c r="Y213" s="28">
        <f t="shared" si="97"/>
        <v>422.51571149130297</v>
      </c>
      <c r="Z213" s="28">
        <f t="shared" si="98"/>
        <v>54365.217640258597</v>
      </c>
      <c r="AA213">
        <f t="shared" si="99"/>
        <v>0</v>
      </c>
      <c r="AB213" s="28">
        <f t="shared" si="100"/>
        <v>54365.217640258597</v>
      </c>
      <c r="AD213" s="28">
        <f t="shared" si="101"/>
        <v>0</v>
      </c>
      <c r="AE213" s="28">
        <f t="shared" si="102"/>
        <v>54365.217640258597</v>
      </c>
      <c r="AF213" s="51"/>
      <c r="AG213" t="str">
        <f t="shared" si="103"/>
        <v>5306990</v>
      </c>
    </row>
    <row r="214" spans="1:33" x14ac:dyDescent="0.25">
      <c r="A214" s="7" t="s">
        <v>559</v>
      </c>
      <c r="B214" s="2" t="s">
        <v>1070</v>
      </c>
      <c r="C214" s="4" t="s">
        <v>1069</v>
      </c>
      <c r="D214">
        <f>_xlfn.IFNA(VLOOKUP(A214,'Prior Year data'!$A$1:$T$317,12,FALSE),0)</f>
        <v>748307.21966737905</v>
      </c>
      <c r="E214">
        <f>VLOOKUP(A214,'Basic HH'!$B$1:$Y$321,23,FALSE)</f>
        <v>246621.62681949825</v>
      </c>
      <c r="F214">
        <f>VLOOKUP(A214,'Conc. HH'!$B$1:$Y$321,23,FALSE)</f>
        <v>64123.600207089214</v>
      </c>
      <c r="G214">
        <f>VLOOKUP(A214,'Targeted HH'!$B$1:$Y$321,23,FALSE)</f>
        <v>159884.36766561729</v>
      </c>
      <c r="H214">
        <f>VLOOKUP(A214,'EFIG HH'!$B$1:$Y$321,23,FALSE)</f>
        <v>216538.89026043261</v>
      </c>
      <c r="I214">
        <f t="shared" si="90"/>
        <v>687168.48495263734</v>
      </c>
      <c r="J214">
        <f t="shared" si="91"/>
        <v>748307.21966737905</v>
      </c>
      <c r="K214" s="44">
        <f t="shared" si="92"/>
        <v>639347.31133148761</v>
      </c>
      <c r="L214">
        <f t="shared" si="93"/>
        <v>47821.173621149734</v>
      </c>
      <c r="M214">
        <f t="shared" si="94"/>
        <v>0</v>
      </c>
      <c r="N214">
        <f t="shared" si="95"/>
        <v>687168.48495263734</v>
      </c>
      <c r="O214">
        <f t="shared" si="104"/>
        <v>0</v>
      </c>
      <c r="P214">
        <f t="shared" si="105"/>
        <v>0</v>
      </c>
      <c r="Q214">
        <f t="shared" si="106"/>
        <v>687168.48495263734</v>
      </c>
      <c r="R214">
        <f t="shared" si="107"/>
        <v>0</v>
      </c>
      <c r="S214">
        <f t="shared" si="108"/>
        <v>0</v>
      </c>
      <c r="T214">
        <f t="shared" si="109"/>
        <v>687168.48495263734</v>
      </c>
      <c r="U214">
        <f t="shared" si="110"/>
        <v>0</v>
      </c>
      <c r="V214">
        <f t="shared" si="111"/>
        <v>0</v>
      </c>
      <c r="W214">
        <f t="shared" si="112"/>
        <v>687168.48495263734</v>
      </c>
      <c r="X214" s="44">
        <f t="shared" si="96"/>
        <v>0</v>
      </c>
      <c r="Y214" s="28">
        <f t="shared" si="97"/>
        <v>5299.3519456283721</v>
      </c>
      <c r="Z214" s="28">
        <f t="shared" si="98"/>
        <v>681869.13300700893</v>
      </c>
      <c r="AA214">
        <f t="shared" si="99"/>
        <v>0</v>
      </c>
      <c r="AB214" s="28">
        <f t="shared" si="100"/>
        <v>681869.13300700893</v>
      </c>
      <c r="AD214" s="28">
        <f t="shared" si="101"/>
        <v>0</v>
      </c>
      <c r="AE214" s="28">
        <f t="shared" si="102"/>
        <v>681869.13300700893</v>
      </c>
      <c r="AF214" s="51"/>
      <c r="AG214" t="str">
        <f t="shared" si="103"/>
        <v>5307020</v>
      </c>
    </row>
    <row r="215" spans="1:33" x14ac:dyDescent="0.25">
      <c r="A215" s="7" t="s">
        <v>449</v>
      </c>
      <c r="B215" s="2" t="s">
        <v>1072</v>
      </c>
      <c r="C215" s="4" t="s">
        <v>1071</v>
      </c>
      <c r="D215">
        <f>_xlfn.IFNA(VLOOKUP(A215,'Prior Year data'!$A$1:$T$317,12,FALSE),0)</f>
        <v>80457.084352807651</v>
      </c>
      <c r="E215">
        <f>VLOOKUP(A215,'Basic HH'!$B$1:$Y$321,23,FALSE)</f>
        <v>34405.248474193737</v>
      </c>
      <c r="F215">
        <f>VLOOKUP(A215,'Conc. HH'!$B$1:$Y$321,23,FALSE)</f>
        <v>9044.3679601040167</v>
      </c>
      <c r="G215">
        <f>VLOOKUP(A215,'Targeted HH'!$B$1:$Y$321,23,FALSE)</f>
        <v>20915.080818341696</v>
      </c>
      <c r="H215">
        <f>VLOOKUP(A215,'EFIG HH'!$B$1:$Y$321,23,FALSE)</f>
        <v>28837.430566363571</v>
      </c>
      <c r="I215">
        <f t="shared" si="90"/>
        <v>93202.127819003028</v>
      </c>
      <c r="J215">
        <f t="shared" si="91"/>
        <v>80457.084352807651</v>
      </c>
      <c r="K215" s="44">
        <f t="shared" si="92"/>
        <v>86716.040005182032</v>
      </c>
      <c r="L215">
        <f t="shared" si="93"/>
        <v>0</v>
      </c>
      <c r="M215">
        <f t="shared" si="94"/>
        <v>86716.040005182032</v>
      </c>
      <c r="N215">
        <f t="shared" si="95"/>
        <v>82346.685885692787</v>
      </c>
      <c r="O215">
        <f t="shared" si="104"/>
        <v>0</v>
      </c>
      <c r="P215">
        <f t="shared" si="105"/>
        <v>82346.685885692787</v>
      </c>
      <c r="Q215">
        <f t="shared" si="106"/>
        <v>82346.685885692787</v>
      </c>
      <c r="R215">
        <f t="shared" si="107"/>
        <v>0</v>
      </c>
      <c r="S215">
        <f t="shared" si="108"/>
        <v>82346.685885692787</v>
      </c>
      <c r="T215">
        <f t="shared" si="109"/>
        <v>82346.685885692787</v>
      </c>
      <c r="U215">
        <f t="shared" si="110"/>
        <v>0</v>
      </c>
      <c r="V215">
        <f t="shared" si="111"/>
        <v>82346.685885692787</v>
      </c>
      <c r="W215">
        <f t="shared" si="112"/>
        <v>82346.685885692787</v>
      </c>
      <c r="X215" s="44">
        <f t="shared" si="96"/>
        <v>10855.441933310241</v>
      </c>
      <c r="Y215" s="28">
        <f t="shared" si="97"/>
        <v>635.04668741389082</v>
      </c>
      <c r="Z215" s="28">
        <f t="shared" si="98"/>
        <v>81711.639198278892</v>
      </c>
      <c r="AA215">
        <f t="shared" si="99"/>
        <v>0</v>
      </c>
      <c r="AB215" s="28">
        <f t="shared" si="100"/>
        <v>81711.639198278892</v>
      </c>
      <c r="AD215" s="28">
        <f t="shared" si="101"/>
        <v>0</v>
      </c>
      <c r="AE215" s="28">
        <f t="shared" si="102"/>
        <v>81711.639198278892</v>
      </c>
      <c r="AF215" s="51"/>
      <c r="AG215" t="str">
        <f t="shared" si="103"/>
        <v>5307050</v>
      </c>
    </row>
    <row r="216" spans="1:33" x14ac:dyDescent="0.25">
      <c r="A216" s="7" t="s">
        <v>561</v>
      </c>
      <c r="B216" s="2" t="s">
        <v>1074</v>
      </c>
      <c r="C216" s="4" t="s">
        <v>1073</v>
      </c>
      <c r="D216">
        <f>_xlfn.IFNA(VLOOKUP(A216,'Prior Year data'!$A$1:$T$317,12,FALSE),0)</f>
        <v>1065928.7722016177</v>
      </c>
      <c r="E216">
        <f>VLOOKUP(A216,'Basic HH'!$B$1:$Y$321,23,FALSE)</f>
        <v>410282.58805476036</v>
      </c>
      <c r="F216">
        <f>VLOOKUP(A216,'Conc. HH'!$B$1:$Y$321,23,FALSE)</f>
        <v>107854.08792424038</v>
      </c>
      <c r="G216">
        <f>VLOOKUP(A216,'Targeted HH'!$B$1:$Y$321,23,FALSE)</f>
        <v>198659.74342193003</v>
      </c>
      <c r="H216">
        <f>VLOOKUP(A216,'EFIG HH'!$B$1:$Y$321,23,FALSE)</f>
        <v>270699.12810711551</v>
      </c>
      <c r="I216">
        <f t="shared" si="90"/>
        <v>987495.54750804626</v>
      </c>
      <c r="J216">
        <f t="shared" si="91"/>
        <v>1065928.7722016177</v>
      </c>
      <c r="K216" s="44">
        <f t="shared" si="92"/>
        <v>918774.12465241365</v>
      </c>
      <c r="L216">
        <f t="shared" si="93"/>
        <v>68721.422855632612</v>
      </c>
      <c r="M216">
        <f t="shared" si="94"/>
        <v>0</v>
      </c>
      <c r="N216">
        <f t="shared" si="95"/>
        <v>987495.54750804626</v>
      </c>
      <c r="O216">
        <f t="shared" si="104"/>
        <v>0</v>
      </c>
      <c r="P216">
        <f t="shared" si="105"/>
        <v>0</v>
      </c>
      <c r="Q216">
        <f t="shared" si="106"/>
        <v>987495.54750804626</v>
      </c>
      <c r="R216">
        <f t="shared" si="107"/>
        <v>0</v>
      </c>
      <c r="S216">
        <f t="shared" si="108"/>
        <v>0</v>
      </c>
      <c r="T216">
        <f t="shared" si="109"/>
        <v>987495.54750804626</v>
      </c>
      <c r="U216">
        <f t="shared" si="110"/>
        <v>0</v>
      </c>
      <c r="V216">
        <f t="shared" si="111"/>
        <v>0</v>
      </c>
      <c r="W216">
        <f t="shared" si="112"/>
        <v>987495.54750804626</v>
      </c>
      <c r="X216" s="44">
        <f t="shared" si="96"/>
        <v>0</v>
      </c>
      <c r="Y216" s="28">
        <f t="shared" si="97"/>
        <v>7615.4343011624096</v>
      </c>
      <c r="Z216" s="28">
        <f t="shared" si="98"/>
        <v>979880.11320688389</v>
      </c>
      <c r="AA216">
        <f t="shared" si="99"/>
        <v>0</v>
      </c>
      <c r="AB216" s="28">
        <f t="shared" si="100"/>
        <v>979880.11320688389</v>
      </c>
      <c r="AD216" s="28">
        <f t="shared" si="101"/>
        <v>0</v>
      </c>
      <c r="AE216" s="28">
        <f t="shared" si="102"/>
        <v>979880.11320688389</v>
      </c>
      <c r="AF216" s="51"/>
      <c r="AG216" t="str">
        <f t="shared" si="103"/>
        <v>5307080</v>
      </c>
    </row>
    <row r="217" spans="1:33" x14ac:dyDescent="0.25">
      <c r="A217" s="7" t="s">
        <v>201</v>
      </c>
      <c r="B217" s="2" t="s">
        <v>1076</v>
      </c>
      <c r="C217" s="4" t="s">
        <v>1075</v>
      </c>
      <c r="D217">
        <f>_xlfn.IFNA(VLOOKUP(A217,'Prior Year data'!$A$1:$T$317,12,FALSE),0)</f>
        <v>277859.15645268792</v>
      </c>
      <c r="E217">
        <f>VLOOKUP(A217,'Basic HH'!$B$1:$Y$321,23,FALSE)</f>
        <v>110563.58819135977</v>
      </c>
      <c r="F217">
        <f>VLOOKUP(A217,'Conc. HH'!$B$1:$Y$321,23,FALSE)</f>
        <v>28957.215636042005</v>
      </c>
      <c r="G217">
        <f>VLOOKUP(A217,'Targeted HH'!$B$1:$Y$321,23,FALSE)</f>
        <v>53744.340997568514</v>
      </c>
      <c r="H217">
        <f>VLOOKUP(A217,'EFIG HH'!$B$1:$Y$321,23,FALSE)</f>
        <v>74109.880984559015</v>
      </c>
      <c r="I217">
        <f t="shared" si="90"/>
        <v>267375.0258095293</v>
      </c>
      <c r="J217">
        <f t="shared" si="91"/>
        <v>277859.15645268792</v>
      </c>
      <c r="K217" s="44">
        <f t="shared" si="92"/>
        <v>248767.96246017009</v>
      </c>
      <c r="L217">
        <f t="shared" si="93"/>
        <v>18607.063349359203</v>
      </c>
      <c r="M217">
        <f t="shared" si="94"/>
        <v>0</v>
      </c>
      <c r="N217">
        <f t="shared" si="95"/>
        <v>267375.0258095293</v>
      </c>
      <c r="O217">
        <f t="shared" si="104"/>
        <v>0</v>
      </c>
      <c r="P217">
        <f t="shared" si="105"/>
        <v>0</v>
      </c>
      <c r="Q217">
        <f t="shared" si="106"/>
        <v>267375.0258095293</v>
      </c>
      <c r="R217">
        <f t="shared" si="107"/>
        <v>0</v>
      </c>
      <c r="S217">
        <f t="shared" si="108"/>
        <v>0</v>
      </c>
      <c r="T217">
        <f t="shared" si="109"/>
        <v>267375.0258095293</v>
      </c>
      <c r="U217">
        <f t="shared" si="110"/>
        <v>0</v>
      </c>
      <c r="V217">
        <f t="shared" si="111"/>
        <v>0</v>
      </c>
      <c r="W217">
        <f t="shared" si="112"/>
        <v>267375.0258095293</v>
      </c>
      <c r="X217" s="44">
        <f t="shared" si="96"/>
        <v>0</v>
      </c>
      <c r="Y217" s="28">
        <f t="shared" si="97"/>
        <v>2061.9606315819697</v>
      </c>
      <c r="Z217" s="28">
        <f t="shared" si="98"/>
        <v>265313.06517794734</v>
      </c>
      <c r="AA217">
        <f t="shared" si="99"/>
        <v>0</v>
      </c>
      <c r="AB217" s="28">
        <f t="shared" si="100"/>
        <v>265313.06517794734</v>
      </c>
      <c r="AD217" s="28">
        <f t="shared" si="101"/>
        <v>0</v>
      </c>
      <c r="AE217" s="28">
        <f t="shared" si="102"/>
        <v>265313.06517794734</v>
      </c>
      <c r="AF217" s="51"/>
      <c r="AG217" t="str">
        <f t="shared" si="103"/>
        <v>5307110</v>
      </c>
    </row>
    <row r="218" spans="1:33" x14ac:dyDescent="0.25">
      <c r="A218" s="7" t="s">
        <v>72</v>
      </c>
      <c r="B218" s="2" t="s">
        <v>1077</v>
      </c>
      <c r="C218" s="4" t="s">
        <v>15</v>
      </c>
      <c r="D218">
        <f>_xlfn.IFNA(VLOOKUP(A218,'Prior Year data'!$A$1:$T$317,12,FALSE),0)</f>
        <v>133059.35970854573</v>
      </c>
      <c r="E218">
        <f>VLOOKUP(A218,'Basic HH'!$B$1:$Y$321,23,FALSE)</f>
        <v>49261.743712965879</v>
      </c>
      <c r="F218">
        <f>VLOOKUP(A218,'Conc. HH'!$B$1:$Y$321,23,FALSE)</f>
        <v>12949.807260673912</v>
      </c>
      <c r="G218">
        <f>VLOOKUP(A218,'Targeted HH'!$B$1:$Y$321,23,FALSE)</f>
        <v>35994.093584379298</v>
      </c>
      <c r="H218">
        <f>VLOOKUP(A218,'EFIG HH'!$B$1:$Y$321,23,FALSE)</f>
        <v>49628.169432100185</v>
      </c>
      <c r="I218">
        <f t="shared" si="90"/>
        <v>147833.81399011926</v>
      </c>
      <c r="J218">
        <f t="shared" si="91"/>
        <v>133059.35970854573</v>
      </c>
      <c r="K218" s="44">
        <f t="shared" si="92"/>
        <v>137545.8181918464</v>
      </c>
      <c r="L218">
        <f t="shared" si="93"/>
        <v>0</v>
      </c>
      <c r="M218">
        <f t="shared" si="94"/>
        <v>137545.8181918464</v>
      </c>
      <c r="N218">
        <f t="shared" si="95"/>
        <v>130615.30813512392</v>
      </c>
      <c r="O218">
        <f t="shared" si="104"/>
        <v>2444.0515734218061</v>
      </c>
      <c r="P218">
        <f t="shared" si="105"/>
        <v>0</v>
      </c>
      <c r="Q218">
        <f t="shared" si="106"/>
        <v>130615.30813512392</v>
      </c>
      <c r="R218">
        <f t="shared" si="107"/>
        <v>0</v>
      </c>
      <c r="S218">
        <f t="shared" si="108"/>
        <v>0</v>
      </c>
      <c r="T218">
        <f t="shared" si="109"/>
        <v>130615.30813512392</v>
      </c>
      <c r="U218">
        <f t="shared" si="110"/>
        <v>2444.0515734218061</v>
      </c>
      <c r="V218">
        <f t="shared" si="111"/>
        <v>0</v>
      </c>
      <c r="W218">
        <f t="shared" si="112"/>
        <v>130615.30813512392</v>
      </c>
      <c r="X218" s="44">
        <f t="shared" si="96"/>
        <v>17218.505854995339</v>
      </c>
      <c r="Y218" s="28">
        <f t="shared" si="97"/>
        <v>1007.2878812863866</v>
      </c>
      <c r="Z218" s="28">
        <f t="shared" si="98"/>
        <v>129608.02025383753</v>
      </c>
      <c r="AA218">
        <f t="shared" si="99"/>
        <v>0</v>
      </c>
      <c r="AB218" s="28">
        <f t="shared" si="100"/>
        <v>129608.02025383753</v>
      </c>
      <c r="AD218" s="28">
        <f t="shared" si="101"/>
        <v>0</v>
      </c>
      <c r="AE218" s="28">
        <f t="shared" si="102"/>
        <v>129608.02025383753</v>
      </c>
      <c r="AF218" s="51"/>
      <c r="AG218" t="str">
        <f t="shared" si="103"/>
        <v>5307120</v>
      </c>
    </row>
    <row r="219" spans="1:33" x14ac:dyDescent="0.25">
      <c r="A219" s="7" t="s">
        <v>75</v>
      </c>
      <c r="B219" s="2" t="s">
        <v>1078</v>
      </c>
      <c r="C219" s="4" t="s">
        <v>22</v>
      </c>
      <c r="D219">
        <f>_xlfn.IFNA(VLOOKUP(A219,'Prior Year data'!$A$1:$T$317,12,FALSE),0)</f>
        <v>119475.00413275861</v>
      </c>
      <c r="E219">
        <f>VLOOKUP(A219,'Basic HH'!$B$1:$Y$321,23,FALSE)</f>
        <v>65577.169849160637</v>
      </c>
      <c r="F219">
        <f>VLOOKUP(A219,'Conc. HH'!$B$1:$Y$321,23,FALSE)</f>
        <v>16102.926772567327</v>
      </c>
      <c r="G219">
        <f>VLOOKUP(A219,'Targeted HH'!$B$1:$Y$321,23,FALSE)</f>
        <v>55065.660469026705</v>
      </c>
      <c r="H219">
        <f>VLOOKUP(A219,'EFIG HH'!$B$1:$Y$321,23,FALSE)</f>
        <v>75923.787919286333</v>
      </c>
      <c r="I219">
        <f t="shared" si="90"/>
        <v>212669.54501004098</v>
      </c>
      <c r="J219">
        <f t="shared" si="91"/>
        <v>119475.00413275861</v>
      </c>
      <c r="K219" s="44">
        <f t="shared" si="92"/>
        <v>197869.52513346431</v>
      </c>
      <c r="L219">
        <f t="shared" si="93"/>
        <v>0</v>
      </c>
      <c r="M219">
        <f t="shared" si="94"/>
        <v>197869.52513346431</v>
      </c>
      <c r="N219">
        <f t="shared" si="95"/>
        <v>187899.48931642727</v>
      </c>
      <c r="O219">
        <f t="shared" si="104"/>
        <v>0</v>
      </c>
      <c r="P219">
        <f t="shared" si="105"/>
        <v>187899.48931642727</v>
      </c>
      <c r="Q219">
        <f t="shared" si="106"/>
        <v>187899.48931642727</v>
      </c>
      <c r="R219">
        <f t="shared" si="107"/>
        <v>0</v>
      </c>
      <c r="S219">
        <f t="shared" si="108"/>
        <v>187899.48931642727</v>
      </c>
      <c r="T219">
        <f t="shared" si="109"/>
        <v>187899.48931642727</v>
      </c>
      <c r="U219">
        <f t="shared" si="110"/>
        <v>0</v>
      </c>
      <c r="V219">
        <f t="shared" si="111"/>
        <v>187899.48931642727</v>
      </c>
      <c r="W219">
        <f t="shared" si="112"/>
        <v>187899.48931642727</v>
      </c>
      <c r="X219" s="44">
        <f t="shared" si="96"/>
        <v>24770.055693613715</v>
      </c>
      <c r="Y219" s="28">
        <f t="shared" si="97"/>
        <v>1449.0558663501827</v>
      </c>
      <c r="Z219" s="28">
        <f t="shared" si="98"/>
        <v>186450.43345007708</v>
      </c>
      <c r="AA219">
        <f t="shared" si="99"/>
        <v>0</v>
      </c>
      <c r="AB219" s="28">
        <f t="shared" si="100"/>
        <v>186450.43345007708</v>
      </c>
      <c r="AD219" s="28">
        <f t="shared" si="101"/>
        <v>0</v>
      </c>
      <c r="AE219" s="28">
        <f t="shared" si="102"/>
        <v>186450.43345007708</v>
      </c>
      <c r="AF219" s="51"/>
      <c r="AG219" t="str">
        <f t="shared" si="103"/>
        <v>5303280</v>
      </c>
    </row>
    <row r="220" spans="1:33" x14ac:dyDescent="0.25">
      <c r="A220" s="7" t="s">
        <v>563</v>
      </c>
      <c r="B220" s="2" t="s">
        <v>1080</v>
      </c>
      <c r="C220" s="4" t="s">
        <v>1079</v>
      </c>
      <c r="D220">
        <f>_xlfn.IFNA(VLOOKUP(A220,'Prior Year data'!$A$1:$T$317,12,FALSE),0)</f>
        <v>196114.08257233421</v>
      </c>
      <c r="E220">
        <f>VLOOKUP(A220,'Basic HH'!$B$1:$Y$321,23,FALSE)</f>
        <v>97194.826939597304</v>
      </c>
      <c r="F220">
        <f>VLOOKUP(A220,'Conc. HH'!$B$1:$Y$321,23,FALSE)</f>
        <v>25550.339487293844</v>
      </c>
      <c r="G220">
        <f>VLOOKUP(A220,'Targeted HH'!$B$1:$Y$321,23,FALSE)</f>
        <v>51141.396057587066</v>
      </c>
      <c r="H220">
        <f>VLOOKUP(A220,'EFIG HH'!$B$1:$Y$321,23,FALSE)</f>
        <v>70513.065222499048</v>
      </c>
      <c r="I220">
        <f t="shared" si="90"/>
        <v>244399.62770697725</v>
      </c>
      <c r="J220">
        <f t="shared" si="91"/>
        <v>196114.08257233421</v>
      </c>
      <c r="K220" s="44">
        <f t="shared" si="92"/>
        <v>227391.45971696053</v>
      </c>
      <c r="L220">
        <f t="shared" si="93"/>
        <v>0</v>
      </c>
      <c r="M220">
        <f t="shared" si="94"/>
        <v>227391.45971696053</v>
      </c>
      <c r="N220">
        <f t="shared" si="95"/>
        <v>215933.90456117157</v>
      </c>
      <c r="O220">
        <f t="shared" si="104"/>
        <v>0</v>
      </c>
      <c r="P220">
        <f t="shared" si="105"/>
        <v>215933.90456117157</v>
      </c>
      <c r="Q220">
        <f t="shared" si="106"/>
        <v>215933.90456117157</v>
      </c>
      <c r="R220">
        <f t="shared" si="107"/>
        <v>0</v>
      </c>
      <c r="S220">
        <f t="shared" si="108"/>
        <v>215933.90456117157</v>
      </c>
      <c r="T220">
        <f t="shared" si="109"/>
        <v>215933.90456117157</v>
      </c>
      <c r="U220">
        <f t="shared" si="110"/>
        <v>0</v>
      </c>
      <c r="V220">
        <f t="shared" si="111"/>
        <v>215933.90456117157</v>
      </c>
      <c r="W220">
        <f t="shared" si="112"/>
        <v>215933.90456117157</v>
      </c>
      <c r="X220" s="44">
        <f t="shared" si="96"/>
        <v>28465.723145805678</v>
      </c>
      <c r="Y220" s="28">
        <f t="shared" si="97"/>
        <v>1665.2535474502247</v>
      </c>
      <c r="Z220" s="28">
        <f t="shared" si="98"/>
        <v>214268.65101372133</v>
      </c>
      <c r="AA220">
        <f t="shared" si="99"/>
        <v>0</v>
      </c>
      <c r="AB220" s="28">
        <f t="shared" si="100"/>
        <v>214268.65101372133</v>
      </c>
      <c r="AD220" s="28">
        <f t="shared" si="101"/>
        <v>0</v>
      </c>
      <c r="AE220" s="28">
        <f t="shared" si="102"/>
        <v>214268.65101372133</v>
      </c>
      <c r="AF220" s="51"/>
      <c r="AG220" t="str">
        <f t="shared" si="103"/>
        <v>5307140</v>
      </c>
    </row>
    <row r="221" spans="1:33" x14ac:dyDescent="0.25">
      <c r="A221" s="7" t="s">
        <v>565</v>
      </c>
      <c r="B221" s="2" t="s">
        <v>1082</v>
      </c>
      <c r="C221" s="4" t="s">
        <v>1081</v>
      </c>
      <c r="D221">
        <f>_xlfn.IFNA(VLOOKUP(A221,'Prior Year data'!$A$1:$T$317,12,FALSE),0)</f>
        <v>235654.98902208306</v>
      </c>
      <c r="E221">
        <f>VLOOKUP(A221,'Basic HH'!$B$1:$Y$321,23,FALSE)</f>
        <v>108376.53269371027</v>
      </c>
      <c r="F221">
        <f>VLOOKUP(A221,'Conc. HH'!$B$1:$Y$321,23,FALSE)</f>
        <v>22403.442692420776</v>
      </c>
      <c r="G221">
        <f>VLOOKUP(A221,'Targeted HH'!$B$1:$Y$321,23,FALSE)</f>
        <v>51861.133929377611</v>
      </c>
      <c r="H221">
        <f>VLOOKUP(A221,'EFIG HH'!$B$1:$Y$321,23,FALSE)</f>
        <v>71505.430066030516</v>
      </c>
      <c r="I221">
        <f t="shared" si="90"/>
        <v>254146.53938153916</v>
      </c>
      <c r="J221">
        <f t="shared" si="91"/>
        <v>235654.98902208306</v>
      </c>
      <c r="K221" s="44">
        <f t="shared" si="92"/>
        <v>236460.06793950751</v>
      </c>
      <c r="L221">
        <f t="shared" si="93"/>
        <v>0</v>
      </c>
      <c r="M221">
        <f t="shared" si="94"/>
        <v>236460.06793950751</v>
      </c>
      <c r="N221">
        <f t="shared" si="95"/>
        <v>224545.57355202796</v>
      </c>
      <c r="O221">
        <f t="shared" si="104"/>
        <v>11109.415470055101</v>
      </c>
      <c r="P221">
        <f t="shared" si="105"/>
        <v>0</v>
      </c>
      <c r="Q221">
        <f t="shared" si="106"/>
        <v>224545.57355202796</v>
      </c>
      <c r="R221">
        <f t="shared" si="107"/>
        <v>0</v>
      </c>
      <c r="S221">
        <f t="shared" si="108"/>
        <v>0</v>
      </c>
      <c r="T221">
        <f t="shared" si="109"/>
        <v>224545.57355202796</v>
      </c>
      <c r="U221">
        <f t="shared" si="110"/>
        <v>11109.415470055101</v>
      </c>
      <c r="V221">
        <f t="shared" si="111"/>
        <v>0</v>
      </c>
      <c r="W221">
        <f t="shared" si="112"/>
        <v>224545.57355202796</v>
      </c>
      <c r="X221" s="44">
        <f t="shared" si="96"/>
        <v>29600.965829511202</v>
      </c>
      <c r="Y221" s="28">
        <f t="shared" si="97"/>
        <v>1731.6655931437169</v>
      </c>
      <c r="Z221" s="28">
        <f t="shared" si="98"/>
        <v>222813.90795888423</v>
      </c>
      <c r="AA221">
        <f t="shared" si="99"/>
        <v>0</v>
      </c>
      <c r="AB221" s="28">
        <f t="shared" si="100"/>
        <v>222813.90795888423</v>
      </c>
      <c r="AD221" s="28">
        <f t="shared" si="101"/>
        <v>0</v>
      </c>
      <c r="AE221" s="28">
        <f t="shared" si="102"/>
        <v>222813.90795888423</v>
      </c>
      <c r="AF221" s="51"/>
      <c r="AG221" t="str">
        <f t="shared" si="103"/>
        <v>5307210</v>
      </c>
    </row>
    <row r="222" spans="1:33" x14ac:dyDescent="0.25">
      <c r="A222" s="7" t="s">
        <v>567</v>
      </c>
      <c r="B222" s="2" t="s">
        <v>1084</v>
      </c>
      <c r="C222" s="4" t="s">
        <v>1083</v>
      </c>
      <c r="D222">
        <f>_xlfn.IFNA(VLOOKUP(A222,'Prior Year data'!$A$1:$T$317,12,FALSE),0)</f>
        <v>4773064.0653591305</v>
      </c>
      <c r="E222">
        <f>VLOOKUP(A222,'Basic HH'!$B$1:$Y$321,23,FALSE)</f>
        <v>1950501.8428069775</v>
      </c>
      <c r="F222">
        <f>VLOOKUP(A222,'Conc. HH'!$B$1:$Y$321,23,FALSE)</f>
        <v>0</v>
      </c>
      <c r="G222">
        <f>VLOOKUP(A222,'Targeted HH'!$B$1:$Y$321,23,FALSE)</f>
        <v>1270922.5945737457</v>
      </c>
      <c r="H222">
        <f>VLOOKUP(A222,'EFIG HH'!$B$1:$Y$321,23,FALSE)</f>
        <v>1752330.8848083585</v>
      </c>
      <c r="I222">
        <f t="shared" si="90"/>
        <v>4973755.3221890815</v>
      </c>
      <c r="J222">
        <f t="shared" si="91"/>
        <v>4773064.0653591305</v>
      </c>
      <c r="K222" s="44">
        <f t="shared" si="92"/>
        <v>4627623.5917330263</v>
      </c>
      <c r="L222">
        <f t="shared" si="93"/>
        <v>145440.47362610418</v>
      </c>
      <c r="M222">
        <f t="shared" si="94"/>
        <v>0</v>
      </c>
      <c r="N222">
        <f t="shared" si="95"/>
        <v>4773064.0653591305</v>
      </c>
      <c r="O222">
        <f t="shared" si="104"/>
        <v>0</v>
      </c>
      <c r="P222">
        <f t="shared" si="105"/>
        <v>0</v>
      </c>
      <c r="Q222">
        <f t="shared" si="106"/>
        <v>4773064.0653591305</v>
      </c>
      <c r="R222">
        <f t="shared" si="107"/>
        <v>0</v>
      </c>
      <c r="S222">
        <f t="shared" si="108"/>
        <v>0</v>
      </c>
      <c r="T222">
        <f t="shared" si="109"/>
        <v>4773064.0653591305</v>
      </c>
      <c r="U222">
        <f t="shared" si="110"/>
        <v>0</v>
      </c>
      <c r="V222">
        <f t="shared" si="111"/>
        <v>0</v>
      </c>
      <c r="W222">
        <f t="shared" si="112"/>
        <v>4773064.0653591305</v>
      </c>
      <c r="X222" s="44">
        <f t="shared" si="96"/>
        <v>200691.25682995096</v>
      </c>
      <c r="Y222" s="28">
        <f t="shared" si="97"/>
        <v>36809.235137017604</v>
      </c>
      <c r="Z222" s="28">
        <f t="shared" si="98"/>
        <v>4736254.8302221131</v>
      </c>
      <c r="AA222">
        <f t="shared" si="99"/>
        <v>0</v>
      </c>
      <c r="AB222" s="28">
        <f t="shared" si="100"/>
        <v>4736254.8302221131</v>
      </c>
      <c r="AD222" s="28">
        <f t="shared" si="101"/>
        <v>0</v>
      </c>
      <c r="AE222" s="28">
        <f t="shared" si="102"/>
        <v>4736254.8302221131</v>
      </c>
      <c r="AF222" s="51"/>
      <c r="AG222" t="str">
        <f t="shared" si="103"/>
        <v>5307230</v>
      </c>
    </row>
    <row r="223" spans="1:33" x14ac:dyDescent="0.25">
      <c r="A223" s="7" t="s">
        <v>568</v>
      </c>
      <c r="B223" s="2" t="s">
        <v>1086</v>
      </c>
      <c r="C223" s="4" t="s">
        <v>1085</v>
      </c>
      <c r="D223">
        <f>_xlfn.IFNA(VLOOKUP(A223,'Prior Year data'!$A$1:$T$317,12,FALSE),0)</f>
        <v>190167.63461147522</v>
      </c>
      <c r="E223">
        <f>VLOOKUP(A223,'Basic HH'!$B$1:$Y$321,23,FALSE)</f>
        <v>76551.677855081012</v>
      </c>
      <c r="F223">
        <f>VLOOKUP(A223,'Conc. HH'!$B$1:$Y$321,23,FALSE)</f>
        <v>20123.718711231431</v>
      </c>
      <c r="G223">
        <f>VLOOKUP(A223,'Targeted HH'!$B$1:$Y$321,23,FALSE)</f>
        <v>49811.250581466258</v>
      </c>
      <c r="H223">
        <f>VLOOKUP(A223,'EFIG HH'!$B$1:$Y$321,23,FALSE)</f>
        <v>68679.078629573327</v>
      </c>
      <c r="I223">
        <f t="shared" si="90"/>
        <v>215165.72577735205</v>
      </c>
      <c r="J223">
        <f t="shared" si="91"/>
        <v>190167.63461147522</v>
      </c>
      <c r="K223" s="44">
        <f t="shared" si="92"/>
        <v>200191.99261723971</v>
      </c>
      <c r="L223">
        <f t="shared" si="93"/>
        <v>0</v>
      </c>
      <c r="M223">
        <f t="shared" si="94"/>
        <v>200191.99261723971</v>
      </c>
      <c r="N223">
        <f t="shared" si="95"/>
        <v>190104.93481826014</v>
      </c>
      <c r="O223">
        <f t="shared" si="104"/>
        <v>62.699793215084355</v>
      </c>
      <c r="P223">
        <f t="shared" si="105"/>
        <v>0</v>
      </c>
      <c r="Q223">
        <f t="shared" si="106"/>
        <v>190104.93481826014</v>
      </c>
      <c r="R223">
        <f t="shared" si="107"/>
        <v>0</v>
      </c>
      <c r="S223">
        <f t="shared" si="108"/>
        <v>0</v>
      </c>
      <c r="T223">
        <f t="shared" si="109"/>
        <v>190104.93481826014</v>
      </c>
      <c r="U223">
        <f t="shared" si="110"/>
        <v>62.699793215084355</v>
      </c>
      <c r="V223">
        <f t="shared" si="111"/>
        <v>0</v>
      </c>
      <c r="W223">
        <f t="shared" si="112"/>
        <v>190104.93481826014</v>
      </c>
      <c r="X223" s="44">
        <f t="shared" si="96"/>
        <v>25060.790959091915</v>
      </c>
      <c r="Y223" s="28">
        <f t="shared" si="97"/>
        <v>1466.0639686817685</v>
      </c>
      <c r="Z223" s="28">
        <f t="shared" si="98"/>
        <v>188638.87084957838</v>
      </c>
      <c r="AA223">
        <f t="shared" si="99"/>
        <v>0</v>
      </c>
      <c r="AB223" s="28">
        <f t="shared" si="100"/>
        <v>188638.87084957838</v>
      </c>
      <c r="AD223" s="28">
        <f t="shared" si="101"/>
        <v>0</v>
      </c>
      <c r="AE223" s="28">
        <f t="shared" si="102"/>
        <v>188638.87084957838</v>
      </c>
      <c r="AF223" s="51"/>
      <c r="AG223" t="str">
        <f t="shared" si="103"/>
        <v>5307260</v>
      </c>
    </row>
    <row r="224" spans="1:33" x14ac:dyDescent="0.25">
      <c r="A224" s="7" t="s">
        <v>203</v>
      </c>
      <c r="B224" s="2" t="s">
        <v>1088</v>
      </c>
      <c r="C224" s="4" t="s">
        <v>1087</v>
      </c>
      <c r="D224">
        <f>_xlfn.IFNA(VLOOKUP(A224,'Prior Year data'!$A$1:$T$317,12,FALSE),0)</f>
        <v>2673798.0629778979</v>
      </c>
      <c r="E224">
        <f>VLOOKUP(A224,'Basic HH'!$B$1:$Y$321,23,FALSE)</f>
        <v>1154296.0863091997</v>
      </c>
      <c r="F224">
        <f>VLOOKUP(A224,'Conc. HH'!$B$1:$Y$321,23,FALSE)</f>
        <v>0</v>
      </c>
      <c r="G224">
        <f>VLOOKUP(A224,'Targeted HH'!$B$1:$Y$321,23,FALSE)</f>
        <v>686336.83196219965</v>
      </c>
      <c r="H224">
        <f>VLOOKUP(A224,'EFIG HH'!$B$1:$Y$321,23,FALSE)</f>
        <v>946311.94154845935</v>
      </c>
      <c r="I224">
        <f t="shared" si="90"/>
        <v>2786944.8598198588</v>
      </c>
      <c r="J224">
        <f t="shared" si="91"/>
        <v>2673798.0629778979</v>
      </c>
      <c r="K224" s="44">
        <f t="shared" si="92"/>
        <v>2592996.8297043592</v>
      </c>
      <c r="L224">
        <f t="shared" si="93"/>
        <v>80801.233273538761</v>
      </c>
      <c r="M224">
        <f t="shared" si="94"/>
        <v>0</v>
      </c>
      <c r="N224">
        <f t="shared" si="95"/>
        <v>2673798.0629778979</v>
      </c>
      <c r="O224">
        <f t="shared" si="104"/>
        <v>0</v>
      </c>
      <c r="P224">
        <f t="shared" si="105"/>
        <v>0</v>
      </c>
      <c r="Q224">
        <f t="shared" si="106"/>
        <v>2673798.0629778979</v>
      </c>
      <c r="R224">
        <f t="shared" si="107"/>
        <v>0</v>
      </c>
      <c r="S224">
        <f t="shared" si="108"/>
        <v>0</v>
      </c>
      <c r="T224">
        <f t="shared" si="109"/>
        <v>2673798.0629778979</v>
      </c>
      <c r="U224">
        <f t="shared" si="110"/>
        <v>0</v>
      </c>
      <c r="V224">
        <f t="shared" si="111"/>
        <v>0</v>
      </c>
      <c r="W224">
        <f t="shared" si="112"/>
        <v>2673798.0629778979</v>
      </c>
      <c r="X224" s="44">
        <f t="shared" si="96"/>
        <v>113146.79684196087</v>
      </c>
      <c r="Y224" s="28">
        <f t="shared" si="97"/>
        <v>20619.974980715117</v>
      </c>
      <c r="Z224" s="28">
        <f t="shared" si="98"/>
        <v>2653178.0879971827</v>
      </c>
      <c r="AA224">
        <f t="shared" si="99"/>
        <v>0</v>
      </c>
      <c r="AB224" s="28">
        <f t="shared" si="100"/>
        <v>2653178.0879971827</v>
      </c>
      <c r="AD224" s="28">
        <f t="shared" si="101"/>
        <v>0</v>
      </c>
      <c r="AE224" s="28">
        <f t="shared" si="102"/>
        <v>2653178.0879971827</v>
      </c>
      <c r="AF224" s="51"/>
      <c r="AG224" t="str">
        <f t="shared" si="103"/>
        <v>5307320</v>
      </c>
    </row>
    <row r="225" spans="1:33" x14ac:dyDescent="0.25">
      <c r="A225" s="7" t="s">
        <v>205</v>
      </c>
      <c r="B225" s="2" t="s">
        <v>1090</v>
      </c>
      <c r="C225" s="4" t="s">
        <v>1089</v>
      </c>
      <c r="D225">
        <f>_xlfn.IFNA(VLOOKUP(A225,'Prior Year data'!$A$1:$T$317,12,FALSE),0)</f>
        <v>407868.55807550525</v>
      </c>
      <c r="E225">
        <f>VLOOKUP(A225,'Basic HH'!$B$1:$Y$321,23,FALSE)</f>
        <v>181983.54578080957</v>
      </c>
      <c r="F225">
        <f>VLOOKUP(A225,'Conc. HH'!$B$1:$Y$321,23,FALSE)</f>
        <v>0</v>
      </c>
      <c r="G225">
        <f>VLOOKUP(A225,'Targeted HH'!$B$1:$Y$321,23,FALSE)</f>
        <v>0</v>
      </c>
      <c r="H225">
        <f>VLOOKUP(A225,'EFIG HH'!$B$1:$Y$321,23,FALSE)</f>
        <v>0</v>
      </c>
      <c r="I225">
        <f t="shared" si="90"/>
        <v>181983.54578080957</v>
      </c>
      <c r="J225">
        <f t="shared" si="91"/>
        <v>407868.55807550525</v>
      </c>
      <c r="K225" s="44">
        <f t="shared" si="92"/>
        <v>169319.01454932216</v>
      </c>
      <c r="L225">
        <f t="shared" si="93"/>
        <v>12664.531231487403</v>
      </c>
      <c r="M225">
        <f t="shared" si="94"/>
        <v>0</v>
      </c>
      <c r="N225">
        <f t="shared" si="95"/>
        <v>181983.54578080957</v>
      </c>
      <c r="O225">
        <f t="shared" si="104"/>
        <v>0</v>
      </c>
      <c r="P225">
        <f t="shared" si="105"/>
        <v>0</v>
      </c>
      <c r="Q225">
        <f t="shared" si="106"/>
        <v>181983.54578080957</v>
      </c>
      <c r="R225">
        <f t="shared" si="107"/>
        <v>0</v>
      </c>
      <c r="S225">
        <f t="shared" si="108"/>
        <v>0</v>
      </c>
      <c r="T225">
        <f t="shared" si="109"/>
        <v>181983.54578080957</v>
      </c>
      <c r="U225">
        <f t="shared" si="110"/>
        <v>0</v>
      </c>
      <c r="V225">
        <f t="shared" si="111"/>
        <v>0</v>
      </c>
      <c r="W225">
        <f t="shared" si="112"/>
        <v>181983.54578080957</v>
      </c>
      <c r="X225" s="44">
        <f t="shared" si="96"/>
        <v>0</v>
      </c>
      <c r="Y225" s="28">
        <f t="shared" si="97"/>
        <v>1403.4328967696376</v>
      </c>
      <c r="Z225" s="28">
        <f t="shared" si="98"/>
        <v>180580.11288403993</v>
      </c>
      <c r="AA225">
        <f t="shared" si="99"/>
        <v>0</v>
      </c>
      <c r="AB225" s="28">
        <f t="shared" si="100"/>
        <v>180580.11288403993</v>
      </c>
      <c r="AD225" s="28">
        <f t="shared" si="101"/>
        <v>0</v>
      </c>
      <c r="AE225" s="28">
        <f t="shared" si="102"/>
        <v>180580.11288403993</v>
      </c>
      <c r="AF225" s="51"/>
      <c r="AG225" t="str">
        <f t="shared" si="103"/>
        <v>5307350</v>
      </c>
    </row>
    <row r="226" spans="1:33" x14ac:dyDescent="0.25">
      <c r="A226" s="7" t="s">
        <v>207</v>
      </c>
      <c r="B226" s="2" t="s">
        <v>1092</v>
      </c>
      <c r="C226" s="4" t="s">
        <v>1091</v>
      </c>
      <c r="D226">
        <f>_xlfn.IFNA(VLOOKUP(A226,'Prior Year data'!$A$1:$T$317,12,FALSE),0)</f>
        <v>87730.21815208983</v>
      </c>
      <c r="E226">
        <f>VLOOKUP(A226,'Basic HH'!$B$1:$Y$321,23,FALSE)</f>
        <v>51607.872711290605</v>
      </c>
      <c r="F226">
        <f>VLOOKUP(A226,'Conc. HH'!$B$1:$Y$321,23,FALSE)</f>
        <v>0</v>
      </c>
      <c r="G226">
        <f>VLOOKUP(A226,'Targeted HH'!$B$1:$Y$321,23,FALSE)</f>
        <v>24695.778061608376</v>
      </c>
      <c r="H226">
        <f>VLOOKUP(A226,'EFIG HH'!$B$1:$Y$321,23,FALSE)</f>
        <v>34050.204793347868</v>
      </c>
      <c r="I226">
        <f t="shared" si="90"/>
        <v>110353.85556624684</v>
      </c>
      <c r="J226">
        <f t="shared" si="91"/>
        <v>87730.21815208983</v>
      </c>
      <c r="K226" s="44">
        <f t="shared" si="92"/>
        <v>102674.15109440904</v>
      </c>
      <c r="L226">
        <f t="shared" si="93"/>
        <v>0</v>
      </c>
      <c r="M226">
        <f t="shared" si="94"/>
        <v>102674.15109440904</v>
      </c>
      <c r="N226">
        <f t="shared" si="95"/>
        <v>97500.716917495418</v>
      </c>
      <c r="O226">
        <f t="shared" si="104"/>
        <v>0</v>
      </c>
      <c r="P226">
        <f t="shared" si="105"/>
        <v>97500.716917495418</v>
      </c>
      <c r="Q226">
        <f t="shared" si="106"/>
        <v>97500.716917495418</v>
      </c>
      <c r="R226">
        <f t="shared" si="107"/>
        <v>0</v>
      </c>
      <c r="S226">
        <f t="shared" si="108"/>
        <v>97500.716917495418</v>
      </c>
      <c r="T226">
        <f t="shared" si="109"/>
        <v>97500.716917495418</v>
      </c>
      <c r="U226">
        <f t="shared" si="110"/>
        <v>0</v>
      </c>
      <c r="V226">
        <f t="shared" si="111"/>
        <v>97500.716917495418</v>
      </c>
      <c r="W226">
        <f t="shared" si="112"/>
        <v>97500.716917495418</v>
      </c>
      <c r="X226" s="44">
        <f t="shared" si="96"/>
        <v>12853.138648751425</v>
      </c>
      <c r="Y226" s="28">
        <f t="shared" si="97"/>
        <v>751.91255887193813</v>
      </c>
      <c r="Z226" s="28">
        <f t="shared" si="98"/>
        <v>96748.804358623485</v>
      </c>
      <c r="AA226">
        <f t="shared" si="99"/>
        <v>0</v>
      </c>
      <c r="AB226" s="28">
        <f t="shared" si="100"/>
        <v>96748.804358623485</v>
      </c>
      <c r="AD226" s="28">
        <f t="shared" si="101"/>
        <v>0</v>
      </c>
      <c r="AE226" s="28">
        <f t="shared" si="102"/>
        <v>96748.804358623485</v>
      </c>
      <c r="AF226" s="51"/>
      <c r="AG226" t="str">
        <f t="shared" si="103"/>
        <v>5307380</v>
      </c>
    </row>
    <row r="227" spans="1:33" x14ac:dyDescent="0.25">
      <c r="A227" s="7" t="s">
        <v>300</v>
      </c>
      <c r="B227" s="2" t="s">
        <v>1094</v>
      </c>
      <c r="C227" s="4" t="s">
        <v>1093</v>
      </c>
      <c r="D227">
        <f>_xlfn.IFNA(VLOOKUP(A227,'Prior Year data'!$A$1:$T$317,12,FALSE),0)</f>
        <v>472919.01794593176</v>
      </c>
      <c r="E227">
        <f>VLOOKUP(A227,'Basic HH'!$B$1:$Y$321,23,FALSE)</f>
        <v>231375.29598895292</v>
      </c>
      <c r="F227">
        <f>VLOOKUP(A227,'Conc. HH'!$B$1:$Y$321,23,FALSE)</f>
        <v>0</v>
      </c>
      <c r="G227">
        <f>VLOOKUP(A227,'Targeted HH'!$B$1:$Y$321,23,FALSE)</f>
        <v>110719.40497621092</v>
      </c>
      <c r="H227">
        <f>VLOOKUP(A227,'EFIG HH'!$B$1:$Y$321,23,FALSE)</f>
        <v>152658.41815684293</v>
      </c>
      <c r="I227">
        <f t="shared" si="90"/>
        <v>494753.11912200676</v>
      </c>
      <c r="J227">
        <f t="shared" si="91"/>
        <v>472919.01794593176</v>
      </c>
      <c r="K227" s="44">
        <f t="shared" si="92"/>
        <v>460322.44407326728</v>
      </c>
      <c r="L227">
        <f t="shared" si="93"/>
        <v>12596.573872664478</v>
      </c>
      <c r="M227">
        <f t="shared" si="94"/>
        <v>0</v>
      </c>
      <c r="N227">
        <f t="shared" si="95"/>
        <v>472919.01794593176</v>
      </c>
      <c r="O227">
        <f t="shared" si="104"/>
        <v>0</v>
      </c>
      <c r="P227">
        <f t="shared" si="105"/>
        <v>0</v>
      </c>
      <c r="Q227">
        <f t="shared" si="106"/>
        <v>472919.01794593176</v>
      </c>
      <c r="R227">
        <f t="shared" si="107"/>
        <v>0</v>
      </c>
      <c r="S227">
        <f t="shared" si="108"/>
        <v>0</v>
      </c>
      <c r="T227">
        <f t="shared" si="109"/>
        <v>472919.01794593176</v>
      </c>
      <c r="U227">
        <f t="shared" si="110"/>
        <v>0</v>
      </c>
      <c r="V227">
        <f t="shared" si="111"/>
        <v>0</v>
      </c>
      <c r="W227">
        <f t="shared" si="112"/>
        <v>472919.01794593176</v>
      </c>
      <c r="X227" s="44">
        <f t="shared" si="96"/>
        <v>21834.101176074997</v>
      </c>
      <c r="Y227" s="28">
        <f t="shared" si="97"/>
        <v>3647.0885565265239</v>
      </c>
      <c r="Z227" s="28">
        <f t="shared" si="98"/>
        <v>469271.92938940524</v>
      </c>
      <c r="AA227">
        <f t="shared" si="99"/>
        <v>0</v>
      </c>
      <c r="AB227" s="28">
        <f t="shared" si="100"/>
        <v>469271.92938940524</v>
      </c>
      <c r="AD227" s="28">
        <f t="shared" si="101"/>
        <v>0</v>
      </c>
      <c r="AE227" s="28">
        <f t="shared" si="102"/>
        <v>469271.92938940524</v>
      </c>
      <c r="AF227" s="51"/>
      <c r="AG227" t="str">
        <f t="shared" si="103"/>
        <v>5307440</v>
      </c>
    </row>
    <row r="228" spans="1:33" x14ac:dyDescent="0.25">
      <c r="A228" s="7" t="s">
        <v>209</v>
      </c>
      <c r="B228" s="2" t="s">
        <v>1096</v>
      </c>
      <c r="C228" s="4" t="s">
        <v>1095</v>
      </c>
      <c r="D228">
        <f>_xlfn.IFNA(VLOOKUP(A228,'Prior Year data'!$A$1:$T$317,12,FALSE),0)</f>
        <v>321677.46655766282</v>
      </c>
      <c r="E228">
        <f>VLOOKUP(A228,'Basic HH'!$B$1:$Y$321,23,FALSE)</f>
        <v>143526.64554033664</v>
      </c>
      <c r="F228">
        <f>VLOOKUP(A228,'Conc. HH'!$B$1:$Y$321,23,FALSE)</f>
        <v>0</v>
      </c>
      <c r="G228">
        <f>VLOOKUP(A228,'Targeted HH'!$B$1:$Y$321,23,FALSE)</f>
        <v>0</v>
      </c>
      <c r="H228">
        <f>VLOOKUP(A228,'EFIG HH'!$B$1:$Y$321,23,FALSE)</f>
        <v>0</v>
      </c>
      <c r="I228">
        <f t="shared" si="90"/>
        <v>143526.64554033664</v>
      </c>
      <c r="J228">
        <f t="shared" si="91"/>
        <v>321677.46655766282</v>
      </c>
      <c r="K228" s="44">
        <f t="shared" si="92"/>
        <v>133538.39260682394</v>
      </c>
      <c r="L228">
        <f t="shared" si="93"/>
        <v>9988.2529335127037</v>
      </c>
      <c r="M228">
        <f t="shared" si="94"/>
        <v>0</v>
      </c>
      <c r="N228">
        <f t="shared" si="95"/>
        <v>143526.64554033664</v>
      </c>
      <c r="O228">
        <f t="shared" si="104"/>
        <v>0</v>
      </c>
      <c r="P228">
        <f t="shared" si="105"/>
        <v>0</v>
      </c>
      <c r="Q228">
        <f t="shared" si="106"/>
        <v>143526.64554033664</v>
      </c>
      <c r="R228">
        <f t="shared" si="107"/>
        <v>0</v>
      </c>
      <c r="S228">
        <f t="shared" si="108"/>
        <v>0</v>
      </c>
      <c r="T228">
        <f t="shared" si="109"/>
        <v>143526.64554033664</v>
      </c>
      <c r="U228">
        <f t="shared" si="110"/>
        <v>0</v>
      </c>
      <c r="V228">
        <f t="shared" si="111"/>
        <v>0</v>
      </c>
      <c r="W228">
        <f t="shared" si="112"/>
        <v>143526.64554033664</v>
      </c>
      <c r="X228" s="44">
        <f t="shared" si="96"/>
        <v>0</v>
      </c>
      <c r="Y228" s="28">
        <f t="shared" si="97"/>
        <v>1106.8583978296392</v>
      </c>
      <c r="Z228" s="28">
        <f t="shared" si="98"/>
        <v>142419.787142507</v>
      </c>
      <c r="AA228">
        <f t="shared" si="99"/>
        <v>0</v>
      </c>
      <c r="AB228" s="28">
        <f t="shared" si="100"/>
        <v>142419.787142507</v>
      </c>
      <c r="AD228" s="28">
        <f t="shared" si="101"/>
        <v>0</v>
      </c>
      <c r="AE228" s="28">
        <f t="shared" si="102"/>
        <v>142419.787142507</v>
      </c>
      <c r="AF228" s="51"/>
      <c r="AG228" t="str">
        <f t="shared" si="103"/>
        <v>5304560</v>
      </c>
    </row>
    <row r="229" spans="1:33" x14ac:dyDescent="0.25">
      <c r="A229" s="7" t="s">
        <v>570</v>
      </c>
      <c r="B229" s="2" t="s">
        <v>1098</v>
      </c>
      <c r="C229" s="4" t="s">
        <v>1097</v>
      </c>
      <c r="D229">
        <f>_xlfn.IFNA(VLOOKUP(A229,'Prior Year data'!$A$1:$T$317,12,FALSE),0)</f>
        <v>697372.79279958759</v>
      </c>
      <c r="E229">
        <f>VLOOKUP(A229,'Basic HH'!$B$1:$Y$321,23,FALSE)</f>
        <v>249969.85156307442</v>
      </c>
      <c r="F229">
        <f>VLOOKUP(A229,'Conc. HH'!$B$1:$Y$321,23,FALSE)</f>
        <v>58523.670500309971</v>
      </c>
      <c r="G229">
        <f>VLOOKUP(A229,'Targeted HH'!$B$1:$Y$321,23,FALSE)</f>
        <v>121508.94486406796</v>
      </c>
      <c r="H229">
        <f>VLOOKUP(A229,'EFIG HH'!$B$1:$Y$321,23,FALSE)</f>
        <v>167552.77439987258</v>
      </c>
      <c r="I229">
        <f t="shared" si="90"/>
        <v>597555.24132732488</v>
      </c>
      <c r="J229">
        <f t="shared" si="91"/>
        <v>697372.79279958759</v>
      </c>
      <c r="K229" s="44">
        <f t="shared" si="92"/>
        <v>555970.39922602905</v>
      </c>
      <c r="L229">
        <f t="shared" si="93"/>
        <v>41584.842101295828</v>
      </c>
      <c r="M229">
        <f t="shared" si="94"/>
        <v>0</v>
      </c>
      <c r="N229">
        <f t="shared" si="95"/>
        <v>597555.24132732488</v>
      </c>
      <c r="O229">
        <f t="shared" si="104"/>
        <v>0</v>
      </c>
      <c r="P229">
        <f t="shared" si="105"/>
        <v>0</v>
      </c>
      <c r="Q229">
        <f t="shared" si="106"/>
        <v>597555.24132732488</v>
      </c>
      <c r="R229">
        <f t="shared" si="107"/>
        <v>0</v>
      </c>
      <c r="S229">
        <f t="shared" si="108"/>
        <v>0</v>
      </c>
      <c r="T229">
        <f t="shared" si="109"/>
        <v>597555.24132732488</v>
      </c>
      <c r="U229">
        <f t="shared" si="110"/>
        <v>0</v>
      </c>
      <c r="V229">
        <f t="shared" si="111"/>
        <v>0</v>
      </c>
      <c r="W229">
        <f t="shared" si="112"/>
        <v>597555.24132732488</v>
      </c>
      <c r="X229" s="44">
        <f t="shared" si="96"/>
        <v>0</v>
      </c>
      <c r="Y229" s="28">
        <f t="shared" si="97"/>
        <v>4608.2665315576141</v>
      </c>
      <c r="Z229" s="28">
        <f t="shared" si="98"/>
        <v>592946.97479576722</v>
      </c>
      <c r="AA229">
        <f t="shared" si="99"/>
        <v>0</v>
      </c>
      <c r="AB229" s="28">
        <f t="shared" si="100"/>
        <v>592946.97479576722</v>
      </c>
      <c r="AD229" s="28">
        <f t="shared" si="101"/>
        <v>0</v>
      </c>
      <c r="AE229" s="28">
        <f t="shared" si="102"/>
        <v>592946.97479576722</v>
      </c>
      <c r="AF229" s="51"/>
      <c r="AG229" t="str">
        <f t="shared" si="103"/>
        <v>5307470</v>
      </c>
    </row>
    <row r="230" spans="1:33" x14ac:dyDescent="0.25">
      <c r="A230" s="7" t="s">
        <v>302</v>
      </c>
      <c r="B230" s="2" t="s">
        <v>1100</v>
      </c>
      <c r="C230" s="4" t="s">
        <v>1099</v>
      </c>
      <c r="D230">
        <f>_xlfn.IFNA(VLOOKUP(A230,'Prior Year data'!$A$1:$T$317,12,FALSE),0)</f>
        <v>22014.642885535184</v>
      </c>
      <c r="E230">
        <f>VLOOKUP(A230,'Basic HH'!$B$1:$Y$321,23,FALSE)</f>
        <v>0</v>
      </c>
      <c r="F230">
        <f>VLOOKUP(A230,'Conc. HH'!$B$1:$Y$321,23,FALSE)</f>
        <v>1798.5848221144099</v>
      </c>
      <c r="G230">
        <f>VLOOKUP(A230,'Targeted HH'!$B$1:$Y$321,23,FALSE)</f>
        <v>0</v>
      </c>
      <c r="H230">
        <f>VLOOKUP(A230,'EFIG HH'!$B$1:$Y$321,23,FALSE)</f>
        <v>0</v>
      </c>
      <c r="I230">
        <f t="shared" si="90"/>
        <v>1798.5848221144099</v>
      </c>
      <c r="J230">
        <f t="shared" si="91"/>
        <v>22014.642885535184</v>
      </c>
      <c r="K230" s="44">
        <f t="shared" si="92"/>
        <v>1673.4183761348243</v>
      </c>
      <c r="L230">
        <f t="shared" si="93"/>
        <v>125.16644597958566</v>
      </c>
      <c r="M230">
        <f t="shared" si="94"/>
        <v>0</v>
      </c>
      <c r="N230">
        <f t="shared" si="95"/>
        <v>1798.5848221144099</v>
      </c>
      <c r="O230">
        <f t="shared" si="104"/>
        <v>0</v>
      </c>
      <c r="P230">
        <f t="shared" si="105"/>
        <v>0</v>
      </c>
      <c r="Q230">
        <f t="shared" si="106"/>
        <v>1798.5848221144099</v>
      </c>
      <c r="R230">
        <f t="shared" si="107"/>
        <v>0</v>
      </c>
      <c r="S230">
        <f t="shared" si="108"/>
        <v>0</v>
      </c>
      <c r="T230">
        <f t="shared" si="109"/>
        <v>1798.5848221144099</v>
      </c>
      <c r="U230">
        <f t="shared" si="110"/>
        <v>0</v>
      </c>
      <c r="V230">
        <f t="shared" si="111"/>
        <v>0</v>
      </c>
      <c r="W230">
        <f t="shared" si="112"/>
        <v>1798.5848221144099</v>
      </c>
      <c r="X230" s="44">
        <f t="shared" si="96"/>
        <v>0</v>
      </c>
      <c r="Y230" s="28">
        <f t="shared" si="97"/>
        <v>13.870446892084404</v>
      </c>
      <c r="Z230" s="28">
        <f t="shared" si="98"/>
        <v>1784.7143752223255</v>
      </c>
      <c r="AA230">
        <f t="shared" si="99"/>
        <v>0</v>
      </c>
      <c r="AB230" s="28">
        <f t="shared" si="100"/>
        <v>1784.7143752223255</v>
      </c>
      <c r="AD230" s="28">
        <f t="shared" si="101"/>
        <v>0</v>
      </c>
      <c r="AE230" s="28">
        <f t="shared" si="102"/>
        <v>1784.7143752223255</v>
      </c>
      <c r="AF230" s="51"/>
      <c r="AG230" t="str">
        <f t="shared" si="103"/>
        <v>5307530</v>
      </c>
    </row>
    <row r="231" spans="1:33" x14ac:dyDescent="0.25">
      <c r="A231" t="s">
        <v>1411</v>
      </c>
      <c r="B231" t="s">
        <v>1416</v>
      </c>
      <c r="C231" t="s">
        <v>1414</v>
      </c>
      <c r="D231">
        <f>_xlfn.IFNA(VLOOKUP(A231,'Prior Year data'!$A$1:$T$317,12,FALSE),0)</f>
        <v>0</v>
      </c>
      <c r="E231">
        <f>VLOOKUP(A231,'Basic HH'!$B$1:$Y$321,23,FALSE)</f>
        <v>0</v>
      </c>
      <c r="F231">
        <f>VLOOKUP(A231,'Conc. HH'!$B$1:$Y$321,23,FALSE)</f>
        <v>0</v>
      </c>
      <c r="G231">
        <f>VLOOKUP(A231,'Targeted HH'!$B$1:$Y$321,23,FALSE)</f>
        <v>0</v>
      </c>
      <c r="H231">
        <f>VLOOKUP(A231,'EFIG HH'!$B$1:$Y$321,23,FALSE)</f>
        <v>0</v>
      </c>
      <c r="I231">
        <f t="shared" si="90"/>
        <v>0</v>
      </c>
      <c r="J231">
        <f t="shared" si="91"/>
        <v>0</v>
      </c>
      <c r="K231" s="44">
        <f t="shared" si="92"/>
        <v>0</v>
      </c>
      <c r="L231">
        <f t="shared" si="93"/>
        <v>0</v>
      </c>
      <c r="M231">
        <f t="shared" si="94"/>
        <v>0</v>
      </c>
      <c r="N231">
        <f t="shared" si="95"/>
        <v>0</v>
      </c>
      <c r="O231">
        <f t="shared" si="104"/>
        <v>0</v>
      </c>
      <c r="P231">
        <f t="shared" si="105"/>
        <v>0</v>
      </c>
      <c r="Q231">
        <f t="shared" si="106"/>
        <v>0</v>
      </c>
      <c r="R231">
        <f t="shared" si="107"/>
        <v>0</v>
      </c>
      <c r="S231">
        <f t="shared" si="108"/>
        <v>0</v>
      </c>
      <c r="T231">
        <f t="shared" si="109"/>
        <v>0</v>
      </c>
      <c r="U231">
        <f t="shared" si="110"/>
        <v>0</v>
      </c>
      <c r="V231">
        <f t="shared" si="111"/>
        <v>0</v>
      </c>
      <c r="W231">
        <f t="shared" si="112"/>
        <v>0</v>
      </c>
      <c r="X231" s="44">
        <f t="shared" si="96"/>
        <v>0</v>
      </c>
      <c r="Y231" s="28">
        <f t="shared" si="97"/>
        <v>0</v>
      </c>
      <c r="Z231" s="28">
        <f t="shared" si="98"/>
        <v>0</v>
      </c>
      <c r="AA231">
        <f t="shared" si="99"/>
        <v>0</v>
      </c>
      <c r="AB231" s="28">
        <f t="shared" si="100"/>
        <v>0</v>
      </c>
      <c r="AD231" s="28">
        <f t="shared" si="101"/>
        <v>0</v>
      </c>
      <c r="AE231" s="28">
        <f t="shared" si="102"/>
        <v>0</v>
      </c>
      <c r="AF231" s="51"/>
      <c r="AG231" t="str">
        <f t="shared" si="103"/>
        <v>5307795</v>
      </c>
    </row>
    <row r="232" spans="1:33" x14ac:dyDescent="0.25">
      <c r="A232" s="7" t="s">
        <v>572</v>
      </c>
      <c r="B232" s="2" t="s">
        <v>1102</v>
      </c>
      <c r="C232" s="4" t="s">
        <v>1101</v>
      </c>
      <c r="D232">
        <f>_xlfn.IFNA(VLOOKUP(A232,'Prior Year data'!$A$1:$T$317,12,FALSE),0)</f>
        <v>65958.05172493057</v>
      </c>
      <c r="E232">
        <f>VLOOKUP(A232,'Basic HH'!$B$1:$Y$321,23,FALSE)</f>
        <v>28384.329991209834</v>
      </c>
      <c r="F232">
        <f>VLOOKUP(A232,'Conc. HH'!$B$1:$Y$321,23,FALSE)</f>
        <v>6834.6223240347581</v>
      </c>
      <c r="G232">
        <f>VLOOKUP(A232,'Targeted HH'!$B$1:$Y$321,23,FALSE)</f>
        <v>13582.67793388461</v>
      </c>
      <c r="H232">
        <f>VLOOKUP(A232,'EFIG HH'!$B$1:$Y$321,23,FALSE)</f>
        <v>18727.612636341317</v>
      </c>
      <c r="I232">
        <f t="shared" si="90"/>
        <v>67529.242885470521</v>
      </c>
      <c r="J232">
        <f t="shared" si="91"/>
        <v>65958.05172493057</v>
      </c>
      <c r="K232" s="44">
        <f t="shared" si="92"/>
        <v>62829.772931237305</v>
      </c>
      <c r="L232">
        <f t="shared" si="93"/>
        <v>3128.2787936932655</v>
      </c>
      <c r="M232">
        <f t="shared" si="94"/>
        <v>0</v>
      </c>
      <c r="N232">
        <f t="shared" si="95"/>
        <v>65958.05172493057</v>
      </c>
      <c r="O232">
        <f t="shared" si="104"/>
        <v>0</v>
      </c>
      <c r="P232">
        <f t="shared" si="105"/>
        <v>0</v>
      </c>
      <c r="Q232">
        <f t="shared" si="106"/>
        <v>65958.05172493057</v>
      </c>
      <c r="R232">
        <f t="shared" si="107"/>
        <v>0</v>
      </c>
      <c r="S232">
        <f t="shared" si="108"/>
        <v>0</v>
      </c>
      <c r="T232">
        <f t="shared" si="109"/>
        <v>65958.05172493057</v>
      </c>
      <c r="U232">
        <f t="shared" si="110"/>
        <v>0</v>
      </c>
      <c r="V232">
        <f t="shared" si="111"/>
        <v>0</v>
      </c>
      <c r="W232">
        <f t="shared" si="112"/>
        <v>65958.05172493057</v>
      </c>
      <c r="X232" s="44">
        <f t="shared" si="96"/>
        <v>1571.1911605399509</v>
      </c>
      <c r="Y232" s="28">
        <f t="shared" si="97"/>
        <v>508.65972085791896</v>
      </c>
      <c r="Z232" s="28">
        <f t="shared" si="98"/>
        <v>65449.392004072652</v>
      </c>
      <c r="AA232">
        <f t="shared" si="99"/>
        <v>0</v>
      </c>
      <c r="AB232" s="28">
        <f t="shared" si="100"/>
        <v>65449.392004072652</v>
      </c>
      <c r="AD232" s="28">
        <f t="shared" si="101"/>
        <v>0</v>
      </c>
      <c r="AE232" s="28">
        <f t="shared" si="102"/>
        <v>65449.392004072652</v>
      </c>
      <c r="AF232" s="51"/>
      <c r="AG232" t="str">
        <f t="shared" si="103"/>
        <v>5307560</v>
      </c>
    </row>
    <row r="233" spans="1:33" x14ac:dyDescent="0.25">
      <c r="A233" s="7" t="s">
        <v>574</v>
      </c>
      <c r="B233" s="2" t="s">
        <v>1104</v>
      </c>
      <c r="C233" s="4" t="s">
        <v>1103</v>
      </c>
      <c r="D233">
        <f>_xlfn.IFNA(VLOOKUP(A233,'Prior Year data'!$A$1:$T$317,12,FALSE),0)</f>
        <v>649743.48180994717</v>
      </c>
      <c r="E233">
        <f>VLOOKUP(A233,'Basic HH'!$B$1:$Y$321,23,FALSE)</f>
        <v>242587.61963302392</v>
      </c>
      <c r="F233">
        <f>VLOOKUP(A233,'Conc. HH'!$B$1:$Y$321,23,FALSE)</f>
        <v>61612.428665154868</v>
      </c>
      <c r="G233">
        <f>VLOOKUP(A233,'Targeted HH'!$B$1:$Y$321,23,FALSE)</f>
        <v>123006.16527041039</v>
      </c>
      <c r="H233">
        <f>VLOOKUP(A233,'EFIG HH'!$B$1:$Y$321,23,FALSE)</f>
        <v>162084.26198210713</v>
      </c>
      <c r="I233">
        <f t="shared" si="90"/>
        <v>589290.47555069625</v>
      </c>
      <c r="J233">
        <f t="shared" si="91"/>
        <v>649743.48180994717</v>
      </c>
      <c r="K233" s="44">
        <f t="shared" si="92"/>
        <v>548280.79195535195</v>
      </c>
      <c r="L233">
        <f t="shared" si="93"/>
        <v>41009.683595344308</v>
      </c>
      <c r="M233">
        <f t="shared" si="94"/>
        <v>0</v>
      </c>
      <c r="N233">
        <f t="shared" si="95"/>
        <v>589290.47555069625</v>
      </c>
      <c r="O233">
        <f t="shared" si="104"/>
        <v>0</v>
      </c>
      <c r="P233">
        <f t="shared" si="105"/>
        <v>0</v>
      </c>
      <c r="Q233">
        <f t="shared" si="106"/>
        <v>589290.47555069625</v>
      </c>
      <c r="R233">
        <f t="shared" si="107"/>
        <v>0</v>
      </c>
      <c r="S233">
        <f t="shared" si="108"/>
        <v>0</v>
      </c>
      <c r="T233">
        <f t="shared" si="109"/>
        <v>589290.47555069625</v>
      </c>
      <c r="U233">
        <f t="shared" si="110"/>
        <v>0</v>
      </c>
      <c r="V233">
        <f t="shared" si="111"/>
        <v>0</v>
      </c>
      <c r="W233">
        <f t="shared" si="112"/>
        <v>589290.47555069625</v>
      </c>
      <c r="X233" s="44">
        <f t="shared" si="96"/>
        <v>0</v>
      </c>
      <c r="Y233" s="28">
        <f t="shared" si="97"/>
        <v>4544.5297573055777</v>
      </c>
      <c r="Z233" s="28">
        <f t="shared" si="98"/>
        <v>584745.94579339062</v>
      </c>
      <c r="AA233">
        <f t="shared" si="99"/>
        <v>0</v>
      </c>
      <c r="AB233" s="28">
        <f t="shared" si="100"/>
        <v>584745.94579339062</v>
      </c>
      <c r="AD233" s="28">
        <f t="shared" si="101"/>
        <v>0</v>
      </c>
      <c r="AE233" s="28">
        <f t="shared" si="102"/>
        <v>584745.94579339062</v>
      </c>
      <c r="AF233" s="51"/>
      <c r="AG233" t="str">
        <f t="shared" si="103"/>
        <v>5307620</v>
      </c>
    </row>
    <row r="234" spans="1:33" x14ac:dyDescent="0.25">
      <c r="A234" s="7" t="s">
        <v>211</v>
      </c>
      <c r="B234" s="2" t="s">
        <v>1106</v>
      </c>
      <c r="C234" s="4" t="s">
        <v>1105</v>
      </c>
      <c r="D234">
        <f>_xlfn.IFNA(VLOOKUP(A234,'Prior Year data'!$A$1:$T$317,12,FALSE),0)</f>
        <v>184695.19610966282</v>
      </c>
      <c r="E234">
        <f>VLOOKUP(A234,'Basic HH'!$B$1:$Y$321,23,FALSE)</f>
        <v>82407.643372442079</v>
      </c>
      <c r="F234">
        <f>VLOOKUP(A234,'Conc. HH'!$B$1:$Y$321,23,FALSE)</f>
        <v>0</v>
      </c>
      <c r="G234">
        <f>VLOOKUP(A234,'Targeted HH'!$B$1:$Y$321,23,FALSE)</f>
        <v>40057.893911231185</v>
      </c>
      <c r="H234">
        <f>VLOOKUP(A234,'EFIG HH'!$B$1:$Y$321,23,FALSE)</f>
        <v>55237.178373584364</v>
      </c>
      <c r="I234">
        <f t="shared" si="90"/>
        <v>177702.71565725765</v>
      </c>
      <c r="J234">
        <f t="shared" si="91"/>
        <v>184695.19610966282</v>
      </c>
      <c r="K234" s="44">
        <f t="shared" si="92"/>
        <v>165336.09436352755</v>
      </c>
      <c r="L234">
        <f t="shared" si="93"/>
        <v>12366.621293730102</v>
      </c>
      <c r="M234">
        <f t="shared" si="94"/>
        <v>0</v>
      </c>
      <c r="N234">
        <f t="shared" si="95"/>
        <v>177702.71565725765</v>
      </c>
      <c r="O234">
        <f t="shared" si="104"/>
        <v>0</v>
      </c>
      <c r="P234">
        <f t="shared" si="105"/>
        <v>0</v>
      </c>
      <c r="Q234">
        <f t="shared" si="106"/>
        <v>177702.71565725765</v>
      </c>
      <c r="R234">
        <f t="shared" si="107"/>
        <v>0</v>
      </c>
      <c r="S234">
        <f t="shared" si="108"/>
        <v>0</v>
      </c>
      <c r="T234">
        <f t="shared" si="109"/>
        <v>177702.71565725765</v>
      </c>
      <c r="U234">
        <f t="shared" si="110"/>
        <v>0</v>
      </c>
      <c r="V234">
        <f t="shared" si="111"/>
        <v>0</v>
      </c>
      <c r="W234">
        <f t="shared" si="112"/>
        <v>177702.71565725765</v>
      </c>
      <c r="X234" s="44">
        <f t="shared" si="96"/>
        <v>0</v>
      </c>
      <c r="Y234" s="28">
        <f t="shared" si="97"/>
        <v>1370.4197043126044</v>
      </c>
      <c r="Z234" s="28">
        <f t="shared" si="98"/>
        <v>176332.29595294505</v>
      </c>
      <c r="AA234">
        <f t="shared" si="99"/>
        <v>0</v>
      </c>
      <c r="AB234" s="28">
        <f t="shared" si="100"/>
        <v>176332.29595294505</v>
      </c>
      <c r="AD234" s="28">
        <f t="shared" si="101"/>
        <v>0</v>
      </c>
      <c r="AE234" s="28">
        <f t="shared" si="102"/>
        <v>176332.29595294505</v>
      </c>
      <c r="AF234" s="51"/>
      <c r="AG234" t="str">
        <f t="shared" si="103"/>
        <v>5307650</v>
      </c>
    </row>
    <row r="235" spans="1:33" x14ac:dyDescent="0.25">
      <c r="A235" s="7" t="s">
        <v>576</v>
      </c>
      <c r="B235" s="2" t="s">
        <v>1108</v>
      </c>
      <c r="C235" s="4" t="s">
        <v>1107</v>
      </c>
      <c r="D235">
        <f>_xlfn.IFNA(VLOOKUP(A235,'Prior Year data'!$A$1:$T$317,12,FALSE),0)</f>
        <v>40785.294995222292</v>
      </c>
      <c r="E235">
        <f>VLOOKUP(A235,'Basic HH'!$B$1:$Y$321,23,FALSE)</f>
        <v>15996.777831121119</v>
      </c>
      <c r="F235">
        <f>VLOOKUP(A235,'Conc. HH'!$B$1:$Y$321,23,FALSE)</f>
        <v>4189.6446444547455</v>
      </c>
      <c r="G235">
        <f>VLOOKUP(A235,'Targeted HH'!$B$1:$Y$321,23,FALSE)</f>
        <v>8982.2051151823744</v>
      </c>
      <c r="H235">
        <f>VLOOKUP(A235,'EFIG HH'!$B$1:$Y$321,23,FALSE)</f>
        <v>12385.864999166692</v>
      </c>
      <c r="I235">
        <f t="shared" si="90"/>
        <v>41554.492589924928</v>
      </c>
      <c r="J235">
        <f t="shared" si="91"/>
        <v>40785.294995222292</v>
      </c>
      <c r="K235" s="44">
        <f t="shared" si="92"/>
        <v>38662.647797277685</v>
      </c>
      <c r="L235">
        <f t="shared" si="93"/>
        <v>2122.6471979446069</v>
      </c>
      <c r="M235">
        <f t="shared" si="94"/>
        <v>0</v>
      </c>
      <c r="N235">
        <f t="shared" si="95"/>
        <v>40785.294995222292</v>
      </c>
      <c r="O235">
        <f t="shared" si="104"/>
        <v>0</v>
      </c>
      <c r="P235">
        <f t="shared" si="105"/>
        <v>0</v>
      </c>
      <c r="Q235">
        <f t="shared" si="106"/>
        <v>40785.294995222292</v>
      </c>
      <c r="R235">
        <f t="shared" si="107"/>
        <v>0</v>
      </c>
      <c r="S235">
        <f t="shared" si="108"/>
        <v>0</v>
      </c>
      <c r="T235">
        <f t="shared" si="109"/>
        <v>40785.294995222292</v>
      </c>
      <c r="U235">
        <f t="shared" si="110"/>
        <v>0</v>
      </c>
      <c r="V235">
        <f t="shared" si="111"/>
        <v>0</v>
      </c>
      <c r="W235">
        <f t="shared" si="112"/>
        <v>40785.294995222292</v>
      </c>
      <c r="X235" s="44">
        <f t="shared" si="96"/>
        <v>769.19759470263671</v>
      </c>
      <c r="Y235" s="28">
        <f t="shared" si="97"/>
        <v>314.53076955479901</v>
      </c>
      <c r="Z235" s="28">
        <f t="shared" si="98"/>
        <v>40470.764225667495</v>
      </c>
      <c r="AA235">
        <f t="shared" si="99"/>
        <v>0</v>
      </c>
      <c r="AB235" s="28">
        <f t="shared" si="100"/>
        <v>40470.764225667495</v>
      </c>
      <c r="AD235" s="28">
        <f t="shared" si="101"/>
        <v>0</v>
      </c>
      <c r="AE235" s="28">
        <f t="shared" si="102"/>
        <v>40470.764225667495</v>
      </c>
      <c r="AF235" s="51"/>
      <c r="AG235" t="str">
        <f t="shared" si="103"/>
        <v>5307680</v>
      </c>
    </row>
    <row r="236" spans="1:33" x14ac:dyDescent="0.25">
      <c r="A236" s="7" t="s">
        <v>86</v>
      </c>
      <c r="B236" s="2" t="s">
        <v>1109</v>
      </c>
      <c r="C236" s="8" t="s">
        <v>53</v>
      </c>
      <c r="D236">
        <f>_xlfn.IFNA(VLOOKUP(A236,'Prior Year data'!$A$1:$T$317,12,FALSE),0)</f>
        <v>41137.999923566567</v>
      </c>
      <c r="E236">
        <f>VLOOKUP(A236,'Basic HH'!$B$1:$Y$321,23,FALSE)</f>
        <v>18840.860295904047</v>
      </c>
      <c r="F236">
        <f>VLOOKUP(A236,'Conc. HH'!$B$1:$Y$321,23,FALSE)</f>
        <v>0</v>
      </c>
      <c r="G236">
        <f>VLOOKUP(A236,'Targeted HH'!$B$1:$Y$321,23,FALSE)</f>
        <v>13355.959985499996</v>
      </c>
      <c r="H236">
        <f>VLOOKUP(A236,'EFIG HH'!$B$1:$Y$321,23,FALSE)</f>
        <v>18415.016995355018</v>
      </c>
      <c r="I236">
        <f t="shared" si="90"/>
        <v>50611.837276759063</v>
      </c>
      <c r="J236">
        <f t="shared" si="91"/>
        <v>41137.999923566567</v>
      </c>
      <c r="K236" s="44">
        <f t="shared" si="92"/>
        <v>47089.677121431079</v>
      </c>
      <c r="L236">
        <f t="shared" si="93"/>
        <v>0</v>
      </c>
      <c r="M236">
        <f t="shared" si="94"/>
        <v>47089.677121431079</v>
      </c>
      <c r="N236">
        <f t="shared" si="95"/>
        <v>44716.97335516537</v>
      </c>
      <c r="O236">
        <f t="shared" si="104"/>
        <v>0</v>
      </c>
      <c r="P236">
        <f t="shared" si="105"/>
        <v>44716.97335516537</v>
      </c>
      <c r="Q236">
        <f t="shared" si="106"/>
        <v>44716.97335516537</v>
      </c>
      <c r="R236">
        <f t="shared" si="107"/>
        <v>0</v>
      </c>
      <c r="S236">
        <f t="shared" si="108"/>
        <v>44716.97335516537</v>
      </c>
      <c r="T236">
        <f t="shared" si="109"/>
        <v>44716.97335516537</v>
      </c>
      <c r="U236">
        <f t="shared" si="110"/>
        <v>0</v>
      </c>
      <c r="V236">
        <f t="shared" si="111"/>
        <v>44716.97335516537</v>
      </c>
      <c r="W236">
        <f t="shared" si="112"/>
        <v>44716.97335516537</v>
      </c>
      <c r="X236" s="44">
        <f t="shared" si="96"/>
        <v>5894.8639215936928</v>
      </c>
      <c r="Y236" s="28">
        <f t="shared" si="97"/>
        <v>344.85135005666143</v>
      </c>
      <c r="Z236" s="28">
        <f t="shared" si="98"/>
        <v>44372.122005108708</v>
      </c>
      <c r="AA236">
        <f t="shared" si="99"/>
        <v>0</v>
      </c>
      <c r="AB236" s="28">
        <f t="shared" si="100"/>
        <v>44372.122005108708</v>
      </c>
      <c r="AD236" s="28">
        <f t="shared" si="101"/>
        <v>0</v>
      </c>
      <c r="AE236" s="28">
        <f t="shared" si="102"/>
        <v>44372.122005108708</v>
      </c>
      <c r="AF236" s="51"/>
      <c r="AG236" t="str">
        <f t="shared" si="103"/>
        <v>5307700</v>
      </c>
    </row>
    <row r="237" spans="1:33" x14ac:dyDescent="0.25">
      <c r="A237" s="7" t="s">
        <v>85</v>
      </c>
      <c r="B237" s="2" t="s">
        <v>1110</v>
      </c>
      <c r="C237" s="4" t="s">
        <v>49</v>
      </c>
      <c r="D237">
        <f>_xlfn.IFNA(VLOOKUP(A237,'Prior Year data'!$A$1:$T$317,12,FALSE),0)</f>
        <v>954.84576711128091</v>
      </c>
      <c r="E237">
        <f>VLOOKUP(A237,'Basic HH'!$B$1:$Y$321,23,FALSE)</f>
        <v>0</v>
      </c>
      <c r="F237">
        <f>VLOOKUP(A237,'Conc. HH'!$B$1:$Y$321,23,FALSE)</f>
        <v>0</v>
      </c>
      <c r="G237">
        <f>VLOOKUP(A237,'Targeted HH'!$B$1:$Y$321,23,FALSE)</f>
        <v>0</v>
      </c>
      <c r="H237">
        <f>VLOOKUP(A237,'EFIG HH'!$B$1:$Y$321,23,FALSE)</f>
        <v>0</v>
      </c>
      <c r="I237">
        <f t="shared" si="90"/>
        <v>0</v>
      </c>
      <c r="J237">
        <f t="shared" si="91"/>
        <v>954.84576711128091</v>
      </c>
      <c r="K237" s="44">
        <f t="shared" si="92"/>
        <v>0</v>
      </c>
      <c r="L237">
        <f t="shared" si="93"/>
        <v>0</v>
      </c>
      <c r="M237">
        <f t="shared" si="94"/>
        <v>0</v>
      </c>
      <c r="N237">
        <f t="shared" si="95"/>
        <v>0</v>
      </c>
      <c r="O237">
        <f t="shared" si="104"/>
        <v>0</v>
      </c>
      <c r="P237">
        <f t="shared" si="105"/>
        <v>0</v>
      </c>
      <c r="Q237">
        <f t="shared" si="106"/>
        <v>0</v>
      </c>
      <c r="R237">
        <f t="shared" si="107"/>
        <v>0</v>
      </c>
      <c r="S237">
        <f t="shared" si="108"/>
        <v>0</v>
      </c>
      <c r="T237">
        <f t="shared" si="109"/>
        <v>0</v>
      </c>
      <c r="U237">
        <f t="shared" si="110"/>
        <v>0</v>
      </c>
      <c r="V237">
        <f t="shared" si="111"/>
        <v>0</v>
      </c>
      <c r="W237">
        <f t="shared" si="112"/>
        <v>0</v>
      </c>
      <c r="X237" s="44">
        <f t="shared" si="96"/>
        <v>0</v>
      </c>
      <c r="Y237" s="28">
        <f t="shared" si="97"/>
        <v>0</v>
      </c>
      <c r="Z237" s="28">
        <f t="shared" si="98"/>
        <v>0</v>
      </c>
      <c r="AA237">
        <f t="shared" si="99"/>
        <v>0</v>
      </c>
      <c r="AB237" s="28">
        <f t="shared" si="100"/>
        <v>0</v>
      </c>
      <c r="AD237" s="28">
        <f t="shared" si="101"/>
        <v>0</v>
      </c>
      <c r="AE237" s="28">
        <f t="shared" si="102"/>
        <v>0</v>
      </c>
      <c r="AF237" s="51"/>
      <c r="AG237" t="str">
        <f t="shared" si="103"/>
        <v>5307690</v>
      </c>
    </row>
    <row r="238" spans="1:33" x14ac:dyDescent="0.25">
      <c r="A238" s="7" t="s">
        <v>62</v>
      </c>
      <c r="B238" s="2" t="s">
        <v>1111</v>
      </c>
      <c r="C238" s="4" t="s">
        <v>25</v>
      </c>
      <c r="D238">
        <f>_xlfn.IFNA(VLOOKUP(A238,'Prior Year data'!$A$1:$T$317,12,FALSE),0)</f>
        <v>16468801.926527068</v>
      </c>
      <c r="E238">
        <f>VLOOKUP(A238,'Basic HH'!$B$1:$Y$321,23,FALSE)</f>
        <v>4980381.373458365</v>
      </c>
      <c r="F238">
        <f>VLOOKUP(A238,'Conc. HH'!$B$1:$Y$321,23,FALSE)</f>
        <v>1244912.2041997914</v>
      </c>
      <c r="G238">
        <f>VLOOKUP(A238,'Targeted HH'!$B$1:$Y$321,23,FALSE)</f>
        <v>4182065.044099085</v>
      </c>
      <c r="H238">
        <f>VLOOKUP(A238,'EFIG HH'!$B$1:$Y$321,23,FALSE)</f>
        <v>5766174.7224740405</v>
      </c>
      <c r="I238">
        <f t="shared" si="90"/>
        <v>16173533.344231281</v>
      </c>
      <c r="J238">
        <f t="shared" si="91"/>
        <v>16468801.926527068</v>
      </c>
      <c r="K238" s="44">
        <f t="shared" si="92"/>
        <v>15047990.82728182</v>
      </c>
      <c r="L238">
        <f t="shared" si="93"/>
        <v>1125542.5169494618</v>
      </c>
      <c r="M238">
        <f t="shared" si="94"/>
        <v>0</v>
      </c>
      <c r="N238">
        <f t="shared" si="95"/>
        <v>16173533.344231281</v>
      </c>
      <c r="O238">
        <f t="shared" si="104"/>
        <v>0</v>
      </c>
      <c r="P238">
        <f t="shared" si="105"/>
        <v>0</v>
      </c>
      <c r="Q238">
        <f t="shared" si="106"/>
        <v>16173533.344231281</v>
      </c>
      <c r="R238">
        <f t="shared" si="107"/>
        <v>0</v>
      </c>
      <c r="S238">
        <f t="shared" si="108"/>
        <v>0</v>
      </c>
      <c r="T238">
        <f t="shared" si="109"/>
        <v>16173533.344231281</v>
      </c>
      <c r="U238">
        <f t="shared" si="110"/>
        <v>0</v>
      </c>
      <c r="V238">
        <f t="shared" si="111"/>
        <v>0</v>
      </c>
      <c r="W238">
        <f t="shared" si="112"/>
        <v>16173533.344231281</v>
      </c>
      <c r="X238" s="44">
        <f t="shared" si="96"/>
        <v>0</v>
      </c>
      <c r="Y238" s="28">
        <f t="shared" si="97"/>
        <v>124728.13767258964</v>
      </c>
      <c r="Z238" s="28">
        <f t="shared" si="98"/>
        <v>16048805.206558691</v>
      </c>
      <c r="AA238">
        <f t="shared" si="99"/>
        <v>0</v>
      </c>
      <c r="AB238" s="28">
        <f t="shared" si="100"/>
        <v>16048805.206558691</v>
      </c>
      <c r="AD238" s="28">
        <f t="shared" si="101"/>
        <v>0</v>
      </c>
      <c r="AE238" s="28">
        <f t="shared" si="102"/>
        <v>16048805.206558691</v>
      </c>
      <c r="AF238" s="51"/>
      <c r="AG238" t="str">
        <f t="shared" si="103"/>
        <v>5307710</v>
      </c>
    </row>
    <row r="239" spans="1:33" x14ac:dyDescent="0.25">
      <c r="A239" s="7" t="s">
        <v>304</v>
      </c>
      <c r="B239" s="2" t="s">
        <v>1113</v>
      </c>
      <c r="C239" s="4" t="s">
        <v>1112</v>
      </c>
      <c r="D239">
        <f>_xlfn.IFNA(VLOOKUP(A239,'Prior Year data'!$A$1:$T$317,12,FALSE),0)</f>
        <v>1001971.4388949209</v>
      </c>
      <c r="E239">
        <f>VLOOKUP(A239,'Basic HH'!$B$1:$Y$321,23,FALSE)</f>
        <v>534141.48256185756</v>
      </c>
      <c r="F239">
        <f>VLOOKUP(A239,'Conc. HH'!$B$1:$Y$321,23,FALSE)</f>
        <v>0</v>
      </c>
      <c r="G239">
        <f>VLOOKUP(A239,'Targeted HH'!$B$1:$Y$321,23,FALSE)</f>
        <v>255601.30293764672</v>
      </c>
      <c r="H239">
        <f>VLOOKUP(A239,'EFIG HH'!$B$1:$Y$321,23,FALSE)</f>
        <v>352419.61961115029</v>
      </c>
      <c r="I239">
        <f t="shared" si="90"/>
        <v>1142162.4051106547</v>
      </c>
      <c r="J239">
        <f t="shared" si="91"/>
        <v>1001971.4388949209</v>
      </c>
      <c r="K239" s="44">
        <f t="shared" si="92"/>
        <v>1062677.4638271334</v>
      </c>
      <c r="L239">
        <f t="shared" si="93"/>
        <v>0</v>
      </c>
      <c r="M239">
        <f t="shared" si="94"/>
        <v>1062677.4638271334</v>
      </c>
      <c r="N239">
        <f t="shared" si="95"/>
        <v>1009132.4200960775</v>
      </c>
      <c r="O239">
        <f t="shared" si="104"/>
        <v>0</v>
      </c>
      <c r="P239">
        <f t="shared" si="105"/>
        <v>1009132.4200960775</v>
      </c>
      <c r="Q239">
        <f t="shared" si="106"/>
        <v>1009132.4200960775</v>
      </c>
      <c r="R239">
        <f t="shared" si="107"/>
        <v>0</v>
      </c>
      <c r="S239">
        <f t="shared" si="108"/>
        <v>1009132.4200960775</v>
      </c>
      <c r="T239">
        <f t="shared" si="109"/>
        <v>1009132.4200960775</v>
      </c>
      <c r="U239">
        <f t="shared" si="110"/>
        <v>0</v>
      </c>
      <c r="V239">
        <f t="shared" si="111"/>
        <v>1009132.4200960775</v>
      </c>
      <c r="W239">
        <f t="shared" si="112"/>
        <v>1009132.4200960775</v>
      </c>
      <c r="X239" s="44">
        <f t="shared" si="96"/>
        <v>133029.98501457716</v>
      </c>
      <c r="Y239" s="28">
        <f t="shared" si="97"/>
        <v>7782.2949843245588</v>
      </c>
      <c r="Z239" s="28">
        <f t="shared" si="98"/>
        <v>1001350.1251117529</v>
      </c>
      <c r="AA239">
        <f t="shared" si="99"/>
        <v>0</v>
      </c>
      <c r="AB239" s="28">
        <f t="shared" si="100"/>
        <v>1001350.1251117529</v>
      </c>
      <c r="AD239" s="28">
        <f t="shared" si="101"/>
        <v>0</v>
      </c>
      <c r="AE239" s="28">
        <f t="shared" si="102"/>
        <v>1001350.1251117529</v>
      </c>
      <c r="AF239" s="51"/>
      <c r="AG239" t="str">
        <f t="shared" si="103"/>
        <v>5307740</v>
      </c>
    </row>
    <row r="240" spans="1:33" x14ac:dyDescent="0.25">
      <c r="A240" s="7" t="s">
        <v>578</v>
      </c>
      <c r="B240" s="2" t="s">
        <v>1115</v>
      </c>
      <c r="C240" s="4" t="s">
        <v>1114</v>
      </c>
      <c r="D240">
        <f>_xlfn.IFNA(VLOOKUP(A240,'Prior Year data'!$A$1:$T$317,12,FALSE),0)</f>
        <v>762487.99523168197</v>
      </c>
      <c r="E240">
        <f>VLOOKUP(A240,'Basic HH'!$B$1:$Y$321,23,FALSE)</f>
        <v>410282.58805476036</v>
      </c>
      <c r="F240">
        <f>VLOOKUP(A240,'Conc. HH'!$B$1:$Y$321,23,FALSE)</f>
        <v>0</v>
      </c>
      <c r="G240">
        <f>VLOOKUP(A240,'Targeted HH'!$B$1:$Y$321,23,FALSE)</f>
        <v>196331.43558978659</v>
      </c>
      <c r="H240">
        <f>VLOOKUP(A240,'EFIG HH'!$B$1:$Y$321,23,FALSE)</f>
        <v>270699.12810711551</v>
      </c>
      <c r="I240">
        <f t="shared" si="90"/>
        <v>877313.15175166249</v>
      </c>
      <c r="J240">
        <f t="shared" si="91"/>
        <v>762487.99523168197</v>
      </c>
      <c r="K240" s="44">
        <f t="shared" si="92"/>
        <v>816259.50120055198</v>
      </c>
      <c r="L240">
        <f t="shared" si="93"/>
        <v>0</v>
      </c>
      <c r="M240">
        <f t="shared" si="94"/>
        <v>816259.50120055198</v>
      </c>
      <c r="N240">
        <f t="shared" si="95"/>
        <v>775130.69949408877</v>
      </c>
      <c r="O240">
        <f t="shared" si="104"/>
        <v>0</v>
      </c>
      <c r="P240">
        <f t="shared" si="105"/>
        <v>775130.69949408877</v>
      </c>
      <c r="Q240">
        <f t="shared" si="106"/>
        <v>775130.69949408877</v>
      </c>
      <c r="R240">
        <f t="shared" si="107"/>
        <v>0</v>
      </c>
      <c r="S240">
        <f t="shared" si="108"/>
        <v>775130.69949408877</v>
      </c>
      <c r="T240">
        <f t="shared" si="109"/>
        <v>775130.69949408877</v>
      </c>
      <c r="U240">
        <f t="shared" si="110"/>
        <v>0</v>
      </c>
      <c r="V240">
        <f t="shared" si="111"/>
        <v>775130.69949408877</v>
      </c>
      <c r="W240">
        <f t="shared" si="112"/>
        <v>775130.69949408877</v>
      </c>
      <c r="X240" s="44">
        <f t="shared" si="96"/>
        <v>102182.45225757372</v>
      </c>
      <c r="Y240" s="28">
        <f t="shared" si="97"/>
        <v>5977.7048430319091</v>
      </c>
      <c r="Z240" s="28">
        <f t="shared" si="98"/>
        <v>769152.99465105683</v>
      </c>
      <c r="AA240">
        <f t="shared" si="99"/>
        <v>0</v>
      </c>
      <c r="AB240" s="28">
        <f t="shared" si="100"/>
        <v>769152.99465105683</v>
      </c>
      <c r="AD240" s="28">
        <f t="shared" si="101"/>
        <v>0</v>
      </c>
      <c r="AE240" s="28">
        <f t="shared" si="102"/>
        <v>769152.99465105683</v>
      </c>
      <c r="AF240" s="51"/>
      <c r="AG240" t="str">
        <f t="shared" si="103"/>
        <v>5307770</v>
      </c>
    </row>
    <row r="241" spans="1:33" x14ac:dyDescent="0.25">
      <c r="A241" s="7" t="s">
        <v>580</v>
      </c>
      <c r="B241" s="2" t="s">
        <v>1117</v>
      </c>
      <c r="C241" s="4" t="s">
        <v>1116</v>
      </c>
      <c r="D241">
        <f>_xlfn.IFNA(VLOOKUP(A241,'Prior Year data'!$A$1:$T$317,12,FALSE),0)</f>
        <v>161424.49255483312</v>
      </c>
      <c r="E241">
        <f>VLOOKUP(A241,'Basic HH'!$B$1:$Y$321,23,FALSE)</f>
        <v>73971.284219516499</v>
      </c>
      <c r="F241">
        <f>VLOOKUP(A241,'Conc. HH'!$B$1:$Y$321,23,FALSE)</f>
        <v>19445.391114223628</v>
      </c>
      <c r="G241">
        <f>VLOOKUP(A241,'Targeted HH'!$B$1:$Y$321,23,FALSE)</f>
        <v>52192.633590224606</v>
      </c>
      <c r="H241">
        <f>VLOOKUP(A241,'EFIG HH'!$B$1:$Y$321,23,FALSE)</f>
        <v>71962.497315039873</v>
      </c>
      <c r="I241">
        <f t="shared" si="90"/>
        <v>217571.8062390046</v>
      </c>
      <c r="J241">
        <f t="shared" si="91"/>
        <v>161424.49255483312</v>
      </c>
      <c r="K241" s="44">
        <f t="shared" si="92"/>
        <v>202430.6300223163</v>
      </c>
      <c r="L241">
        <f t="shared" si="93"/>
        <v>0</v>
      </c>
      <c r="M241">
        <f t="shared" si="94"/>
        <v>202430.6300223163</v>
      </c>
      <c r="N241">
        <f t="shared" si="95"/>
        <v>192230.7741808139</v>
      </c>
      <c r="O241">
        <f t="shared" si="104"/>
        <v>0</v>
      </c>
      <c r="P241">
        <f t="shared" si="105"/>
        <v>192230.7741808139</v>
      </c>
      <c r="Q241">
        <f t="shared" si="106"/>
        <v>192230.7741808139</v>
      </c>
      <c r="R241">
        <f t="shared" si="107"/>
        <v>0</v>
      </c>
      <c r="S241">
        <f t="shared" si="108"/>
        <v>192230.7741808139</v>
      </c>
      <c r="T241">
        <f t="shared" si="109"/>
        <v>192230.7741808139</v>
      </c>
      <c r="U241">
        <f t="shared" si="110"/>
        <v>0</v>
      </c>
      <c r="V241">
        <f t="shared" si="111"/>
        <v>192230.7741808139</v>
      </c>
      <c r="W241">
        <f t="shared" si="112"/>
        <v>192230.7741808139</v>
      </c>
      <c r="X241" s="44">
        <f t="shared" si="96"/>
        <v>25341.0320581907</v>
      </c>
      <c r="Y241" s="28">
        <f t="shared" si="97"/>
        <v>1482.4581590568102</v>
      </c>
      <c r="Z241" s="28">
        <f t="shared" si="98"/>
        <v>190748.31602175708</v>
      </c>
      <c r="AA241">
        <f t="shared" si="99"/>
        <v>0</v>
      </c>
      <c r="AB241" s="28">
        <f t="shared" si="100"/>
        <v>190748.31602175708</v>
      </c>
      <c r="AD241" s="28">
        <f t="shared" si="101"/>
        <v>0</v>
      </c>
      <c r="AE241" s="28">
        <f t="shared" si="102"/>
        <v>190748.31602175708</v>
      </c>
      <c r="AF241" s="51"/>
      <c r="AG241" t="str">
        <f t="shared" si="103"/>
        <v>5307800</v>
      </c>
    </row>
    <row r="242" spans="1:33" x14ac:dyDescent="0.25">
      <c r="A242" s="7" t="s">
        <v>582</v>
      </c>
      <c r="B242" s="2" t="s">
        <v>1119</v>
      </c>
      <c r="C242" s="4" t="s">
        <v>1118</v>
      </c>
      <c r="D242">
        <f>_xlfn.IFNA(VLOOKUP(A242,'Prior Year data'!$A$1:$T$317,12,FALSE),0)</f>
        <v>908060.4846421777</v>
      </c>
      <c r="E242">
        <f>VLOOKUP(A242,'Basic HH'!$B$1:$Y$321,23,FALSE)</f>
        <v>363835.50261459884</v>
      </c>
      <c r="F242">
        <f>VLOOKUP(A242,'Conc. HH'!$B$1:$Y$321,23,FALSE)</f>
        <v>89749.382623509067</v>
      </c>
      <c r="G242">
        <f>VLOOKUP(A242,'Targeted HH'!$B$1:$Y$321,23,FALSE)</f>
        <v>174105.23533433906</v>
      </c>
      <c r="H242">
        <f>VLOOKUP(A242,'EFIG HH'!$B$1:$Y$321,23,FALSE)</f>
        <v>240053.94379310237</v>
      </c>
      <c r="I242">
        <f t="shared" si="90"/>
        <v>867744.06436554936</v>
      </c>
      <c r="J242">
        <f t="shared" si="91"/>
        <v>908060.4846421777</v>
      </c>
      <c r="K242" s="44">
        <f t="shared" si="92"/>
        <v>807356.34218471148</v>
      </c>
      <c r="L242">
        <f t="shared" si="93"/>
        <v>60387.722180837882</v>
      </c>
      <c r="M242">
        <f t="shared" si="94"/>
        <v>0</v>
      </c>
      <c r="N242">
        <f t="shared" si="95"/>
        <v>867744.06436554936</v>
      </c>
      <c r="O242">
        <f t="shared" si="104"/>
        <v>0</v>
      </c>
      <c r="P242">
        <f t="shared" si="105"/>
        <v>0</v>
      </c>
      <c r="Q242">
        <f t="shared" si="106"/>
        <v>867744.06436554936</v>
      </c>
      <c r="R242">
        <f t="shared" si="107"/>
        <v>0</v>
      </c>
      <c r="S242">
        <f t="shared" si="108"/>
        <v>0</v>
      </c>
      <c r="T242">
        <f t="shared" si="109"/>
        <v>867744.06436554936</v>
      </c>
      <c r="U242">
        <f t="shared" si="110"/>
        <v>0</v>
      </c>
      <c r="V242">
        <f t="shared" si="111"/>
        <v>0</v>
      </c>
      <c r="W242">
        <f t="shared" si="112"/>
        <v>867744.06436554936</v>
      </c>
      <c r="X242" s="44">
        <f t="shared" si="96"/>
        <v>0</v>
      </c>
      <c r="Y242" s="28">
        <f t="shared" si="97"/>
        <v>6691.926793062974</v>
      </c>
      <c r="Z242" s="28">
        <f t="shared" si="98"/>
        <v>861052.13757248642</v>
      </c>
      <c r="AA242">
        <f t="shared" si="99"/>
        <v>0</v>
      </c>
      <c r="AB242" s="28">
        <f t="shared" si="100"/>
        <v>861052.13757248642</v>
      </c>
      <c r="AD242" s="28">
        <f t="shared" si="101"/>
        <v>0</v>
      </c>
      <c r="AE242" s="28">
        <f t="shared" si="102"/>
        <v>861052.13757248642</v>
      </c>
      <c r="AF242" s="51"/>
      <c r="AG242" t="str">
        <f t="shared" si="103"/>
        <v>5307830</v>
      </c>
    </row>
    <row r="243" spans="1:33" x14ac:dyDescent="0.25">
      <c r="A243" s="7" t="s">
        <v>213</v>
      </c>
      <c r="B243" s="2" t="s">
        <v>1121</v>
      </c>
      <c r="C243" s="4" t="s">
        <v>1120</v>
      </c>
      <c r="D243">
        <f>_xlfn.IFNA(VLOOKUP(A243,'Prior Year data'!$A$1:$T$317,12,FALSE),0)</f>
        <v>0</v>
      </c>
      <c r="E243">
        <f>VLOOKUP(A243,'Basic HH'!$B$1:$Y$321,23,FALSE)</f>
        <v>0</v>
      </c>
      <c r="F243">
        <f>VLOOKUP(A243,'Conc. HH'!$B$1:$Y$321,23,FALSE)</f>
        <v>0</v>
      </c>
      <c r="G243">
        <f>VLOOKUP(A243,'Targeted HH'!$B$1:$Y$321,23,FALSE)</f>
        <v>0</v>
      </c>
      <c r="H243">
        <f>VLOOKUP(A243,'EFIG HH'!$B$1:$Y$321,23,FALSE)</f>
        <v>0</v>
      </c>
      <c r="I243">
        <f t="shared" si="90"/>
        <v>0</v>
      </c>
      <c r="J243">
        <f t="shared" si="91"/>
        <v>0</v>
      </c>
      <c r="K243" s="44">
        <f t="shared" si="92"/>
        <v>0</v>
      </c>
      <c r="L243">
        <f t="shared" si="93"/>
        <v>0</v>
      </c>
      <c r="M243">
        <f t="shared" si="94"/>
        <v>0</v>
      </c>
      <c r="N243">
        <f t="shared" si="95"/>
        <v>0</v>
      </c>
      <c r="O243">
        <f t="shared" si="104"/>
        <v>0</v>
      </c>
      <c r="P243">
        <f t="shared" si="105"/>
        <v>0</v>
      </c>
      <c r="Q243">
        <f t="shared" si="106"/>
        <v>0</v>
      </c>
      <c r="R243">
        <f t="shared" si="107"/>
        <v>0</v>
      </c>
      <c r="S243">
        <f t="shared" si="108"/>
        <v>0</v>
      </c>
      <c r="T243">
        <f t="shared" si="109"/>
        <v>0</v>
      </c>
      <c r="U243">
        <f t="shared" si="110"/>
        <v>0</v>
      </c>
      <c r="V243">
        <f t="shared" si="111"/>
        <v>0</v>
      </c>
      <c r="W243">
        <f t="shared" si="112"/>
        <v>0</v>
      </c>
      <c r="X243" s="44">
        <f t="shared" si="96"/>
        <v>0</v>
      </c>
      <c r="Y243" s="28">
        <f t="shared" si="97"/>
        <v>0</v>
      </c>
      <c r="Z243" s="28">
        <f t="shared" si="98"/>
        <v>0</v>
      </c>
      <c r="AA243">
        <f t="shared" si="99"/>
        <v>0</v>
      </c>
      <c r="AB243" s="28">
        <f t="shared" si="100"/>
        <v>0</v>
      </c>
      <c r="AD243" s="28">
        <f t="shared" si="101"/>
        <v>0</v>
      </c>
      <c r="AE243" s="28">
        <f t="shared" si="102"/>
        <v>0</v>
      </c>
      <c r="AF243" s="51"/>
      <c r="AG243" t="str">
        <f t="shared" si="103"/>
        <v>5307860</v>
      </c>
    </row>
    <row r="244" spans="1:33" x14ac:dyDescent="0.25">
      <c r="A244" s="7" t="s">
        <v>584</v>
      </c>
      <c r="B244" s="2" t="s">
        <v>1123</v>
      </c>
      <c r="C244" s="4" t="s">
        <v>1122</v>
      </c>
      <c r="D244">
        <f>_xlfn.IFNA(VLOOKUP(A244,'Prior Year data'!$A$1:$T$317,12,FALSE),0)</f>
        <v>1796921.1694907716</v>
      </c>
      <c r="E244">
        <f>VLOOKUP(A244,'Basic HH'!$B$1:$Y$321,23,FALSE)</f>
        <v>634116.90279073548</v>
      </c>
      <c r="F244">
        <f>VLOOKUP(A244,'Conc. HH'!$B$1:$Y$321,23,FALSE)</f>
        <v>161053.07640045992</v>
      </c>
      <c r="G244">
        <f>VLOOKUP(A244,'Targeted HH'!$B$1:$Y$321,23,FALSE)</f>
        <v>357509.21125617286</v>
      </c>
      <c r="H244">
        <f>VLOOKUP(A244,'EFIG HH'!$B$1:$Y$321,23,FALSE)</f>
        <v>477210.91253994376</v>
      </c>
      <c r="I244">
        <f t="shared" si="90"/>
        <v>1629890.102987312</v>
      </c>
      <c r="J244">
        <f t="shared" si="91"/>
        <v>1796921.1694907716</v>
      </c>
      <c r="K244" s="44">
        <f t="shared" si="92"/>
        <v>1516463.3971573405</v>
      </c>
      <c r="L244">
        <f t="shared" si="93"/>
        <v>113426.70582997147</v>
      </c>
      <c r="M244">
        <f t="shared" si="94"/>
        <v>0</v>
      </c>
      <c r="N244">
        <f t="shared" si="95"/>
        <v>1629890.102987312</v>
      </c>
      <c r="O244">
        <f t="shared" si="104"/>
        <v>0</v>
      </c>
      <c r="P244">
        <f t="shared" si="105"/>
        <v>0</v>
      </c>
      <c r="Q244">
        <f t="shared" si="106"/>
        <v>1629890.102987312</v>
      </c>
      <c r="R244">
        <f t="shared" si="107"/>
        <v>0</v>
      </c>
      <c r="S244">
        <f t="shared" si="108"/>
        <v>0</v>
      </c>
      <c r="T244">
        <f t="shared" si="109"/>
        <v>1629890.102987312</v>
      </c>
      <c r="U244">
        <f t="shared" si="110"/>
        <v>0</v>
      </c>
      <c r="V244">
        <f t="shared" si="111"/>
        <v>0</v>
      </c>
      <c r="W244">
        <f t="shared" si="112"/>
        <v>1629890.102987312</v>
      </c>
      <c r="X244" s="44">
        <f t="shared" si="96"/>
        <v>0</v>
      </c>
      <c r="Y244" s="28">
        <f t="shared" si="97"/>
        <v>12569.495658727079</v>
      </c>
      <c r="Z244" s="28">
        <f t="shared" si="98"/>
        <v>1617320.6073285849</v>
      </c>
      <c r="AA244">
        <f t="shared" si="99"/>
        <v>0</v>
      </c>
      <c r="AB244" s="28">
        <f t="shared" si="100"/>
        <v>1617320.6073285849</v>
      </c>
      <c r="AD244" s="28">
        <f t="shared" si="101"/>
        <v>0</v>
      </c>
      <c r="AE244" s="28">
        <f t="shared" si="102"/>
        <v>1617320.6073285849</v>
      </c>
      <c r="AF244" s="51"/>
      <c r="AG244" t="str">
        <f t="shared" si="103"/>
        <v>5307900</v>
      </c>
    </row>
    <row r="245" spans="1:33" x14ac:dyDescent="0.25">
      <c r="A245" s="7" t="s">
        <v>215</v>
      </c>
      <c r="B245" s="2" t="s">
        <v>1125</v>
      </c>
      <c r="C245" s="4" t="s">
        <v>1124</v>
      </c>
      <c r="D245">
        <f>_xlfn.IFNA(VLOOKUP(A245,'Prior Year data'!$A$1:$T$317,12,FALSE),0)</f>
        <v>1295804.5351579695</v>
      </c>
      <c r="E245">
        <f>VLOOKUP(A245,'Basic HH'!$B$1:$Y$321,23,FALSE)</f>
        <v>556251.59276398411</v>
      </c>
      <c r="F245">
        <f>VLOOKUP(A245,'Conc. HH'!$B$1:$Y$321,23,FALSE)</f>
        <v>0</v>
      </c>
      <c r="G245">
        <f>VLOOKUP(A245,'Targeted HH'!$B$1:$Y$321,23,FALSE)</f>
        <v>290252.82296512934</v>
      </c>
      <c r="H245">
        <f>VLOOKUP(A245,'EFIG HH'!$B$1:$Y$321,23,FALSE)</f>
        <v>400239.38829859684</v>
      </c>
      <c r="I245">
        <f t="shared" si="90"/>
        <v>1246743.8040277101</v>
      </c>
      <c r="J245">
        <f t="shared" si="91"/>
        <v>1295804.5351579695</v>
      </c>
      <c r="K245" s="44">
        <f t="shared" si="92"/>
        <v>1159980.872928489</v>
      </c>
      <c r="L245">
        <f t="shared" si="93"/>
        <v>86762.93109922111</v>
      </c>
      <c r="M245">
        <f t="shared" si="94"/>
        <v>0</v>
      </c>
      <c r="N245">
        <f t="shared" si="95"/>
        <v>1246743.8040277101</v>
      </c>
      <c r="O245">
        <f t="shared" si="104"/>
        <v>0</v>
      </c>
      <c r="P245">
        <f t="shared" si="105"/>
        <v>0</v>
      </c>
      <c r="Q245">
        <f t="shared" si="106"/>
        <v>1246743.8040277101</v>
      </c>
      <c r="R245">
        <f t="shared" si="107"/>
        <v>0</v>
      </c>
      <c r="S245">
        <f t="shared" si="108"/>
        <v>0</v>
      </c>
      <c r="T245">
        <f t="shared" si="109"/>
        <v>1246743.8040277101</v>
      </c>
      <c r="U245">
        <f t="shared" si="110"/>
        <v>0</v>
      </c>
      <c r="V245">
        <f t="shared" si="111"/>
        <v>0</v>
      </c>
      <c r="W245">
        <f t="shared" si="112"/>
        <v>1246743.8040277101</v>
      </c>
      <c r="X245" s="44">
        <f t="shared" si="96"/>
        <v>0</v>
      </c>
      <c r="Y245" s="28">
        <f t="shared" si="97"/>
        <v>9614.7223690413302</v>
      </c>
      <c r="Z245" s="28">
        <f t="shared" si="98"/>
        <v>1237129.0816586688</v>
      </c>
      <c r="AA245">
        <f t="shared" si="99"/>
        <v>0</v>
      </c>
      <c r="AB245" s="28">
        <f t="shared" si="100"/>
        <v>1237129.0816586688</v>
      </c>
      <c r="AD245" s="28">
        <f t="shared" si="101"/>
        <v>0</v>
      </c>
      <c r="AE245" s="28">
        <f t="shared" si="102"/>
        <v>1237129.0816586688</v>
      </c>
      <c r="AF245" s="51"/>
      <c r="AG245" t="str">
        <f t="shared" si="103"/>
        <v>5307920</v>
      </c>
    </row>
    <row r="246" spans="1:33" x14ac:dyDescent="0.25">
      <c r="A246" s="7" t="s">
        <v>306</v>
      </c>
      <c r="B246" s="2" t="s">
        <v>1127</v>
      </c>
      <c r="C246" s="4" t="s">
        <v>1126</v>
      </c>
      <c r="D246">
        <f>_xlfn.IFNA(VLOOKUP(A246,'Prior Year data'!$A$1:$T$317,12,FALSE),0)</f>
        <v>21547.772879460659</v>
      </c>
      <c r="E246">
        <f>VLOOKUP(A246,'Basic HH'!$B$1:$Y$321,23,FALSE)</f>
        <v>11181.705754112967</v>
      </c>
      <c r="F246">
        <f>VLOOKUP(A246,'Conc. HH'!$B$1:$Y$321,23,FALSE)</f>
        <v>0</v>
      </c>
      <c r="G246">
        <f>VLOOKUP(A246,'Targeted HH'!$B$1:$Y$321,23,FALSE)</f>
        <v>5350.7519133484848</v>
      </c>
      <c r="H246">
        <f>VLOOKUP(A246,'EFIG HH'!$B$1:$Y$321,23,FALSE)</f>
        <v>7377.544371892036</v>
      </c>
      <c r="I246">
        <f t="shared" si="90"/>
        <v>23910.002039353487</v>
      </c>
      <c r="J246">
        <f t="shared" si="91"/>
        <v>21547.772879460659</v>
      </c>
      <c r="K246" s="44">
        <f t="shared" si="92"/>
        <v>22246.066070455297</v>
      </c>
      <c r="L246">
        <f t="shared" si="93"/>
        <v>0</v>
      </c>
      <c r="M246">
        <f t="shared" si="94"/>
        <v>22246.066070455297</v>
      </c>
      <c r="N246">
        <f t="shared" si="95"/>
        <v>21125.155332124014</v>
      </c>
      <c r="O246">
        <f t="shared" si="104"/>
        <v>422.61754733664566</v>
      </c>
      <c r="P246">
        <f t="shared" si="105"/>
        <v>0</v>
      </c>
      <c r="Q246">
        <f t="shared" si="106"/>
        <v>21125.155332124014</v>
      </c>
      <c r="R246">
        <f t="shared" si="107"/>
        <v>0</v>
      </c>
      <c r="S246">
        <f t="shared" si="108"/>
        <v>0</v>
      </c>
      <c r="T246">
        <f t="shared" si="109"/>
        <v>21125.155332124014</v>
      </c>
      <c r="U246">
        <f t="shared" si="110"/>
        <v>422.61754733664566</v>
      </c>
      <c r="V246">
        <f t="shared" si="111"/>
        <v>0</v>
      </c>
      <c r="W246">
        <f t="shared" si="112"/>
        <v>21125.155332124014</v>
      </c>
      <c r="X246" s="44">
        <f t="shared" si="96"/>
        <v>2784.8467072294734</v>
      </c>
      <c r="Y246" s="28">
        <f t="shared" si="97"/>
        <v>162.91438775558663</v>
      </c>
      <c r="Z246" s="28">
        <f t="shared" si="98"/>
        <v>20962.240944368426</v>
      </c>
      <c r="AA246">
        <f t="shared" si="99"/>
        <v>0</v>
      </c>
      <c r="AB246" s="28">
        <f t="shared" si="100"/>
        <v>20962.240944368426</v>
      </c>
      <c r="AD246" s="28">
        <f t="shared" si="101"/>
        <v>0</v>
      </c>
      <c r="AE246" s="28">
        <f t="shared" si="102"/>
        <v>20962.240944368426</v>
      </c>
      <c r="AF246" s="51"/>
      <c r="AG246" t="str">
        <f t="shared" si="103"/>
        <v>5307950</v>
      </c>
    </row>
    <row r="247" spans="1:33" x14ac:dyDescent="0.25">
      <c r="A247" s="7" t="s">
        <v>217</v>
      </c>
      <c r="B247" s="2" t="s">
        <v>1129</v>
      </c>
      <c r="C247" s="4" t="s">
        <v>1128</v>
      </c>
      <c r="D247">
        <f>_xlfn.IFNA(VLOOKUP(A247,'Prior Year data'!$A$1:$T$317,12,FALSE),0)</f>
        <v>17281.584593040319</v>
      </c>
      <c r="E247">
        <f>VLOOKUP(A247,'Basic HH'!$B$1:$Y$321,23,FALSE)</f>
        <v>0</v>
      </c>
      <c r="F247">
        <f>VLOOKUP(A247,'Conc. HH'!$B$1:$Y$321,23,FALSE)</f>
        <v>0</v>
      </c>
      <c r="G247">
        <f>VLOOKUP(A247,'Targeted HH'!$B$1:$Y$321,23,FALSE)</f>
        <v>0</v>
      </c>
      <c r="H247">
        <f>VLOOKUP(A247,'EFIG HH'!$B$1:$Y$321,23,FALSE)</f>
        <v>0</v>
      </c>
      <c r="I247">
        <f t="shared" si="90"/>
        <v>0</v>
      </c>
      <c r="J247">
        <f t="shared" si="91"/>
        <v>17281.584593040319</v>
      </c>
      <c r="K247" s="44">
        <f t="shared" si="92"/>
        <v>0</v>
      </c>
      <c r="L247">
        <f t="shared" si="93"/>
        <v>0</v>
      </c>
      <c r="M247">
        <f t="shared" si="94"/>
        <v>0</v>
      </c>
      <c r="N247">
        <f t="shared" si="95"/>
        <v>0</v>
      </c>
      <c r="O247">
        <f t="shared" si="104"/>
        <v>0</v>
      </c>
      <c r="P247">
        <f t="shared" si="105"/>
        <v>0</v>
      </c>
      <c r="Q247">
        <f t="shared" si="106"/>
        <v>0</v>
      </c>
      <c r="R247">
        <f t="shared" si="107"/>
        <v>0</v>
      </c>
      <c r="S247">
        <f t="shared" si="108"/>
        <v>0</v>
      </c>
      <c r="T247">
        <f t="shared" si="109"/>
        <v>0</v>
      </c>
      <c r="U247">
        <f t="shared" si="110"/>
        <v>0</v>
      </c>
      <c r="V247">
        <f t="shared" si="111"/>
        <v>0</v>
      </c>
      <c r="W247">
        <f t="shared" si="112"/>
        <v>0</v>
      </c>
      <c r="X247" s="44">
        <f t="shared" si="96"/>
        <v>0</v>
      </c>
      <c r="Y247" s="28">
        <f t="shared" si="97"/>
        <v>0</v>
      </c>
      <c r="Z247" s="28">
        <f t="shared" si="98"/>
        <v>0</v>
      </c>
      <c r="AA247">
        <f t="shared" si="99"/>
        <v>0</v>
      </c>
      <c r="AB247" s="28">
        <f t="shared" si="100"/>
        <v>0</v>
      </c>
      <c r="AD247" s="28">
        <f t="shared" si="101"/>
        <v>0</v>
      </c>
      <c r="AE247" s="28">
        <f t="shared" si="102"/>
        <v>0</v>
      </c>
      <c r="AF247" s="51"/>
      <c r="AG247" t="str">
        <f t="shared" si="103"/>
        <v>5307980</v>
      </c>
    </row>
    <row r="248" spans="1:33" x14ac:dyDescent="0.25">
      <c r="A248" s="7" t="s">
        <v>219</v>
      </c>
      <c r="B248" s="2" t="s">
        <v>1131</v>
      </c>
      <c r="C248" s="4" t="s">
        <v>1130</v>
      </c>
      <c r="D248">
        <f>_xlfn.IFNA(VLOOKUP(A248,'Prior Year data'!$A$1:$T$317,12,FALSE),0)</f>
        <v>371845.7848689172</v>
      </c>
      <c r="E248">
        <f>VLOOKUP(A248,'Basic HH'!$B$1:$Y$321,23,FALSE)</f>
        <v>484253.87227427692</v>
      </c>
      <c r="F248">
        <f>VLOOKUP(A248,'Conc. HH'!$B$1:$Y$321,23,FALSE)</f>
        <v>0</v>
      </c>
      <c r="G248">
        <f>VLOOKUP(A248,'Targeted HH'!$B$1:$Y$321,23,FALSE)</f>
        <v>231728.71747809197</v>
      </c>
      <c r="H248">
        <f>VLOOKUP(A248,'EFIG HH'!$B$1:$Y$321,23,FALSE)</f>
        <v>319504.42164424749</v>
      </c>
      <c r="I248">
        <f t="shared" si="90"/>
        <v>1035487.0113966163</v>
      </c>
      <c r="J248">
        <f t="shared" si="91"/>
        <v>371845.7848689172</v>
      </c>
      <c r="K248" s="44">
        <f t="shared" si="92"/>
        <v>963425.78443587164</v>
      </c>
      <c r="L248">
        <f t="shared" si="93"/>
        <v>0</v>
      </c>
      <c r="M248">
        <f t="shared" si="94"/>
        <v>963425.78443587164</v>
      </c>
      <c r="N248">
        <f t="shared" si="95"/>
        <v>914881.7270758322</v>
      </c>
      <c r="O248">
        <f t="shared" si="104"/>
        <v>0</v>
      </c>
      <c r="P248">
        <f t="shared" si="105"/>
        <v>914881.7270758322</v>
      </c>
      <c r="Q248">
        <f t="shared" si="106"/>
        <v>914881.7270758322</v>
      </c>
      <c r="R248">
        <f t="shared" si="107"/>
        <v>0</v>
      </c>
      <c r="S248">
        <f t="shared" si="108"/>
        <v>914881.7270758322</v>
      </c>
      <c r="T248">
        <f t="shared" si="109"/>
        <v>914881.7270758322</v>
      </c>
      <c r="U248">
        <f t="shared" si="110"/>
        <v>0</v>
      </c>
      <c r="V248">
        <f t="shared" si="111"/>
        <v>914881.7270758322</v>
      </c>
      <c r="W248">
        <f t="shared" si="112"/>
        <v>914881.7270758322</v>
      </c>
      <c r="X248" s="44">
        <f t="shared" si="96"/>
        <v>120605.28432078415</v>
      </c>
      <c r="Y248" s="28">
        <f t="shared" si="97"/>
        <v>7055.4461774150204</v>
      </c>
      <c r="Z248" s="28">
        <f t="shared" si="98"/>
        <v>907826.28089841723</v>
      </c>
      <c r="AA248">
        <f t="shared" si="99"/>
        <v>0</v>
      </c>
      <c r="AB248" s="28">
        <f t="shared" si="100"/>
        <v>907826.28089841723</v>
      </c>
      <c r="AD248" s="28">
        <f t="shared" si="101"/>
        <v>0</v>
      </c>
      <c r="AE248" s="28">
        <f t="shared" si="102"/>
        <v>907826.28089841723</v>
      </c>
      <c r="AF248" s="51"/>
      <c r="AG248" t="str">
        <f t="shared" si="103"/>
        <v>5308020</v>
      </c>
    </row>
    <row r="249" spans="1:33" x14ac:dyDescent="0.25">
      <c r="A249" s="7" t="s">
        <v>221</v>
      </c>
      <c r="B249" s="2" t="s">
        <v>1133</v>
      </c>
      <c r="C249" s="8" t="s">
        <v>1132</v>
      </c>
      <c r="D249">
        <f>_xlfn.IFNA(VLOOKUP(A249,'Prior Year data'!$A$1:$T$317,12,FALSE),0)</f>
        <v>609494.14716188749</v>
      </c>
      <c r="E249">
        <f>VLOOKUP(A249,'Basic HH'!$B$1:$Y$321,23,FALSE)</f>
        <v>271945.22312905901</v>
      </c>
      <c r="F249">
        <f>VLOOKUP(A249,'Conc. HH'!$B$1:$Y$321,23,FALSE)</f>
        <v>0</v>
      </c>
      <c r="G249">
        <f>VLOOKUP(A249,'Targeted HH'!$B$1:$Y$321,23,FALSE)</f>
        <v>0</v>
      </c>
      <c r="H249">
        <f>VLOOKUP(A249,'EFIG HH'!$B$1:$Y$321,23,FALSE)</f>
        <v>0</v>
      </c>
      <c r="I249">
        <f t="shared" si="90"/>
        <v>271945.22312905901</v>
      </c>
      <c r="J249">
        <f t="shared" si="91"/>
        <v>609494.14716188749</v>
      </c>
      <c r="K249" s="44">
        <f t="shared" si="92"/>
        <v>253020.11230766651</v>
      </c>
      <c r="L249">
        <f t="shared" si="93"/>
        <v>18925.110821392504</v>
      </c>
      <c r="M249">
        <f t="shared" si="94"/>
        <v>0</v>
      </c>
      <c r="N249">
        <f t="shared" si="95"/>
        <v>271945.22312905901</v>
      </c>
      <c r="O249">
        <f t="shared" si="104"/>
        <v>0</v>
      </c>
      <c r="P249">
        <f t="shared" si="105"/>
        <v>0</v>
      </c>
      <c r="Q249">
        <f t="shared" si="106"/>
        <v>271945.22312905901</v>
      </c>
      <c r="R249">
        <f t="shared" si="107"/>
        <v>0</v>
      </c>
      <c r="S249">
        <f t="shared" si="108"/>
        <v>0</v>
      </c>
      <c r="T249">
        <f t="shared" si="109"/>
        <v>271945.22312905901</v>
      </c>
      <c r="U249">
        <f t="shared" si="110"/>
        <v>0</v>
      </c>
      <c r="V249">
        <f t="shared" si="111"/>
        <v>0</v>
      </c>
      <c r="W249">
        <f t="shared" si="112"/>
        <v>271945.22312905901</v>
      </c>
      <c r="X249" s="44">
        <f t="shared" si="96"/>
        <v>0</v>
      </c>
      <c r="Y249" s="28">
        <f t="shared" si="97"/>
        <v>2097.205385361422</v>
      </c>
      <c r="Z249" s="28">
        <f t="shared" si="98"/>
        <v>269848.01774369756</v>
      </c>
      <c r="AA249">
        <f t="shared" si="99"/>
        <v>0</v>
      </c>
      <c r="AB249" s="28">
        <f t="shared" si="100"/>
        <v>269848.01774369756</v>
      </c>
      <c r="AD249" s="28">
        <f t="shared" si="101"/>
        <v>0</v>
      </c>
      <c r="AE249" s="28">
        <f t="shared" si="102"/>
        <v>269848.01774369756</v>
      </c>
      <c r="AF249" s="51"/>
      <c r="AG249" t="str">
        <f t="shared" si="103"/>
        <v>5308040</v>
      </c>
    </row>
    <row r="250" spans="1:33" x14ac:dyDescent="0.25">
      <c r="A250" s="7" t="s">
        <v>586</v>
      </c>
      <c r="B250" s="2" t="s">
        <v>1135</v>
      </c>
      <c r="C250" s="4" t="s">
        <v>1134</v>
      </c>
      <c r="D250">
        <f>_xlfn.IFNA(VLOOKUP(A250,'Prior Year data'!$A$1:$T$317,12,FALSE),0)</f>
        <v>325281.45724348008</v>
      </c>
      <c r="E250">
        <f>VLOOKUP(A250,'Basic HH'!$B$1:$Y$321,23,FALSE)</f>
        <v>135900.73147306524</v>
      </c>
      <c r="F250">
        <f>VLOOKUP(A250,'Conc. HH'!$B$1:$Y$321,23,FALSE)</f>
        <v>35725.253442410867</v>
      </c>
      <c r="G250">
        <f>VLOOKUP(A250,'Targeted HH'!$B$1:$Y$321,23,FALSE)</f>
        <v>91724.616410402305</v>
      </c>
      <c r="H250">
        <f>VLOOKUP(A250,'EFIG HH'!$B$1:$Y$321,23,FALSE)</f>
        <v>126468.66057728346</v>
      </c>
      <c r="I250">
        <f t="shared" si="90"/>
        <v>389819.26190316188</v>
      </c>
      <c r="J250">
        <f t="shared" si="91"/>
        <v>325281.45724348008</v>
      </c>
      <c r="K250" s="44">
        <f t="shared" si="92"/>
        <v>362691.10481716803</v>
      </c>
      <c r="L250">
        <f t="shared" si="93"/>
        <v>0</v>
      </c>
      <c r="M250">
        <f t="shared" si="94"/>
        <v>362691.10481716803</v>
      </c>
      <c r="N250">
        <f t="shared" si="95"/>
        <v>344416.21734721097</v>
      </c>
      <c r="O250">
        <f t="shared" si="104"/>
        <v>0</v>
      </c>
      <c r="P250">
        <f t="shared" si="105"/>
        <v>344416.21734721097</v>
      </c>
      <c r="Q250">
        <f t="shared" si="106"/>
        <v>344416.21734721097</v>
      </c>
      <c r="R250">
        <f t="shared" si="107"/>
        <v>0</v>
      </c>
      <c r="S250">
        <f t="shared" si="108"/>
        <v>344416.21734721097</v>
      </c>
      <c r="T250">
        <f t="shared" si="109"/>
        <v>344416.21734721097</v>
      </c>
      <c r="U250">
        <f t="shared" si="110"/>
        <v>0</v>
      </c>
      <c r="V250">
        <f t="shared" si="111"/>
        <v>344416.21734721097</v>
      </c>
      <c r="W250">
        <f t="shared" si="112"/>
        <v>344416.21734721097</v>
      </c>
      <c r="X250" s="44">
        <f t="shared" si="96"/>
        <v>45403.04455595091</v>
      </c>
      <c r="Y250" s="28">
        <f t="shared" si="97"/>
        <v>2656.0920523453665</v>
      </c>
      <c r="Z250" s="28">
        <f t="shared" si="98"/>
        <v>341760.12529486563</v>
      </c>
      <c r="AA250">
        <f t="shared" si="99"/>
        <v>0</v>
      </c>
      <c r="AB250" s="28">
        <f t="shared" si="100"/>
        <v>341760.12529486563</v>
      </c>
      <c r="AD250" s="28">
        <f t="shared" si="101"/>
        <v>0</v>
      </c>
      <c r="AE250" s="28">
        <f t="shared" si="102"/>
        <v>341760.12529486563</v>
      </c>
      <c r="AF250" s="51"/>
      <c r="AG250" t="str">
        <f t="shared" si="103"/>
        <v>5308070</v>
      </c>
    </row>
    <row r="251" spans="1:33" x14ac:dyDescent="0.25">
      <c r="A251" s="7" t="s">
        <v>588</v>
      </c>
      <c r="B251" s="2" t="s">
        <v>1137</v>
      </c>
      <c r="C251" s="4" t="s">
        <v>1136</v>
      </c>
      <c r="D251">
        <f>_xlfn.IFNA(VLOOKUP(A251,'Prior Year data'!$A$1:$T$317,12,FALSE),0)</f>
        <v>169011.93949058562</v>
      </c>
      <c r="E251">
        <f>VLOOKUP(A251,'Basic HH'!$B$1:$Y$321,23,FALSE)</f>
        <v>82572.596338064934</v>
      </c>
      <c r="F251">
        <f>VLOOKUP(A251,'Conc. HH'!$B$1:$Y$321,23,FALSE)</f>
        <v>21706.483104249644</v>
      </c>
      <c r="G251">
        <f>VLOOKUP(A251,'Targeted HH'!$B$1:$Y$321,23,FALSE)</f>
        <v>54105.48623961657</v>
      </c>
      <c r="H251">
        <f>VLOOKUP(A251,'EFIG HH'!$B$1:$Y$321,23,FALSE)</f>
        <v>74599.912677649976</v>
      </c>
      <c r="I251">
        <f t="shared" si="90"/>
        <v>232984.47835958115</v>
      </c>
      <c r="J251">
        <f t="shared" si="91"/>
        <v>169011.93949058562</v>
      </c>
      <c r="K251" s="44">
        <f t="shared" si="92"/>
        <v>216770.7091972272</v>
      </c>
      <c r="L251">
        <f t="shared" si="93"/>
        <v>0</v>
      </c>
      <c r="M251">
        <f t="shared" si="94"/>
        <v>216770.7091972272</v>
      </c>
      <c r="N251">
        <f t="shared" si="95"/>
        <v>205848.30094197352</v>
      </c>
      <c r="O251">
        <f t="shared" si="104"/>
        <v>0</v>
      </c>
      <c r="P251">
        <f t="shared" si="105"/>
        <v>205848.30094197352</v>
      </c>
      <c r="Q251">
        <f t="shared" si="106"/>
        <v>205848.30094197352</v>
      </c>
      <c r="R251">
        <f t="shared" si="107"/>
        <v>0</v>
      </c>
      <c r="S251">
        <f t="shared" si="108"/>
        <v>205848.30094197352</v>
      </c>
      <c r="T251">
        <f t="shared" si="109"/>
        <v>205848.30094197352</v>
      </c>
      <c r="U251">
        <f t="shared" si="110"/>
        <v>0</v>
      </c>
      <c r="V251">
        <f t="shared" si="111"/>
        <v>205848.30094197352</v>
      </c>
      <c r="W251">
        <f t="shared" si="112"/>
        <v>205848.30094197352</v>
      </c>
      <c r="X251" s="44">
        <f t="shared" si="96"/>
        <v>27136.177417607629</v>
      </c>
      <c r="Y251" s="28">
        <f t="shared" si="97"/>
        <v>1587.474713972555</v>
      </c>
      <c r="Z251" s="28">
        <f t="shared" si="98"/>
        <v>204260.82622800095</v>
      </c>
      <c r="AA251">
        <f t="shared" si="99"/>
        <v>0</v>
      </c>
      <c r="AB251" s="28">
        <f t="shared" si="100"/>
        <v>204260.82622800095</v>
      </c>
      <c r="AD251" s="28">
        <f t="shared" si="101"/>
        <v>0</v>
      </c>
      <c r="AE251" s="28">
        <f t="shared" si="102"/>
        <v>204260.82622800095</v>
      </c>
      <c r="AF251" s="51"/>
      <c r="AG251" t="str">
        <f t="shared" si="103"/>
        <v>5308100</v>
      </c>
    </row>
    <row r="252" spans="1:33" x14ac:dyDescent="0.25">
      <c r="A252" s="7" t="s">
        <v>223</v>
      </c>
      <c r="B252" s="2" t="s">
        <v>1139</v>
      </c>
      <c r="C252" s="4" t="s">
        <v>1138</v>
      </c>
      <c r="D252">
        <f>_xlfn.IFNA(VLOOKUP(A252,'Prior Year data'!$A$1:$T$317,12,FALSE),0)</f>
        <v>2036397.7818124553</v>
      </c>
      <c r="E252">
        <f>VLOOKUP(A252,'Basic HH'!$B$1:$Y$321,23,FALSE)</f>
        <v>998612.336963473</v>
      </c>
      <c r="F252">
        <f>VLOOKUP(A252,'Conc. HH'!$B$1:$Y$321,23,FALSE)</f>
        <v>0</v>
      </c>
      <c r="G252">
        <f>VLOOKUP(A252,'Targeted HH'!$B$1:$Y$321,23,FALSE)</f>
        <v>574588.43623342155</v>
      </c>
      <c r="H252">
        <f>VLOOKUP(A252,'EFIG HH'!$B$1:$Y$321,23,FALSE)</f>
        <v>792234.76485856017</v>
      </c>
      <c r="I252">
        <f t="shared" si="90"/>
        <v>2365435.5380554548</v>
      </c>
      <c r="J252">
        <f t="shared" si="91"/>
        <v>2036397.7818124553</v>
      </c>
      <c r="K252" s="44">
        <f t="shared" si="92"/>
        <v>2200821.0278850934</v>
      </c>
      <c r="L252">
        <f t="shared" si="93"/>
        <v>0</v>
      </c>
      <c r="M252">
        <f t="shared" si="94"/>
        <v>2200821.0278850934</v>
      </c>
      <c r="N252">
        <f t="shared" si="95"/>
        <v>2089928.4361122951</v>
      </c>
      <c r="O252">
        <f t="shared" si="104"/>
        <v>0</v>
      </c>
      <c r="P252">
        <f t="shared" si="105"/>
        <v>2089928.4361122951</v>
      </c>
      <c r="Q252">
        <f t="shared" si="106"/>
        <v>2089928.4361122951</v>
      </c>
      <c r="R252">
        <f t="shared" si="107"/>
        <v>0</v>
      </c>
      <c r="S252">
        <f t="shared" si="108"/>
        <v>2089928.4361122951</v>
      </c>
      <c r="T252">
        <f t="shared" si="109"/>
        <v>2089928.4361122951</v>
      </c>
      <c r="U252">
        <f t="shared" si="110"/>
        <v>0</v>
      </c>
      <c r="V252">
        <f t="shared" si="111"/>
        <v>2089928.4361122951</v>
      </c>
      <c r="W252">
        <f t="shared" si="112"/>
        <v>2089928.4361122951</v>
      </c>
      <c r="X252" s="44">
        <f t="shared" si="96"/>
        <v>275507.10194315971</v>
      </c>
      <c r="Y252" s="28">
        <f t="shared" si="97"/>
        <v>16117.250087362647</v>
      </c>
      <c r="Z252" s="28">
        <f t="shared" si="98"/>
        <v>2073811.1860249324</v>
      </c>
      <c r="AA252">
        <f t="shared" si="99"/>
        <v>0</v>
      </c>
      <c r="AB252" s="28">
        <f t="shared" si="100"/>
        <v>2073811.1860249324</v>
      </c>
      <c r="AD252" s="28">
        <f t="shared" si="101"/>
        <v>0</v>
      </c>
      <c r="AE252" s="28">
        <f t="shared" si="102"/>
        <v>2073811.1860249324</v>
      </c>
      <c r="AF252" s="51"/>
      <c r="AG252" t="str">
        <f t="shared" si="103"/>
        <v>5308160</v>
      </c>
    </row>
    <row r="253" spans="1:33" x14ac:dyDescent="0.25">
      <c r="A253" s="7" t="s">
        <v>225</v>
      </c>
      <c r="B253" s="2" t="s">
        <v>1141</v>
      </c>
      <c r="C253" s="4" t="s">
        <v>1140</v>
      </c>
      <c r="D253">
        <f>_xlfn.IFNA(VLOOKUP(A253,'Prior Year data'!$A$1:$T$317,12,FALSE),0)</f>
        <v>275503.66753024707</v>
      </c>
      <c r="E253">
        <f>VLOOKUP(A253,'Basic HH'!$B$1:$Y$321,23,FALSE)</f>
        <v>122924.73469722614</v>
      </c>
      <c r="F253">
        <f>VLOOKUP(A253,'Conc. HH'!$B$1:$Y$321,23,FALSE)</f>
        <v>0</v>
      </c>
      <c r="G253">
        <f>VLOOKUP(A253,'Targeted HH'!$B$1:$Y$321,23,FALSE)</f>
        <v>59753.025084253168</v>
      </c>
      <c r="H253">
        <f>VLOOKUP(A253,'EFIG HH'!$B$1:$Y$321,23,FALSE)</f>
        <v>82395.457740596685</v>
      </c>
      <c r="I253">
        <f t="shared" si="90"/>
        <v>265073.21752207598</v>
      </c>
      <c r="J253">
        <f t="shared" si="91"/>
        <v>275503.66753024707</v>
      </c>
      <c r="K253" s="44">
        <f t="shared" si="92"/>
        <v>246626.34075892859</v>
      </c>
      <c r="L253">
        <f t="shared" si="93"/>
        <v>18446.876763147389</v>
      </c>
      <c r="M253">
        <f t="shared" si="94"/>
        <v>0</v>
      </c>
      <c r="N253">
        <f t="shared" si="95"/>
        <v>265073.21752207598</v>
      </c>
      <c r="O253">
        <f t="shared" si="104"/>
        <v>0</v>
      </c>
      <c r="P253">
        <f t="shared" si="105"/>
        <v>0</v>
      </c>
      <c r="Q253">
        <f t="shared" si="106"/>
        <v>265073.21752207598</v>
      </c>
      <c r="R253">
        <f t="shared" si="107"/>
        <v>0</v>
      </c>
      <c r="S253">
        <f t="shared" si="108"/>
        <v>0</v>
      </c>
      <c r="T253">
        <f t="shared" si="109"/>
        <v>265073.21752207598</v>
      </c>
      <c r="U253">
        <f t="shared" si="110"/>
        <v>0</v>
      </c>
      <c r="V253">
        <f t="shared" si="111"/>
        <v>0</v>
      </c>
      <c r="W253">
        <f t="shared" si="112"/>
        <v>265073.21752207598</v>
      </c>
      <c r="X253" s="44">
        <f t="shared" si="96"/>
        <v>0</v>
      </c>
      <c r="Y253" s="28">
        <f t="shared" si="97"/>
        <v>2044.2093922663014</v>
      </c>
      <c r="Z253" s="28">
        <f t="shared" si="98"/>
        <v>263029.00812980969</v>
      </c>
      <c r="AA253">
        <f t="shared" si="99"/>
        <v>0</v>
      </c>
      <c r="AB253" s="28">
        <f t="shared" si="100"/>
        <v>263029.00812980969</v>
      </c>
      <c r="AD253" s="28">
        <f t="shared" si="101"/>
        <v>0</v>
      </c>
      <c r="AE253" s="28">
        <f t="shared" si="102"/>
        <v>263029.00812980969</v>
      </c>
      <c r="AF253" s="51"/>
      <c r="AG253" t="str">
        <f t="shared" si="103"/>
        <v>5308190</v>
      </c>
    </row>
    <row r="254" spans="1:33" x14ac:dyDescent="0.25">
      <c r="A254" s="7" t="s">
        <v>590</v>
      </c>
      <c r="B254" s="2" t="s">
        <v>1143</v>
      </c>
      <c r="C254" s="4" t="s">
        <v>1142</v>
      </c>
      <c r="D254">
        <f>_xlfn.IFNA(VLOOKUP(A254,'Prior Year data'!$A$1:$T$317,12,FALSE),0)</f>
        <v>105307.56460685865</v>
      </c>
      <c r="E254">
        <f>VLOOKUP(A254,'Basic HH'!$B$1:$Y$321,23,FALSE)</f>
        <v>49887.610287580908</v>
      </c>
      <c r="F254">
        <f>VLOOKUP(A254,'Conc. HH'!$B$1:$Y$321,23,FALSE)</f>
        <v>13114.33354215082</v>
      </c>
      <c r="G254">
        <f>VLOOKUP(A254,'Targeted HH'!$B$1:$Y$321,23,FALSE)</f>
        <v>24847.574777427068</v>
      </c>
      <c r="H254">
        <f>VLOOKUP(A254,'EFIG HH'!$B$1:$Y$321,23,FALSE)</f>
        <v>34259.500052144314</v>
      </c>
      <c r="I254">
        <f t="shared" si="90"/>
        <v>122109.01865930311</v>
      </c>
      <c r="J254">
        <f t="shared" si="91"/>
        <v>105307.56460685865</v>
      </c>
      <c r="K254" s="44">
        <f t="shared" si="92"/>
        <v>113611.25324967838</v>
      </c>
      <c r="L254">
        <f t="shared" si="93"/>
        <v>0</v>
      </c>
      <c r="M254">
        <f t="shared" si="94"/>
        <v>113611.25324967838</v>
      </c>
      <c r="N254">
        <f t="shared" si="95"/>
        <v>107886.73218786383</v>
      </c>
      <c r="O254">
        <f t="shared" si="104"/>
        <v>0</v>
      </c>
      <c r="P254">
        <f t="shared" si="105"/>
        <v>107886.73218786383</v>
      </c>
      <c r="Q254">
        <f t="shared" si="106"/>
        <v>107886.73218786383</v>
      </c>
      <c r="R254">
        <f t="shared" si="107"/>
        <v>0</v>
      </c>
      <c r="S254">
        <f t="shared" si="108"/>
        <v>107886.73218786383</v>
      </c>
      <c r="T254">
        <f t="shared" si="109"/>
        <v>107886.73218786383</v>
      </c>
      <c r="U254">
        <f t="shared" si="110"/>
        <v>0</v>
      </c>
      <c r="V254">
        <f t="shared" si="111"/>
        <v>107886.73218786383</v>
      </c>
      <c r="W254">
        <f t="shared" si="112"/>
        <v>107886.73218786383</v>
      </c>
      <c r="X254" s="44">
        <f t="shared" si="96"/>
        <v>14222.286471439278</v>
      </c>
      <c r="Y254" s="28">
        <f t="shared" si="97"/>
        <v>832.00812704128805</v>
      </c>
      <c r="Z254" s="28">
        <f t="shared" si="98"/>
        <v>107054.72406082254</v>
      </c>
      <c r="AA254">
        <f t="shared" si="99"/>
        <v>0</v>
      </c>
      <c r="AB254" s="28">
        <f t="shared" si="100"/>
        <v>107054.72406082254</v>
      </c>
      <c r="AD254" s="28">
        <f t="shared" si="101"/>
        <v>0</v>
      </c>
      <c r="AE254" s="28">
        <f t="shared" si="102"/>
        <v>107054.72406082254</v>
      </c>
      <c r="AF254" s="51"/>
      <c r="AG254" t="str">
        <f t="shared" si="103"/>
        <v>5308220</v>
      </c>
    </row>
    <row r="255" spans="1:33" x14ac:dyDescent="0.25">
      <c r="A255" s="7" t="s">
        <v>64</v>
      </c>
      <c r="B255" s="2" t="s">
        <v>1144</v>
      </c>
      <c r="C255" s="4" t="s">
        <v>33</v>
      </c>
      <c r="D255">
        <f>_xlfn.IFNA(VLOOKUP(A255,'Prior Year data'!$A$1:$T$317,12,FALSE),0)</f>
        <v>13845067.75352983</v>
      </c>
      <c r="E255">
        <f>VLOOKUP(A255,'Basic HH'!$B$1:$Y$321,23,FALSE)</f>
        <v>5174063.319335294</v>
      </c>
      <c r="F255">
        <f>VLOOKUP(A255,'Conc. HH'!$B$1:$Y$321,23,FALSE)</f>
        <v>1360145.16924782</v>
      </c>
      <c r="G255">
        <f>VLOOKUP(A255,'Targeted HH'!$B$1:$Y$321,23,FALSE)</f>
        <v>4364126.5060282303</v>
      </c>
      <c r="H255">
        <f>VLOOKUP(A255,'EFIG HH'!$B$1:$Y$321,23,FALSE)</f>
        <v>6017198.6038920945</v>
      </c>
      <c r="I255">
        <f t="shared" si="90"/>
        <v>16915533.598503441</v>
      </c>
      <c r="J255">
        <f t="shared" si="91"/>
        <v>13845067.75352983</v>
      </c>
      <c r="K255" s="44">
        <f t="shared" si="92"/>
        <v>15738354.075836333</v>
      </c>
      <c r="L255">
        <f t="shared" si="93"/>
        <v>0</v>
      </c>
      <c r="M255">
        <f t="shared" si="94"/>
        <v>15738354.075836333</v>
      </c>
      <c r="N255">
        <f t="shared" si="95"/>
        <v>14945346.897335948</v>
      </c>
      <c r="O255">
        <f t="shared" si="104"/>
        <v>0</v>
      </c>
      <c r="P255">
        <f t="shared" si="105"/>
        <v>14945346.897335948</v>
      </c>
      <c r="Q255">
        <f t="shared" si="106"/>
        <v>14945346.897335948</v>
      </c>
      <c r="R255">
        <f t="shared" si="107"/>
        <v>0</v>
      </c>
      <c r="S255">
        <f t="shared" si="108"/>
        <v>14945346.897335948</v>
      </c>
      <c r="T255">
        <f t="shared" si="109"/>
        <v>14945346.897335948</v>
      </c>
      <c r="U255">
        <f t="shared" si="110"/>
        <v>0</v>
      </c>
      <c r="V255">
        <f t="shared" si="111"/>
        <v>14945346.897335948</v>
      </c>
      <c r="W255">
        <f t="shared" si="112"/>
        <v>14945346.897335948</v>
      </c>
      <c r="X255" s="44">
        <f t="shared" si="96"/>
        <v>1970186.7011674922</v>
      </c>
      <c r="Y255" s="28">
        <f t="shared" si="97"/>
        <v>115256.52717316781</v>
      </c>
      <c r="Z255" s="28">
        <f t="shared" si="98"/>
        <v>14830090.370162781</v>
      </c>
      <c r="AA255">
        <f t="shared" si="99"/>
        <v>0</v>
      </c>
      <c r="AB255" s="28">
        <f t="shared" si="100"/>
        <v>14830090.370162781</v>
      </c>
      <c r="AD255" s="28">
        <f t="shared" si="101"/>
        <v>0</v>
      </c>
      <c r="AE255" s="28">
        <f t="shared" si="102"/>
        <v>14830090.370162781</v>
      </c>
      <c r="AF255" s="51"/>
      <c r="AG255" t="str">
        <f t="shared" si="103"/>
        <v>5308250</v>
      </c>
    </row>
    <row r="256" spans="1:33" x14ac:dyDescent="0.25">
      <c r="A256" s="7" t="s">
        <v>82</v>
      </c>
      <c r="B256" s="2" t="s">
        <v>1145</v>
      </c>
      <c r="C256" s="4" t="s">
        <v>36</v>
      </c>
      <c r="D256">
        <f>_xlfn.IFNA(VLOOKUP(A256,'Prior Year data'!$A$1:$T$317,12,FALSE),0)</f>
        <v>253927.6073124508</v>
      </c>
      <c r="E256">
        <f>VLOOKUP(A256,'Basic HH'!$B$1:$Y$321,23,FALSE)</f>
        <v>113545.90744157885</v>
      </c>
      <c r="F256">
        <f>VLOOKUP(A256,'Conc. HH'!$B$1:$Y$321,23,FALSE)</f>
        <v>0</v>
      </c>
      <c r="G256">
        <f>VLOOKUP(A256,'Targeted HH'!$B$1:$Y$321,23,FALSE)</f>
        <v>95771.673776207841</v>
      </c>
      <c r="H256">
        <f>VLOOKUP(A256,'EFIG HH'!$B$1:$Y$321,23,FALSE)</f>
        <v>132048.68853883745</v>
      </c>
      <c r="I256">
        <f t="shared" si="90"/>
        <v>341366.26975662413</v>
      </c>
      <c r="J256">
        <f t="shared" si="91"/>
        <v>253927.6073124508</v>
      </c>
      <c r="K256" s="44">
        <f t="shared" si="92"/>
        <v>317610.03527861118</v>
      </c>
      <c r="L256">
        <f t="shared" si="93"/>
        <v>0</v>
      </c>
      <c r="M256">
        <f t="shared" si="94"/>
        <v>317610.03527861118</v>
      </c>
      <c r="N256">
        <f t="shared" si="95"/>
        <v>301606.64402651071</v>
      </c>
      <c r="O256">
        <f t="shared" si="104"/>
        <v>0</v>
      </c>
      <c r="P256">
        <f t="shared" si="105"/>
        <v>301606.64402651071</v>
      </c>
      <c r="Q256">
        <f t="shared" si="106"/>
        <v>301606.64402651071</v>
      </c>
      <c r="R256">
        <f t="shared" si="107"/>
        <v>0</v>
      </c>
      <c r="S256">
        <f t="shared" si="108"/>
        <v>301606.64402651071</v>
      </c>
      <c r="T256">
        <f t="shared" si="109"/>
        <v>301606.64402651071</v>
      </c>
      <c r="U256">
        <f t="shared" si="110"/>
        <v>0</v>
      </c>
      <c r="V256">
        <f t="shared" si="111"/>
        <v>301606.64402651071</v>
      </c>
      <c r="W256">
        <f t="shared" si="112"/>
        <v>301606.64402651071</v>
      </c>
      <c r="X256" s="44">
        <f t="shared" si="96"/>
        <v>39759.625730113417</v>
      </c>
      <c r="Y256" s="28">
        <f t="shared" si="97"/>
        <v>2325.9503176233356</v>
      </c>
      <c r="Z256" s="28">
        <f t="shared" si="98"/>
        <v>299280.69370888738</v>
      </c>
      <c r="AA256">
        <f t="shared" si="99"/>
        <v>0</v>
      </c>
      <c r="AB256" s="28">
        <f t="shared" si="100"/>
        <v>299280.69370888738</v>
      </c>
      <c r="AD256" s="28">
        <f t="shared" si="101"/>
        <v>0</v>
      </c>
      <c r="AE256" s="28">
        <f t="shared" si="102"/>
        <v>299280.69370888738</v>
      </c>
      <c r="AF256" s="51"/>
      <c r="AG256" t="str">
        <f t="shared" si="103"/>
        <v>5308260</v>
      </c>
    </row>
    <row r="257" spans="1:33" x14ac:dyDescent="0.25">
      <c r="A257" s="7" t="s">
        <v>592</v>
      </c>
      <c r="B257" s="2" t="s">
        <v>1147</v>
      </c>
      <c r="C257" s="4" t="s">
        <v>1146</v>
      </c>
      <c r="D257">
        <f>_xlfn.IFNA(VLOOKUP(A257,'Prior Year data'!$A$1:$T$317,12,FALSE),0)</f>
        <v>41779.896557215921</v>
      </c>
      <c r="E257">
        <f>VLOOKUP(A257,'Basic HH'!$B$1:$Y$321,23,FALSE)</f>
        <v>19783.017872661396</v>
      </c>
      <c r="F257">
        <f>VLOOKUP(A257,'Conc. HH'!$B$1:$Y$321,23,FALSE)</f>
        <v>5200.5115770598113</v>
      </c>
      <c r="G257">
        <f>VLOOKUP(A257,'Targeted HH'!$B$1:$Y$321,23,FALSE)</f>
        <v>10362.492533356235</v>
      </c>
      <c r="H257">
        <f>VLOOKUP(A257,'EFIG HH'!$B$1:$Y$321,23,FALSE)</f>
        <v>14287.664557483387</v>
      </c>
      <c r="I257">
        <f t="shared" si="90"/>
        <v>49633.686540560833</v>
      </c>
      <c r="J257">
        <f t="shared" si="91"/>
        <v>41779.896557215921</v>
      </c>
      <c r="K257" s="44">
        <f t="shared" si="92"/>
        <v>46179.597487455496</v>
      </c>
      <c r="L257">
        <f t="shared" si="93"/>
        <v>0</v>
      </c>
      <c r="M257">
        <f t="shared" si="94"/>
        <v>46179.597487455496</v>
      </c>
      <c r="N257">
        <f t="shared" si="95"/>
        <v>43852.749830365632</v>
      </c>
      <c r="O257">
        <f t="shared" si="104"/>
        <v>0</v>
      </c>
      <c r="P257">
        <f t="shared" si="105"/>
        <v>43852.749830365632</v>
      </c>
      <c r="Q257">
        <f t="shared" si="106"/>
        <v>43852.749830365632</v>
      </c>
      <c r="R257">
        <f t="shared" si="107"/>
        <v>0</v>
      </c>
      <c r="S257">
        <f t="shared" si="108"/>
        <v>43852.749830365632</v>
      </c>
      <c r="T257">
        <f t="shared" si="109"/>
        <v>43852.749830365632</v>
      </c>
      <c r="U257">
        <f t="shared" si="110"/>
        <v>0</v>
      </c>
      <c r="V257">
        <f t="shared" si="111"/>
        <v>43852.749830365632</v>
      </c>
      <c r="W257">
        <f t="shared" si="112"/>
        <v>43852.749830365632</v>
      </c>
      <c r="X257" s="44">
        <f t="shared" si="96"/>
        <v>5780.9367101952012</v>
      </c>
      <c r="Y257" s="28">
        <f t="shared" si="97"/>
        <v>338.18657319641164</v>
      </c>
      <c r="Z257" s="28">
        <f t="shared" si="98"/>
        <v>43514.563257169219</v>
      </c>
      <c r="AA257">
        <f t="shared" si="99"/>
        <v>0</v>
      </c>
      <c r="AB257" s="28">
        <f t="shared" si="100"/>
        <v>43514.563257169219</v>
      </c>
      <c r="AD257" s="28">
        <f t="shared" si="101"/>
        <v>0</v>
      </c>
      <c r="AE257" s="28">
        <f t="shared" si="102"/>
        <v>43514.563257169219</v>
      </c>
      <c r="AF257" s="51"/>
      <c r="AG257" t="str">
        <f t="shared" si="103"/>
        <v>5308280</v>
      </c>
    </row>
    <row r="258" spans="1:33" x14ac:dyDescent="0.25">
      <c r="A258" s="7" t="s">
        <v>594</v>
      </c>
      <c r="B258" s="2" t="s">
        <v>1149</v>
      </c>
      <c r="C258" s="4" t="s">
        <v>1148</v>
      </c>
      <c r="D258">
        <f>_xlfn.IFNA(VLOOKUP(A258,'Prior Year data'!$A$1:$T$317,12,FALSE),0)</f>
        <v>40821.686115103483</v>
      </c>
      <c r="E258">
        <f>VLOOKUP(A258,'Basic HH'!$B$1:$Y$321,23,FALSE)</f>
        <v>19783.017872661396</v>
      </c>
      <c r="F258">
        <f>VLOOKUP(A258,'Conc. HH'!$B$1:$Y$321,23,FALSE)</f>
        <v>0</v>
      </c>
      <c r="G258">
        <f>VLOOKUP(A258,'Targeted HH'!$B$1:$Y$321,23,FALSE)</f>
        <v>9466.7149236165496</v>
      </c>
      <c r="H258">
        <f>VLOOKUP(A258,'EFIG HH'!$B$1:$Y$321,23,FALSE)</f>
        <v>13052.578504116676</v>
      </c>
      <c r="I258">
        <f t="shared" si="90"/>
        <v>42302.31130039462</v>
      </c>
      <c r="J258">
        <f t="shared" si="91"/>
        <v>40821.686115103483</v>
      </c>
      <c r="K258" s="44">
        <f t="shared" si="92"/>
        <v>39358.424586190129</v>
      </c>
      <c r="L258">
        <f t="shared" si="93"/>
        <v>1463.2615289133537</v>
      </c>
      <c r="M258">
        <f t="shared" si="94"/>
        <v>0</v>
      </c>
      <c r="N258">
        <f t="shared" si="95"/>
        <v>40821.686115103483</v>
      </c>
      <c r="O258">
        <f t="shared" si="104"/>
        <v>0</v>
      </c>
      <c r="P258">
        <f t="shared" si="105"/>
        <v>0</v>
      </c>
      <c r="Q258">
        <f t="shared" si="106"/>
        <v>40821.686115103483</v>
      </c>
      <c r="R258">
        <f t="shared" si="107"/>
        <v>0</v>
      </c>
      <c r="S258">
        <f t="shared" si="108"/>
        <v>0</v>
      </c>
      <c r="T258">
        <f t="shared" si="109"/>
        <v>40821.686115103483</v>
      </c>
      <c r="U258">
        <f t="shared" si="110"/>
        <v>0</v>
      </c>
      <c r="V258">
        <f t="shared" si="111"/>
        <v>0</v>
      </c>
      <c r="W258">
        <f t="shared" si="112"/>
        <v>40821.686115103483</v>
      </c>
      <c r="X258" s="44">
        <f t="shared" si="96"/>
        <v>1480.6251852911373</v>
      </c>
      <c r="Y258" s="28">
        <f t="shared" si="97"/>
        <v>314.81141303040789</v>
      </c>
      <c r="Z258" s="28">
        <f t="shared" si="98"/>
        <v>40506.874702073073</v>
      </c>
      <c r="AA258">
        <f t="shared" si="99"/>
        <v>0</v>
      </c>
      <c r="AB258" s="28">
        <f t="shared" si="100"/>
        <v>40506.874702073073</v>
      </c>
      <c r="AD258" s="28">
        <f t="shared" si="101"/>
        <v>0</v>
      </c>
      <c r="AE258" s="28">
        <f t="shared" si="102"/>
        <v>40506.874702073073</v>
      </c>
      <c r="AF258" s="51"/>
      <c r="AG258" t="str">
        <f t="shared" si="103"/>
        <v>5308310</v>
      </c>
    </row>
    <row r="259" spans="1:33" x14ac:dyDescent="0.25">
      <c r="A259" s="7" t="s">
        <v>227</v>
      </c>
      <c r="B259" s="2" t="s">
        <v>1151</v>
      </c>
      <c r="C259" s="4" t="s">
        <v>1150</v>
      </c>
      <c r="D259">
        <f>_xlfn.IFNA(VLOOKUP(A259,'Prior Year data'!$A$1:$T$317,12,FALSE),0)</f>
        <v>621807.16023586481</v>
      </c>
      <c r="E259">
        <f>VLOOKUP(A259,'Basic HH'!$B$1:$Y$321,23,FALSE)</f>
        <v>348353.14080121159</v>
      </c>
      <c r="F259">
        <f>VLOOKUP(A259,'Conc. HH'!$B$1:$Y$321,23,FALSE)</f>
        <v>0</v>
      </c>
      <c r="G259">
        <f>VLOOKUP(A259,'Targeted HH'!$B$1:$Y$321,23,FALSE)</f>
        <v>166696.50191585656</v>
      </c>
      <c r="H259">
        <f>VLOOKUP(A259,'EFIG HH'!$B$1:$Y$321,23,FALSE)</f>
        <v>229838.88235509803</v>
      </c>
      <c r="I259">
        <f t="shared" si="90"/>
        <v>744888.52507216623</v>
      </c>
      <c r="J259">
        <f t="shared" si="91"/>
        <v>621807.16023586481</v>
      </c>
      <c r="K259" s="44">
        <f t="shared" si="92"/>
        <v>693050.51988726109</v>
      </c>
      <c r="L259">
        <f t="shared" si="93"/>
        <v>0</v>
      </c>
      <c r="M259">
        <f t="shared" si="94"/>
        <v>693050.51988726109</v>
      </c>
      <c r="N259">
        <f t="shared" si="95"/>
        <v>658129.83919309417</v>
      </c>
      <c r="O259">
        <f t="shared" si="104"/>
        <v>0</v>
      </c>
      <c r="P259">
        <f t="shared" si="105"/>
        <v>658129.83919309417</v>
      </c>
      <c r="Q259">
        <f t="shared" si="106"/>
        <v>658129.83919309417</v>
      </c>
      <c r="R259">
        <f t="shared" si="107"/>
        <v>0</v>
      </c>
      <c r="S259">
        <f t="shared" si="108"/>
        <v>658129.83919309417</v>
      </c>
      <c r="T259">
        <f t="shared" si="109"/>
        <v>658129.83919309417</v>
      </c>
      <c r="U259">
        <f t="shared" si="110"/>
        <v>0</v>
      </c>
      <c r="V259">
        <f t="shared" si="111"/>
        <v>658129.83919309417</v>
      </c>
      <c r="W259">
        <f t="shared" si="112"/>
        <v>658129.83919309417</v>
      </c>
      <c r="X259" s="44">
        <f t="shared" si="96"/>
        <v>86758.685879072058</v>
      </c>
      <c r="Y259" s="28">
        <f t="shared" si="97"/>
        <v>5075.409772385583</v>
      </c>
      <c r="Z259" s="28">
        <f t="shared" si="98"/>
        <v>653054.42942070856</v>
      </c>
      <c r="AA259">
        <f t="shared" si="99"/>
        <v>0</v>
      </c>
      <c r="AB259" s="28">
        <f t="shared" si="100"/>
        <v>653054.42942070856</v>
      </c>
      <c r="AD259" s="28">
        <f t="shared" si="101"/>
        <v>0</v>
      </c>
      <c r="AE259" s="28">
        <f t="shared" si="102"/>
        <v>653054.42942070856</v>
      </c>
      <c r="AF259" s="51"/>
      <c r="AG259" t="str">
        <f t="shared" si="103"/>
        <v>5308340</v>
      </c>
    </row>
    <row r="260" spans="1:33" x14ac:dyDescent="0.25">
      <c r="A260" s="7" t="s">
        <v>229</v>
      </c>
      <c r="B260" s="2" t="s">
        <v>1153</v>
      </c>
      <c r="C260" s="4" t="s">
        <v>1152</v>
      </c>
      <c r="D260">
        <f>_xlfn.IFNA(VLOOKUP(A260,'Prior Year data'!$A$1:$T$317,12,FALSE),0)</f>
        <v>0</v>
      </c>
      <c r="E260">
        <f>VLOOKUP(A260,'Basic HH'!$B$1:$Y$321,23,FALSE)</f>
        <v>0</v>
      </c>
      <c r="F260">
        <f>VLOOKUP(A260,'Conc. HH'!$B$1:$Y$321,23,FALSE)</f>
        <v>0</v>
      </c>
      <c r="G260">
        <f>VLOOKUP(A260,'Targeted HH'!$B$1:$Y$321,23,FALSE)</f>
        <v>0</v>
      </c>
      <c r="H260">
        <f>VLOOKUP(A260,'EFIG HH'!$B$1:$Y$321,23,FALSE)</f>
        <v>0</v>
      </c>
      <c r="I260">
        <f t="shared" ref="I260:I320" si="113">SUM(E260:H260)</f>
        <v>0</v>
      </c>
      <c r="J260">
        <f t="shared" ref="J260:J320" si="114">IF(D260=0,I260,D260)</f>
        <v>0</v>
      </c>
      <c r="K260" s="44">
        <f t="shared" ref="K260:K320" si="115">I260*(1-$K$1)</f>
        <v>0</v>
      </c>
      <c r="L260">
        <f t="shared" ref="L260:L320" si="116">IF(K260&lt;J260,MIN(J260,I260)-K260,0)</f>
        <v>0</v>
      </c>
      <c r="M260">
        <f t="shared" ref="M260:M320" si="117">IF(L260=0,K260,0)</f>
        <v>0</v>
      </c>
      <c r="N260">
        <f t="shared" ref="N260:N320" si="118">M260-(M260/$M$3*$L$3)+IF(L260&gt;0,K260+L260)</f>
        <v>0</v>
      </c>
      <c r="O260">
        <f t="shared" si="104"/>
        <v>0</v>
      </c>
      <c r="P260">
        <f t="shared" si="105"/>
        <v>0</v>
      </c>
      <c r="Q260">
        <f t="shared" si="106"/>
        <v>0</v>
      </c>
      <c r="R260">
        <f t="shared" si="107"/>
        <v>0</v>
      </c>
      <c r="S260">
        <f t="shared" si="108"/>
        <v>0</v>
      </c>
      <c r="T260">
        <f t="shared" si="109"/>
        <v>0</v>
      </c>
      <c r="U260">
        <f t="shared" si="110"/>
        <v>0</v>
      </c>
      <c r="V260">
        <f t="shared" si="111"/>
        <v>0</v>
      </c>
      <c r="W260">
        <f t="shared" si="112"/>
        <v>0</v>
      </c>
      <c r="X260" s="44">
        <f t="shared" ref="X260:X320" si="119">I260-W260</f>
        <v>0</v>
      </c>
      <c r="Y260" s="28">
        <f t="shared" ref="Y260:Y320" si="120">W260/$W$3*$Y$1</f>
        <v>0</v>
      </c>
      <c r="Z260" s="28">
        <f t="shared" ref="Z260:Z320" si="121">W260-Y260</f>
        <v>0</v>
      </c>
      <c r="AA260">
        <f t="shared" ref="AA260:AA320" si="122">Z260/$Z$3*$AA$1</f>
        <v>0</v>
      </c>
      <c r="AB260" s="28">
        <f t="shared" ref="AB260:AB320" si="123">Z260-AA260</f>
        <v>0</v>
      </c>
      <c r="AD260" s="28">
        <f t="shared" ref="AD260:AD320" si="124">IF(AC260&gt;0,AC260*AB260,0)</f>
        <v>0</v>
      </c>
      <c r="AE260" s="28">
        <f t="shared" ref="AE260:AE320" si="125">AB260-AD260</f>
        <v>0</v>
      </c>
      <c r="AF260" s="51"/>
      <c r="AG260" t="str">
        <f t="shared" si="103"/>
        <v>5308370</v>
      </c>
    </row>
    <row r="261" spans="1:33" x14ac:dyDescent="0.25">
      <c r="A261" s="7" t="s">
        <v>596</v>
      </c>
      <c r="B261" s="2" t="s">
        <v>1155</v>
      </c>
      <c r="C261" s="4" t="s">
        <v>1154</v>
      </c>
      <c r="D261">
        <f>_xlfn.IFNA(VLOOKUP(A261,'Prior Year data'!$A$1:$T$317,12,FALSE),0)</f>
        <v>1926.5189385257861</v>
      </c>
      <c r="E261">
        <f>VLOOKUP(A261,'Basic HH'!$B$1:$Y$321,23,FALSE)</f>
        <v>13762.099389677498</v>
      </c>
      <c r="F261">
        <f>VLOOKUP(A261,'Conc. HH'!$B$1:$Y$321,23,FALSE)</f>
        <v>3617.7471840416069</v>
      </c>
      <c r="G261">
        <f>VLOOKUP(A261,'Targeted HH'!$B$1:$Y$321,23,FALSE)</f>
        <v>21429.70996342304</v>
      </c>
      <c r="H261">
        <f>VLOOKUP(A261,'EFIG HH'!$B$1:$Y$321,23,FALSE)</f>
        <v>29546.994271500953</v>
      </c>
      <c r="I261">
        <f t="shared" si="113"/>
        <v>68356.550808643093</v>
      </c>
      <c r="J261">
        <f t="shared" si="114"/>
        <v>1926.5189385257861</v>
      </c>
      <c r="K261" s="44">
        <f t="shared" si="115"/>
        <v>63599.507149127225</v>
      </c>
      <c r="L261">
        <f t="shared" si="116"/>
        <v>0</v>
      </c>
      <c r="M261">
        <f t="shared" si="117"/>
        <v>63599.507149127225</v>
      </c>
      <c r="N261">
        <f t="shared" si="118"/>
        <v>60394.923907746292</v>
      </c>
      <c r="O261">
        <f t="shared" si="104"/>
        <v>0</v>
      </c>
      <c r="P261">
        <f t="shared" si="105"/>
        <v>60394.923907746292</v>
      </c>
      <c r="Q261">
        <f t="shared" si="106"/>
        <v>60394.923907746292</v>
      </c>
      <c r="R261">
        <f t="shared" si="107"/>
        <v>0</v>
      </c>
      <c r="S261">
        <f t="shared" si="108"/>
        <v>60394.923907746292</v>
      </c>
      <c r="T261">
        <f t="shared" si="109"/>
        <v>60394.923907746292</v>
      </c>
      <c r="U261">
        <f t="shared" si="110"/>
        <v>0</v>
      </c>
      <c r="V261">
        <f t="shared" si="111"/>
        <v>60394.923907746292</v>
      </c>
      <c r="W261">
        <f t="shared" si="112"/>
        <v>60394.923907746292</v>
      </c>
      <c r="X261" s="44">
        <f t="shared" si="119"/>
        <v>7961.6269008968011</v>
      </c>
      <c r="Y261" s="28">
        <f t="shared" si="120"/>
        <v>465.75761916475591</v>
      </c>
      <c r="Z261" s="28">
        <f t="shared" si="121"/>
        <v>59929.166288581539</v>
      </c>
      <c r="AA261">
        <f t="shared" si="122"/>
        <v>0</v>
      </c>
      <c r="AB261" s="28">
        <f t="shared" si="123"/>
        <v>59929.166288581539</v>
      </c>
      <c r="AD261" s="28">
        <f t="shared" si="124"/>
        <v>0</v>
      </c>
      <c r="AE261" s="28">
        <f t="shared" si="125"/>
        <v>59929.166288581539</v>
      </c>
      <c r="AF261" s="51"/>
      <c r="AG261" t="str">
        <f t="shared" ref="AG261:AG320" si="126">A261</f>
        <v>5308400</v>
      </c>
    </row>
    <row r="262" spans="1:33" x14ac:dyDescent="0.25">
      <c r="A262" s="7" t="s">
        <v>231</v>
      </c>
      <c r="B262" s="2" t="s">
        <v>1157</v>
      </c>
      <c r="C262" s="4" t="s">
        <v>1156</v>
      </c>
      <c r="D262">
        <f>_xlfn.IFNA(VLOOKUP(A262,'Prior Year data'!$A$1:$T$317,12,FALSE),0)</f>
        <v>0</v>
      </c>
      <c r="E262">
        <f>VLOOKUP(A262,'Basic HH'!$B$1:$Y$321,23,FALSE)</f>
        <v>0</v>
      </c>
      <c r="F262">
        <f>VLOOKUP(A262,'Conc. HH'!$B$1:$Y$321,23,FALSE)</f>
        <v>0</v>
      </c>
      <c r="G262">
        <f>VLOOKUP(A262,'Targeted HH'!$B$1:$Y$321,23,FALSE)</f>
        <v>0</v>
      </c>
      <c r="H262">
        <f>VLOOKUP(A262,'EFIG HH'!$B$1:$Y$321,23,FALSE)</f>
        <v>0</v>
      </c>
      <c r="I262">
        <f t="shared" si="113"/>
        <v>0</v>
      </c>
      <c r="J262">
        <f t="shared" si="114"/>
        <v>0</v>
      </c>
      <c r="K262" s="44">
        <f t="shared" si="115"/>
        <v>0</v>
      </c>
      <c r="L262">
        <f t="shared" si="116"/>
        <v>0</v>
      </c>
      <c r="M262">
        <f t="shared" si="117"/>
        <v>0</v>
      </c>
      <c r="N262">
        <f t="shared" si="118"/>
        <v>0</v>
      </c>
      <c r="O262">
        <f t="shared" si="104"/>
        <v>0</v>
      </c>
      <c r="P262">
        <f t="shared" si="105"/>
        <v>0</v>
      </c>
      <c r="Q262">
        <f t="shared" si="106"/>
        <v>0</v>
      </c>
      <c r="R262">
        <f t="shared" si="107"/>
        <v>0</v>
      </c>
      <c r="S262">
        <f t="shared" si="108"/>
        <v>0</v>
      </c>
      <c r="T262">
        <f t="shared" si="109"/>
        <v>0</v>
      </c>
      <c r="U262">
        <f t="shared" si="110"/>
        <v>0</v>
      </c>
      <c r="V262">
        <f t="shared" si="111"/>
        <v>0</v>
      </c>
      <c r="W262">
        <f t="shared" si="112"/>
        <v>0</v>
      </c>
      <c r="X262" s="44">
        <f t="shared" si="119"/>
        <v>0</v>
      </c>
      <c r="Y262" s="28">
        <f t="shared" si="120"/>
        <v>0</v>
      </c>
      <c r="Z262" s="28">
        <f t="shared" si="121"/>
        <v>0</v>
      </c>
      <c r="AA262">
        <f t="shared" si="122"/>
        <v>0</v>
      </c>
      <c r="AB262" s="28">
        <f t="shared" si="123"/>
        <v>0</v>
      </c>
      <c r="AD262" s="28">
        <f t="shared" si="124"/>
        <v>0</v>
      </c>
      <c r="AE262" s="28">
        <f t="shared" si="125"/>
        <v>0</v>
      </c>
      <c r="AF262" s="51"/>
      <c r="AG262" t="str">
        <f t="shared" si="126"/>
        <v>5308430</v>
      </c>
    </row>
    <row r="263" spans="1:33" x14ac:dyDescent="0.25">
      <c r="A263" s="7" t="s">
        <v>233</v>
      </c>
      <c r="B263" s="2" t="s">
        <v>1159</v>
      </c>
      <c r="C263" s="4" t="s">
        <v>1158</v>
      </c>
      <c r="D263">
        <f>_xlfn.IFNA(VLOOKUP(A263,'Prior Year data'!$A$1:$T$317,12,FALSE),0)</f>
        <v>437536.62212196382</v>
      </c>
      <c r="E263">
        <f>VLOOKUP(A263,'Basic HH'!$B$1:$Y$321,23,FALSE)</f>
        <v>239116.47689564651</v>
      </c>
      <c r="F263">
        <f>VLOOKUP(A263,'Conc. HH'!$B$1:$Y$321,23,FALSE)</f>
        <v>0</v>
      </c>
      <c r="G263">
        <f>VLOOKUP(A263,'Targeted HH'!$B$1:$Y$321,23,FALSE)</f>
        <v>114423.77168545217</v>
      </c>
      <c r="H263">
        <f>VLOOKUP(A263,'EFIG HH'!$B$1:$Y$321,23,FALSE)</f>
        <v>157765.94887584512</v>
      </c>
      <c r="I263">
        <f t="shared" si="113"/>
        <v>511306.1974569438</v>
      </c>
      <c r="J263">
        <f t="shared" si="114"/>
        <v>437536.62212196382</v>
      </c>
      <c r="K263" s="44">
        <f t="shared" si="115"/>
        <v>475723.56673742866</v>
      </c>
      <c r="L263">
        <f t="shared" si="116"/>
        <v>0</v>
      </c>
      <c r="M263">
        <f t="shared" si="117"/>
        <v>475723.56673742866</v>
      </c>
      <c r="N263">
        <f t="shared" si="118"/>
        <v>451753.32171772892</v>
      </c>
      <c r="O263">
        <f t="shared" si="104"/>
        <v>0</v>
      </c>
      <c r="P263">
        <f t="shared" si="105"/>
        <v>451753.32171772892</v>
      </c>
      <c r="Q263">
        <f t="shared" si="106"/>
        <v>451753.32171772892</v>
      </c>
      <c r="R263">
        <f t="shared" si="107"/>
        <v>0</v>
      </c>
      <c r="S263">
        <f t="shared" si="108"/>
        <v>451753.32171772892</v>
      </c>
      <c r="T263">
        <f t="shared" si="109"/>
        <v>451753.32171772892</v>
      </c>
      <c r="U263">
        <f t="shared" si="110"/>
        <v>0</v>
      </c>
      <c r="V263">
        <f t="shared" si="111"/>
        <v>451753.32171772892</v>
      </c>
      <c r="W263">
        <f t="shared" si="112"/>
        <v>451753.32171772892</v>
      </c>
      <c r="X263" s="44">
        <f t="shared" si="119"/>
        <v>59552.875739214884</v>
      </c>
      <c r="Y263" s="28">
        <f t="shared" si="120"/>
        <v>3483.8615227733144</v>
      </c>
      <c r="Z263" s="28">
        <f t="shared" si="121"/>
        <v>448269.46019495558</v>
      </c>
      <c r="AA263">
        <f t="shared" si="122"/>
        <v>0</v>
      </c>
      <c r="AB263" s="28">
        <f t="shared" si="123"/>
        <v>448269.46019495558</v>
      </c>
      <c r="AD263" s="28">
        <f t="shared" si="124"/>
        <v>0</v>
      </c>
      <c r="AE263" s="28">
        <f t="shared" si="125"/>
        <v>448269.46019495558</v>
      </c>
      <c r="AF263" s="51"/>
      <c r="AG263" t="str">
        <f t="shared" si="126"/>
        <v>5308460</v>
      </c>
    </row>
    <row r="264" spans="1:33" x14ac:dyDescent="0.25">
      <c r="A264" s="7" t="s">
        <v>598</v>
      </c>
      <c r="B264" s="2" t="s">
        <v>1161</v>
      </c>
      <c r="C264" s="4" t="s">
        <v>1160</v>
      </c>
      <c r="D264">
        <f>_xlfn.IFNA(VLOOKUP(A264,'Prior Year data'!$A$1:$T$317,12,FALSE),0)</f>
        <v>2097.9759549933615</v>
      </c>
      <c r="E264">
        <f>VLOOKUP(A264,'Basic HH'!$B$1:$Y$321,23,FALSE)</f>
        <v>0</v>
      </c>
      <c r="F264">
        <f>VLOOKUP(A264,'Conc. HH'!$B$1:$Y$321,23,FALSE)</f>
        <v>1797.067595648725</v>
      </c>
      <c r="G264">
        <f>VLOOKUP(A264,'Targeted HH'!$B$1:$Y$321,23,FALSE)</f>
        <v>0</v>
      </c>
      <c r="H264">
        <f>VLOOKUP(A264,'EFIG HH'!$B$1:$Y$321,23,FALSE)</f>
        <v>0</v>
      </c>
      <c r="I264">
        <f t="shared" si="113"/>
        <v>1797.067595648725</v>
      </c>
      <c r="J264">
        <f t="shared" si="114"/>
        <v>2097.9759549933615</v>
      </c>
      <c r="K264" s="44">
        <f t="shared" si="115"/>
        <v>1672.006735929026</v>
      </c>
      <c r="L264">
        <f t="shared" si="116"/>
        <v>125.06085971969901</v>
      </c>
      <c r="M264">
        <f t="shared" si="117"/>
        <v>0</v>
      </c>
      <c r="N264">
        <f t="shared" si="118"/>
        <v>1797.067595648725</v>
      </c>
      <c r="O264">
        <f t="shared" si="104"/>
        <v>0</v>
      </c>
      <c r="P264">
        <f t="shared" si="105"/>
        <v>0</v>
      </c>
      <c r="Q264">
        <f t="shared" si="106"/>
        <v>1797.067595648725</v>
      </c>
      <c r="R264">
        <f t="shared" si="107"/>
        <v>0</v>
      </c>
      <c r="S264">
        <f t="shared" si="108"/>
        <v>0</v>
      </c>
      <c r="T264">
        <f t="shared" si="109"/>
        <v>1797.067595648725</v>
      </c>
      <c r="U264">
        <f t="shared" si="110"/>
        <v>0</v>
      </c>
      <c r="V264">
        <f t="shared" si="111"/>
        <v>0</v>
      </c>
      <c r="W264">
        <f t="shared" si="112"/>
        <v>1797.067595648725</v>
      </c>
      <c r="X264" s="44">
        <f t="shared" si="119"/>
        <v>0</v>
      </c>
      <c r="Y264" s="28">
        <f t="shared" si="120"/>
        <v>13.858746243409517</v>
      </c>
      <c r="Z264" s="28">
        <f t="shared" si="121"/>
        <v>1783.2088494053155</v>
      </c>
      <c r="AA264">
        <f t="shared" si="122"/>
        <v>0</v>
      </c>
      <c r="AB264" s="28">
        <f t="shared" si="123"/>
        <v>1783.2088494053155</v>
      </c>
      <c r="AD264" s="28">
        <f t="shared" si="124"/>
        <v>0</v>
      </c>
      <c r="AE264" s="28">
        <f t="shared" si="125"/>
        <v>1783.2088494053155</v>
      </c>
      <c r="AF264" s="51"/>
      <c r="AG264" t="str">
        <f t="shared" si="126"/>
        <v>5308490</v>
      </c>
    </row>
    <row r="265" spans="1:33" x14ac:dyDescent="0.25">
      <c r="A265" s="7" t="s">
        <v>600</v>
      </c>
      <c r="B265" s="2" t="s">
        <v>1163</v>
      </c>
      <c r="C265" s="4" t="s">
        <v>1162</v>
      </c>
      <c r="D265">
        <f>_xlfn.IFNA(VLOOKUP(A265,'Prior Year data'!$A$1:$T$317,12,FALSE),0)</f>
        <v>251538.90858973516</v>
      </c>
      <c r="E265">
        <f>VLOOKUP(A265,'Basic HH'!$B$1:$Y$321,23,FALSE)</f>
        <v>119558.23844782326</v>
      </c>
      <c r="F265">
        <f>VLOOKUP(A265,'Conc. HH'!$B$1:$Y$321,23,FALSE)</f>
        <v>31429.178661361457</v>
      </c>
      <c r="G265">
        <f>VLOOKUP(A265,'Targeted HH'!$B$1:$Y$321,23,FALSE)</f>
        <v>57211.885842726086</v>
      </c>
      <c r="H265">
        <f>VLOOKUP(A265,'EFIG HH'!$B$1:$Y$321,23,FALSE)</f>
        <v>78882.974437922559</v>
      </c>
      <c r="I265">
        <f t="shared" si="113"/>
        <v>287082.27738983335</v>
      </c>
      <c r="J265">
        <f t="shared" si="114"/>
        <v>251538.90858973516</v>
      </c>
      <c r="K265" s="44">
        <f t="shared" si="115"/>
        <v>267103.75431836199</v>
      </c>
      <c r="L265">
        <f t="shared" si="116"/>
        <v>0</v>
      </c>
      <c r="M265">
        <f t="shared" si="117"/>
        <v>267103.75431836199</v>
      </c>
      <c r="N265">
        <f t="shared" si="118"/>
        <v>253645.21897481728</v>
      </c>
      <c r="O265">
        <f t="shared" si="104"/>
        <v>0</v>
      </c>
      <c r="P265">
        <f t="shared" si="105"/>
        <v>253645.21897481728</v>
      </c>
      <c r="Q265">
        <f t="shared" si="106"/>
        <v>253645.21897481728</v>
      </c>
      <c r="R265">
        <f t="shared" si="107"/>
        <v>0</v>
      </c>
      <c r="S265">
        <f t="shared" si="108"/>
        <v>253645.21897481728</v>
      </c>
      <c r="T265">
        <f t="shared" si="109"/>
        <v>253645.21897481728</v>
      </c>
      <c r="U265">
        <f t="shared" si="110"/>
        <v>0</v>
      </c>
      <c r="V265">
        <f t="shared" si="111"/>
        <v>253645.21897481728</v>
      </c>
      <c r="W265">
        <f t="shared" si="112"/>
        <v>253645.21897481728</v>
      </c>
      <c r="X265" s="44">
        <f t="shared" si="119"/>
        <v>33437.058415016072</v>
      </c>
      <c r="Y265" s="28">
        <f t="shared" si="120"/>
        <v>1956.0781876750029</v>
      </c>
      <c r="Z265" s="28">
        <f t="shared" si="121"/>
        <v>251689.14078714227</v>
      </c>
      <c r="AA265">
        <f t="shared" si="122"/>
        <v>0</v>
      </c>
      <c r="AB265" s="28">
        <f t="shared" si="123"/>
        <v>251689.14078714227</v>
      </c>
      <c r="AD265" s="28">
        <f t="shared" si="124"/>
        <v>0</v>
      </c>
      <c r="AE265" s="28">
        <f t="shared" si="125"/>
        <v>251689.14078714227</v>
      </c>
      <c r="AF265" s="51"/>
      <c r="AG265" t="str">
        <f t="shared" si="126"/>
        <v>5308520</v>
      </c>
    </row>
    <row r="266" spans="1:33" x14ac:dyDescent="0.25">
      <c r="A266" s="7" t="s">
        <v>235</v>
      </c>
      <c r="B266" s="2" t="s">
        <v>1165</v>
      </c>
      <c r="C266" s="4" t="s">
        <v>1164</v>
      </c>
      <c r="D266">
        <f>_xlfn.IFNA(VLOOKUP(A266,'Prior Year data'!$A$1:$T$317,12,FALSE),0)</f>
        <v>389399.03846453916</v>
      </c>
      <c r="E266">
        <f>VLOOKUP(A266,'Basic HH'!$B$1:$Y$321,23,FALSE)</f>
        <v>192669.3914554849</v>
      </c>
      <c r="F266">
        <f>VLOOKUP(A266,'Conc. HH'!$B$1:$Y$321,23,FALSE)</f>
        <v>0</v>
      </c>
      <c r="G266">
        <f>VLOOKUP(A266,'Targeted HH'!$B$1:$Y$321,23,FALSE)</f>
        <v>92197.571430004638</v>
      </c>
      <c r="H266">
        <f>VLOOKUP(A266,'EFIG HH'!$B$1:$Y$321,23,FALSE)</f>
        <v>127120.76456183201</v>
      </c>
      <c r="I266">
        <f t="shared" si="113"/>
        <v>411987.72744732158</v>
      </c>
      <c r="J266">
        <f t="shared" si="114"/>
        <v>389399.03846453916</v>
      </c>
      <c r="K266" s="44">
        <f t="shared" si="115"/>
        <v>383316.83075246046</v>
      </c>
      <c r="L266">
        <f t="shared" si="116"/>
        <v>6082.2077120786998</v>
      </c>
      <c r="M266">
        <f t="shared" si="117"/>
        <v>0</v>
      </c>
      <c r="N266">
        <f t="shared" si="118"/>
        <v>389399.03846453916</v>
      </c>
      <c r="O266">
        <f t="shared" si="104"/>
        <v>0</v>
      </c>
      <c r="P266">
        <f t="shared" si="105"/>
        <v>0</v>
      </c>
      <c r="Q266">
        <f t="shared" si="106"/>
        <v>389399.03846453916</v>
      </c>
      <c r="R266">
        <f t="shared" si="107"/>
        <v>0</v>
      </c>
      <c r="S266">
        <f t="shared" si="108"/>
        <v>0</v>
      </c>
      <c r="T266">
        <f t="shared" si="109"/>
        <v>389399.03846453916</v>
      </c>
      <c r="U266">
        <f t="shared" si="110"/>
        <v>0</v>
      </c>
      <c r="V266">
        <f t="shared" si="111"/>
        <v>0</v>
      </c>
      <c r="W266">
        <f t="shared" si="112"/>
        <v>389399.03846453916</v>
      </c>
      <c r="X266" s="44">
        <f t="shared" si="119"/>
        <v>22588.68898278242</v>
      </c>
      <c r="Y266" s="28">
        <f t="shared" si="120"/>
        <v>3002.9935849795302</v>
      </c>
      <c r="Z266" s="28">
        <f t="shared" si="121"/>
        <v>386396.0448795596</v>
      </c>
      <c r="AA266">
        <f t="shared" si="122"/>
        <v>0</v>
      </c>
      <c r="AB266" s="28">
        <f t="shared" si="123"/>
        <v>386396.0448795596</v>
      </c>
      <c r="AD266" s="28">
        <f t="shared" si="124"/>
        <v>0</v>
      </c>
      <c r="AE266" s="28">
        <f t="shared" si="125"/>
        <v>386396.0448795596</v>
      </c>
      <c r="AF266" s="51"/>
      <c r="AG266" t="str">
        <f t="shared" si="126"/>
        <v>5308550</v>
      </c>
    </row>
    <row r="267" spans="1:33" x14ac:dyDescent="0.25">
      <c r="A267" s="7" t="s">
        <v>76</v>
      </c>
      <c r="B267" s="2" t="s">
        <v>1166</v>
      </c>
      <c r="C267" s="4" t="s">
        <v>26</v>
      </c>
      <c r="D267">
        <f>_xlfn.IFNA(VLOOKUP(A267,'Prior Year data'!$A$1:$T$317,12,FALSE),0)</f>
        <v>199125.00688793097</v>
      </c>
      <c r="E267">
        <f>VLOOKUP(A267,'Basic HH'!$B$1:$Y$321,23,FALSE)</f>
        <v>95977.182362016014</v>
      </c>
      <c r="F267">
        <f>VLOOKUP(A267,'Conc. HH'!$B$1:$Y$321,23,FALSE)</f>
        <v>23567.859713492435</v>
      </c>
      <c r="G267">
        <f>VLOOKUP(A267,'Targeted HH'!$B$1:$Y$321,23,FALSE)</f>
        <v>80592.787838773686</v>
      </c>
      <c r="H267">
        <f>VLOOKUP(A267,'EFIG HH'!$B$1:$Y$321,23,FALSE)</f>
        <v>111120.24589511377</v>
      </c>
      <c r="I267">
        <f t="shared" si="113"/>
        <v>311258.07580939587</v>
      </c>
      <c r="J267">
        <f t="shared" si="114"/>
        <v>199125.00688793097</v>
      </c>
      <c r="K267" s="44">
        <f t="shared" si="115"/>
        <v>289597.11956619442</v>
      </c>
      <c r="L267">
        <f t="shared" si="116"/>
        <v>0</v>
      </c>
      <c r="M267">
        <f t="shared" si="117"/>
        <v>289597.11956619442</v>
      </c>
      <c r="N267">
        <f t="shared" si="118"/>
        <v>275005.21284059726</v>
      </c>
      <c r="O267">
        <f t="shared" si="104"/>
        <v>0</v>
      </c>
      <c r="P267">
        <f t="shared" si="105"/>
        <v>275005.21284059726</v>
      </c>
      <c r="Q267">
        <f t="shared" si="106"/>
        <v>275005.21284059726</v>
      </c>
      <c r="R267">
        <f t="shared" si="107"/>
        <v>0</v>
      </c>
      <c r="S267">
        <f t="shared" si="108"/>
        <v>275005.21284059726</v>
      </c>
      <c r="T267">
        <f t="shared" si="109"/>
        <v>275005.21284059726</v>
      </c>
      <c r="U267">
        <f t="shared" si="110"/>
        <v>0</v>
      </c>
      <c r="V267">
        <f t="shared" si="111"/>
        <v>275005.21284059726</v>
      </c>
      <c r="W267">
        <f t="shared" si="112"/>
        <v>275005.21284059726</v>
      </c>
      <c r="X267" s="44">
        <f t="shared" si="119"/>
        <v>36252.86296879861</v>
      </c>
      <c r="Y267" s="28">
        <f t="shared" si="120"/>
        <v>2120.8036189628378</v>
      </c>
      <c r="Z267" s="28">
        <f t="shared" si="121"/>
        <v>272884.40922163444</v>
      </c>
      <c r="AA267">
        <f t="shared" si="122"/>
        <v>0</v>
      </c>
      <c r="AB267" s="28">
        <f t="shared" si="123"/>
        <v>272884.40922163444</v>
      </c>
      <c r="AD267" s="28">
        <f t="shared" si="124"/>
        <v>0</v>
      </c>
      <c r="AE267" s="28">
        <f t="shared" si="125"/>
        <v>272884.40922163444</v>
      </c>
      <c r="AF267" s="51"/>
      <c r="AG267" t="str">
        <f t="shared" si="126"/>
        <v>5308290</v>
      </c>
    </row>
    <row r="268" spans="1:33" x14ac:dyDescent="0.25">
      <c r="A268" s="7" t="s">
        <v>84</v>
      </c>
      <c r="B268" s="2" t="s">
        <v>1167</v>
      </c>
      <c r="C268" s="4" t="s">
        <v>41</v>
      </c>
      <c r="D268">
        <f>_xlfn.IFNA(VLOOKUP(A268,'Prior Year data'!$A$1:$T$317,12,FALSE),0)</f>
        <v>60562.980732358999</v>
      </c>
      <c r="E268">
        <f>VLOOKUP(A268,'Basic HH'!$B$1:$Y$321,23,FALSE)</f>
        <v>19858.831938310435</v>
      </c>
      <c r="F268">
        <f>VLOOKUP(A268,'Conc. HH'!$B$1:$Y$321,23,FALSE)</f>
        <v>0</v>
      </c>
      <c r="G268">
        <f>VLOOKUP(A268,'Targeted HH'!$B$1:$Y$321,23,FALSE)</f>
        <v>15827.919949282043</v>
      </c>
      <c r="H268">
        <f>VLOOKUP(A268,'EFIG HH'!$B$1:$Y$321,23,FALSE)</f>
        <v>21823.321961400456</v>
      </c>
      <c r="I268">
        <f t="shared" si="113"/>
        <v>57510.073848992935</v>
      </c>
      <c r="J268">
        <f t="shared" si="114"/>
        <v>60562.980732358999</v>
      </c>
      <c r="K268" s="44">
        <f t="shared" si="115"/>
        <v>53507.854179842376</v>
      </c>
      <c r="L268">
        <f t="shared" si="116"/>
        <v>4002.2196691505596</v>
      </c>
      <c r="M268">
        <f t="shared" si="117"/>
        <v>0</v>
      </c>
      <c r="N268">
        <f t="shared" si="118"/>
        <v>57510.073848992935</v>
      </c>
      <c r="O268">
        <f t="shared" si="104"/>
        <v>0</v>
      </c>
      <c r="P268">
        <f t="shared" si="105"/>
        <v>0</v>
      </c>
      <c r="Q268">
        <f t="shared" si="106"/>
        <v>57510.073848992935</v>
      </c>
      <c r="R268">
        <f t="shared" si="107"/>
        <v>0</v>
      </c>
      <c r="S268">
        <f t="shared" si="108"/>
        <v>0</v>
      </c>
      <c r="T268">
        <f t="shared" si="109"/>
        <v>57510.073848992935</v>
      </c>
      <c r="U268">
        <f t="shared" si="110"/>
        <v>0</v>
      </c>
      <c r="V268">
        <f t="shared" si="111"/>
        <v>0</v>
      </c>
      <c r="W268">
        <f t="shared" si="112"/>
        <v>57510.073848992935</v>
      </c>
      <c r="X268" s="44">
        <f t="shared" si="119"/>
        <v>0</v>
      </c>
      <c r="Y268" s="28">
        <f t="shared" si="120"/>
        <v>443.51003926773194</v>
      </c>
      <c r="Z268" s="28">
        <f t="shared" si="121"/>
        <v>57066.563809725201</v>
      </c>
      <c r="AA268">
        <f t="shared" si="122"/>
        <v>0</v>
      </c>
      <c r="AB268" s="28">
        <f t="shared" si="123"/>
        <v>57066.563809725201</v>
      </c>
      <c r="AD268" s="28">
        <f t="shared" si="124"/>
        <v>0</v>
      </c>
      <c r="AE268" s="28">
        <f t="shared" si="125"/>
        <v>57066.563809725201</v>
      </c>
      <c r="AF268" s="51"/>
      <c r="AG268" t="str">
        <f t="shared" si="126"/>
        <v>5308230</v>
      </c>
    </row>
    <row r="269" spans="1:33" x14ac:dyDescent="0.25">
      <c r="A269" s="7" t="s">
        <v>77</v>
      </c>
      <c r="B269" s="2" t="s">
        <v>1168</v>
      </c>
      <c r="C269" s="4" t="s">
        <v>28</v>
      </c>
      <c r="D269">
        <f>_xlfn.IFNA(VLOOKUP(A269,'Prior Year data'!$A$1:$T$317,12,FALSE),0)</f>
        <v>73399.839771274419</v>
      </c>
      <c r="E269">
        <f>VLOOKUP(A269,'Basic HH'!$B$1:$Y$321,23,FALSE)</f>
        <v>36914.300908467805</v>
      </c>
      <c r="F269">
        <f>VLOOKUP(A269,'Conc. HH'!$B$1:$Y$321,23,FALSE)</f>
        <v>0</v>
      </c>
      <c r="G269">
        <f>VLOOKUP(A269,'Targeted HH'!$B$1:$Y$321,23,FALSE)</f>
        <v>30997.226091836135</v>
      </c>
      <c r="H269">
        <f>VLOOKUP(A269,'EFIG HH'!$B$1:$Y$321,23,FALSE)</f>
        <v>42738.556113505423</v>
      </c>
      <c r="I269">
        <f t="shared" si="113"/>
        <v>110650.08311380935</v>
      </c>
      <c r="J269">
        <f t="shared" si="114"/>
        <v>73399.839771274419</v>
      </c>
      <c r="K269" s="44">
        <f t="shared" si="115"/>
        <v>102949.76368465969</v>
      </c>
      <c r="L269">
        <f t="shared" si="116"/>
        <v>0</v>
      </c>
      <c r="M269">
        <f t="shared" si="117"/>
        <v>102949.76368465969</v>
      </c>
      <c r="N269">
        <f t="shared" si="118"/>
        <v>97762.44223837211</v>
      </c>
      <c r="O269">
        <f t="shared" si="104"/>
        <v>0</v>
      </c>
      <c r="P269">
        <f t="shared" si="105"/>
        <v>97762.44223837211</v>
      </c>
      <c r="Q269">
        <f t="shared" si="106"/>
        <v>97762.44223837211</v>
      </c>
      <c r="R269">
        <f t="shared" si="107"/>
        <v>0</v>
      </c>
      <c r="S269">
        <f t="shared" si="108"/>
        <v>97762.44223837211</v>
      </c>
      <c r="T269">
        <f t="shared" si="109"/>
        <v>97762.44223837211</v>
      </c>
      <c r="U269">
        <f t="shared" si="110"/>
        <v>0</v>
      </c>
      <c r="V269">
        <f t="shared" si="111"/>
        <v>97762.44223837211</v>
      </c>
      <c r="W269">
        <f t="shared" si="112"/>
        <v>97762.44223837211</v>
      </c>
      <c r="X269" s="44">
        <f t="shared" si="119"/>
        <v>12887.640875437239</v>
      </c>
      <c r="Y269" s="28">
        <f t="shared" si="120"/>
        <v>753.93094973062784</v>
      </c>
      <c r="Z269" s="28">
        <f t="shared" si="121"/>
        <v>97008.511288641486</v>
      </c>
      <c r="AA269">
        <f t="shared" si="122"/>
        <v>0</v>
      </c>
      <c r="AB269" s="28">
        <f t="shared" si="123"/>
        <v>97008.511288641486</v>
      </c>
      <c r="AD269" s="28">
        <f t="shared" si="124"/>
        <v>0</v>
      </c>
      <c r="AE269" s="28">
        <f t="shared" si="125"/>
        <v>97008.511288641486</v>
      </c>
      <c r="AF269" s="51"/>
      <c r="AG269" t="str">
        <f t="shared" si="126"/>
        <v>5308240</v>
      </c>
    </row>
    <row r="270" spans="1:33" x14ac:dyDescent="0.25">
      <c r="A270" s="7" t="s">
        <v>602</v>
      </c>
      <c r="B270" s="2" t="s">
        <v>1170</v>
      </c>
      <c r="C270" s="4" t="s">
        <v>1169</v>
      </c>
      <c r="D270">
        <f>_xlfn.IFNA(VLOOKUP(A270,'Prior Year data'!$A$1:$T$317,12,FALSE),0)</f>
        <v>53194.493457452198</v>
      </c>
      <c r="E270">
        <f>VLOOKUP(A270,'Basic HH'!$B$1:$Y$321,23,FALSE)</f>
        <v>19632.409156375907</v>
      </c>
      <c r="F270">
        <f>VLOOKUP(A270,'Conc. HH'!$B$1:$Y$321,23,FALSE)</f>
        <v>5141.8366091035523</v>
      </c>
      <c r="G270">
        <f>VLOOKUP(A270,'Targeted HH'!$B$1:$Y$321,23,FALSE)</f>
        <v>12368.125106929569</v>
      </c>
      <c r="H270">
        <f>VLOOKUP(A270,'EFIG HH'!$B$1:$Y$321,23,FALSE)</f>
        <v>17054.824055209006</v>
      </c>
      <c r="I270">
        <f t="shared" si="113"/>
        <v>54197.194927618031</v>
      </c>
      <c r="J270">
        <f t="shared" si="114"/>
        <v>53194.493457452198</v>
      </c>
      <c r="K270" s="44">
        <f t="shared" si="115"/>
        <v>50425.523896180151</v>
      </c>
      <c r="L270">
        <f t="shared" si="116"/>
        <v>2768.9695612720461</v>
      </c>
      <c r="M270">
        <f t="shared" si="117"/>
        <v>0</v>
      </c>
      <c r="N270">
        <f t="shared" si="118"/>
        <v>53194.493457452198</v>
      </c>
      <c r="O270">
        <f t="shared" si="104"/>
        <v>0</v>
      </c>
      <c r="P270">
        <f t="shared" si="105"/>
        <v>0</v>
      </c>
      <c r="Q270">
        <f t="shared" si="106"/>
        <v>53194.493457452198</v>
      </c>
      <c r="R270">
        <f t="shared" si="107"/>
        <v>0</v>
      </c>
      <c r="S270">
        <f t="shared" si="108"/>
        <v>0</v>
      </c>
      <c r="T270">
        <f t="shared" si="109"/>
        <v>53194.493457452198</v>
      </c>
      <c r="U270">
        <f t="shared" si="110"/>
        <v>0</v>
      </c>
      <c r="V270">
        <f t="shared" si="111"/>
        <v>0</v>
      </c>
      <c r="W270">
        <f t="shared" si="112"/>
        <v>53194.493457452198</v>
      </c>
      <c r="X270" s="44">
        <f t="shared" si="119"/>
        <v>1002.7014701658336</v>
      </c>
      <c r="Y270" s="28">
        <f t="shared" si="120"/>
        <v>410.22885736661004</v>
      </c>
      <c r="Z270" s="28">
        <f t="shared" si="121"/>
        <v>52784.264600085589</v>
      </c>
      <c r="AA270">
        <f t="shared" si="122"/>
        <v>0</v>
      </c>
      <c r="AB270" s="28">
        <f t="shared" si="123"/>
        <v>52784.264600085589</v>
      </c>
      <c r="AD270" s="28">
        <f t="shared" si="124"/>
        <v>0</v>
      </c>
      <c r="AE270" s="28">
        <f t="shared" si="125"/>
        <v>52784.264600085589</v>
      </c>
      <c r="AF270" s="51"/>
      <c r="AG270" t="str">
        <f t="shared" si="126"/>
        <v>5308580</v>
      </c>
    </row>
    <row r="271" spans="1:33" x14ac:dyDescent="0.25">
      <c r="A271" s="7" t="s">
        <v>237</v>
      </c>
      <c r="B271" s="2" t="s">
        <v>1172</v>
      </c>
      <c r="C271" s="4" t="s">
        <v>1171</v>
      </c>
      <c r="D271">
        <f>_xlfn.IFNA(VLOOKUP(A271,'Prior Year data'!$A$1:$T$317,12,FALSE),0)</f>
        <v>1003510.5655291684</v>
      </c>
      <c r="E271">
        <f>VLOOKUP(A271,'Basic HH'!$B$1:$Y$321,23,FALSE)</f>
        <v>484253.87227427692</v>
      </c>
      <c r="F271">
        <f>VLOOKUP(A271,'Conc. HH'!$B$1:$Y$321,23,FALSE)</f>
        <v>0</v>
      </c>
      <c r="G271">
        <f>VLOOKUP(A271,'Targeted HH'!$B$1:$Y$321,23,FALSE)</f>
        <v>231728.71747809197</v>
      </c>
      <c r="H271">
        <f>VLOOKUP(A271,'EFIG HH'!$B$1:$Y$321,23,FALSE)</f>
        <v>319504.42164424749</v>
      </c>
      <c r="I271">
        <f t="shared" si="113"/>
        <v>1035487.0113966163</v>
      </c>
      <c r="J271">
        <f t="shared" si="114"/>
        <v>1003510.5655291684</v>
      </c>
      <c r="K271" s="44">
        <f t="shared" si="115"/>
        <v>963425.78443587164</v>
      </c>
      <c r="L271">
        <f t="shared" si="116"/>
        <v>40084.781093296711</v>
      </c>
      <c r="M271">
        <f t="shared" si="117"/>
        <v>0</v>
      </c>
      <c r="N271">
        <f t="shared" si="118"/>
        <v>1003510.5655291684</v>
      </c>
      <c r="O271">
        <f t="shared" si="104"/>
        <v>0</v>
      </c>
      <c r="P271">
        <f t="shared" si="105"/>
        <v>0</v>
      </c>
      <c r="Q271">
        <f t="shared" si="106"/>
        <v>1003510.5655291684</v>
      </c>
      <c r="R271">
        <f t="shared" si="107"/>
        <v>0</v>
      </c>
      <c r="S271">
        <f t="shared" si="108"/>
        <v>0</v>
      </c>
      <c r="T271">
        <f t="shared" si="109"/>
        <v>1003510.5655291684</v>
      </c>
      <c r="U271">
        <f t="shared" si="110"/>
        <v>0</v>
      </c>
      <c r="V271">
        <f t="shared" si="111"/>
        <v>0</v>
      </c>
      <c r="W271">
        <f t="shared" si="112"/>
        <v>1003510.5655291684</v>
      </c>
      <c r="X271" s="44">
        <f t="shared" si="119"/>
        <v>31976.445867447997</v>
      </c>
      <c r="Y271" s="28">
        <f t="shared" si="120"/>
        <v>7738.9399897496205</v>
      </c>
      <c r="Z271" s="28">
        <f t="shared" si="121"/>
        <v>995771.62553941878</v>
      </c>
      <c r="AA271">
        <f t="shared" si="122"/>
        <v>0</v>
      </c>
      <c r="AB271" s="28">
        <f t="shared" si="123"/>
        <v>995771.62553941878</v>
      </c>
      <c r="AD271" s="28">
        <f t="shared" si="124"/>
        <v>0</v>
      </c>
      <c r="AE271" s="28">
        <f t="shared" si="125"/>
        <v>995771.62553941878</v>
      </c>
      <c r="AF271" s="51"/>
      <c r="AG271" t="str">
        <f t="shared" si="126"/>
        <v>5308610</v>
      </c>
    </row>
    <row r="272" spans="1:33" x14ac:dyDescent="0.25">
      <c r="A272" s="7" t="s">
        <v>604</v>
      </c>
      <c r="B272" s="2" t="s">
        <v>1174</v>
      </c>
      <c r="C272" s="4" t="s">
        <v>1173</v>
      </c>
      <c r="D272">
        <f>_xlfn.IFNA(VLOOKUP(A272,'Prior Year data'!$A$1:$T$317,12,FALSE),0)</f>
        <v>2494920.935762791</v>
      </c>
      <c r="E272">
        <f>VLOOKUP(A272,'Basic HH'!$B$1:$Y$321,23,FALSE)</f>
        <v>1031297.323013957</v>
      </c>
      <c r="F272">
        <f>VLOOKUP(A272,'Conc. HH'!$B$1:$Y$321,23,FALSE)</f>
        <v>271104.92960411787</v>
      </c>
      <c r="G272">
        <f>VLOOKUP(A272,'Targeted HH'!$B$1:$Y$321,23,FALSE)</f>
        <v>598049.42539194995</v>
      </c>
      <c r="H272">
        <f>VLOOKUP(A272,'EFIG HH'!$B$1:$Y$321,23,FALSE)</f>
        <v>824582.45941224066</v>
      </c>
      <c r="I272">
        <f t="shared" si="113"/>
        <v>2725034.1374222655</v>
      </c>
      <c r="J272">
        <f t="shared" si="114"/>
        <v>2494920.935762791</v>
      </c>
      <c r="K272" s="44">
        <f t="shared" si="115"/>
        <v>2535394.5752729448</v>
      </c>
      <c r="L272">
        <f t="shared" si="116"/>
        <v>0</v>
      </c>
      <c r="M272">
        <f t="shared" si="117"/>
        <v>2535394.5752729448</v>
      </c>
      <c r="N272">
        <f t="shared" si="118"/>
        <v>2407643.8531304495</v>
      </c>
      <c r="O272">
        <f t="shared" si="104"/>
        <v>87277.082632341422</v>
      </c>
      <c r="P272">
        <f t="shared" si="105"/>
        <v>0</v>
      </c>
      <c r="Q272">
        <f t="shared" si="106"/>
        <v>2407643.8531304495</v>
      </c>
      <c r="R272">
        <f t="shared" si="107"/>
        <v>0</v>
      </c>
      <c r="S272">
        <f t="shared" si="108"/>
        <v>0</v>
      </c>
      <c r="T272">
        <f t="shared" si="109"/>
        <v>2407643.8531304495</v>
      </c>
      <c r="U272">
        <f t="shared" si="110"/>
        <v>87277.082632341422</v>
      </c>
      <c r="V272">
        <f t="shared" si="111"/>
        <v>0</v>
      </c>
      <c r="W272">
        <f t="shared" si="112"/>
        <v>2407643.8531304495</v>
      </c>
      <c r="X272" s="44">
        <f t="shared" si="119"/>
        <v>317390.28429181594</v>
      </c>
      <c r="Y272" s="28">
        <f t="shared" si="120"/>
        <v>18567.429119434139</v>
      </c>
      <c r="Z272" s="28">
        <f t="shared" si="121"/>
        <v>2389076.4240110153</v>
      </c>
      <c r="AA272">
        <f t="shared" si="122"/>
        <v>0</v>
      </c>
      <c r="AB272" s="28">
        <f t="shared" si="123"/>
        <v>2389076.4240110153</v>
      </c>
      <c r="AD272" s="28">
        <f t="shared" si="124"/>
        <v>0</v>
      </c>
      <c r="AE272" s="28">
        <f t="shared" si="125"/>
        <v>2389076.4240110153</v>
      </c>
      <c r="AF272" s="51"/>
      <c r="AG272" t="str">
        <f t="shared" si="126"/>
        <v>5308670</v>
      </c>
    </row>
    <row r="273" spans="1:33" x14ac:dyDescent="0.25">
      <c r="A273" s="7" t="s">
        <v>70</v>
      </c>
      <c r="B273" s="2" t="s">
        <v>1175</v>
      </c>
      <c r="C273" s="4" t="s">
        <v>11</v>
      </c>
      <c r="D273">
        <f>_xlfn.IFNA(VLOOKUP(A273,'Prior Year data'!$A$1:$T$317,12,FALSE),0)</f>
        <v>32085.565525649748</v>
      </c>
      <c r="E273">
        <f>VLOOKUP(A273,'Basic HH'!$B$1:$Y$321,23,FALSE)</f>
        <v>15491.669203366189</v>
      </c>
      <c r="F273">
        <f>VLOOKUP(A273,'Conc. HH'!$B$1:$Y$321,23,FALSE)</f>
        <v>4072.4122860658604</v>
      </c>
      <c r="G273">
        <f>VLOOKUP(A273,'Targeted HH'!$B$1:$Y$321,23,FALSE)</f>
        <v>8685.1267079688332</v>
      </c>
      <c r="H273">
        <f>VLOOKUP(A273,'EFIG HH'!$B$1:$Y$321,23,FALSE)</f>
        <v>11974.935242969781</v>
      </c>
      <c r="I273">
        <f t="shared" si="113"/>
        <v>40224.143440370666</v>
      </c>
      <c r="J273">
        <f t="shared" si="114"/>
        <v>32085.565525649748</v>
      </c>
      <c r="K273" s="44">
        <f t="shared" si="115"/>
        <v>37424.879810932565</v>
      </c>
      <c r="L273">
        <f t="shared" si="116"/>
        <v>0</v>
      </c>
      <c r="M273">
        <f t="shared" si="117"/>
        <v>37424.879810932565</v>
      </c>
      <c r="N273">
        <f t="shared" si="118"/>
        <v>35539.15540788653</v>
      </c>
      <c r="O273">
        <f t="shared" ref="O273:O320" si="127">IF(L273=0,IF(N273&lt;J273,MIN(I273,J273)-N273,0),0)</f>
        <v>0</v>
      </c>
      <c r="P273">
        <f t="shared" ref="P273:P320" si="128">IF(O273+L273=0,N273,0)</f>
        <v>35539.15540788653</v>
      </c>
      <c r="Q273">
        <f t="shared" ref="Q273:Q320" si="129">IF(J273&gt;0,N273,IF(O273&gt;0,O273+N273,P273-(P273/$P$3*$O$3)))</f>
        <v>35539.15540788653</v>
      </c>
      <c r="R273">
        <f t="shared" ref="R273:R320" si="130">IF(O273=0, IF(Q273&lt;J273,MIN(I273,J273)-Q273,0),0)</f>
        <v>0</v>
      </c>
      <c r="S273">
        <f t="shared" ref="S273:S320" si="131">IF(L273+O273+R273=0,N273,0)</f>
        <v>35539.15540788653</v>
      </c>
      <c r="T273">
        <f t="shared" ref="T273:T320" si="132">IF(J273&gt;0,Q273,IF(R273&gt;0,Q273+N273,S273-(S273/$S$3*$R$3)))</f>
        <v>35539.15540788653</v>
      </c>
      <c r="U273">
        <f t="shared" ref="U273:U320" si="133">IF(R273=0,IF(T273&lt;J273,MIN(I273,J273)-T273,0),0)</f>
        <v>0</v>
      </c>
      <c r="V273">
        <f t="shared" ref="V273:V320" si="134">IF(U273+R273+O273+L273=0,T273,0)</f>
        <v>35539.15540788653</v>
      </c>
      <c r="W273">
        <f t="shared" ref="W273:W320" si="135">IF(J273&gt;0,T273,IF(T273&gt;0,U273+T273,U273-(U273/$U$3*$T$3)))</f>
        <v>35539.15540788653</v>
      </c>
      <c r="X273" s="44">
        <f t="shared" si="119"/>
        <v>4684.9880324841361</v>
      </c>
      <c r="Y273" s="28">
        <f t="shared" si="120"/>
        <v>274.07323892298899</v>
      </c>
      <c r="Z273" s="28">
        <f t="shared" si="121"/>
        <v>35265.082168963541</v>
      </c>
      <c r="AA273">
        <f t="shared" si="122"/>
        <v>0</v>
      </c>
      <c r="AB273" s="28">
        <f t="shared" si="123"/>
        <v>35265.082168963541</v>
      </c>
      <c r="AD273" s="28">
        <f t="shared" si="124"/>
        <v>0</v>
      </c>
      <c r="AE273" s="28">
        <f t="shared" si="125"/>
        <v>35265.082168963541</v>
      </c>
      <c r="AF273" s="51"/>
      <c r="AG273" t="str">
        <f t="shared" si="126"/>
        <v>5308690</v>
      </c>
    </row>
    <row r="274" spans="1:33" x14ac:dyDescent="0.25">
      <c r="A274" s="7" t="s">
        <v>65</v>
      </c>
      <c r="B274" s="2" t="s">
        <v>1176</v>
      </c>
      <c r="C274" s="4" t="s">
        <v>40</v>
      </c>
      <c r="D274">
        <f>_xlfn.IFNA(VLOOKUP(A274,'Prior Year data'!$A$1:$T$317,12,FALSE),0)</f>
        <v>10316420.056923801</v>
      </c>
      <c r="E274">
        <f>VLOOKUP(A274,'Basic HH'!$B$1:$Y$321,23,FALSE)</f>
        <v>3730192.9050658001</v>
      </c>
      <c r="F274">
        <f>VLOOKUP(A274,'Conc. HH'!$B$1:$Y$321,23,FALSE)</f>
        <v>0</v>
      </c>
      <c r="G274">
        <f>VLOOKUP(A274,'Targeted HH'!$B$1:$Y$321,23,FALSE)</f>
        <v>2973044.6825959939</v>
      </c>
      <c r="H274">
        <f>VLOOKUP(A274,'EFIG HH'!$B$1:$Y$321,23,FALSE)</f>
        <v>4099193.7994268802</v>
      </c>
      <c r="I274">
        <f t="shared" si="113"/>
        <v>10802431.387088673</v>
      </c>
      <c r="J274">
        <f t="shared" si="114"/>
        <v>10316420.056923801</v>
      </c>
      <c r="K274" s="44">
        <f t="shared" si="115"/>
        <v>10050672.59982687</v>
      </c>
      <c r="L274">
        <f t="shared" si="116"/>
        <v>265747.45709693059</v>
      </c>
      <c r="M274">
        <f t="shared" si="117"/>
        <v>0</v>
      </c>
      <c r="N274">
        <f t="shared" si="118"/>
        <v>10316420.056923801</v>
      </c>
      <c r="O274">
        <f t="shared" si="127"/>
        <v>0</v>
      </c>
      <c r="P274">
        <f t="shared" si="128"/>
        <v>0</v>
      </c>
      <c r="Q274">
        <f t="shared" si="129"/>
        <v>10316420.056923801</v>
      </c>
      <c r="R274">
        <f t="shared" si="130"/>
        <v>0</v>
      </c>
      <c r="S274">
        <f t="shared" si="131"/>
        <v>0</v>
      </c>
      <c r="T274">
        <f t="shared" si="132"/>
        <v>10316420.056923801</v>
      </c>
      <c r="U274">
        <f t="shared" si="133"/>
        <v>0</v>
      </c>
      <c r="V274">
        <f t="shared" si="134"/>
        <v>0</v>
      </c>
      <c r="W274">
        <f t="shared" si="135"/>
        <v>10316420.056923801</v>
      </c>
      <c r="X274" s="44">
        <f t="shared" si="119"/>
        <v>486011.33016487211</v>
      </c>
      <c r="Y274" s="28">
        <f t="shared" si="120"/>
        <v>79558.859141141817</v>
      </c>
      <c r="Z274" s="28">
        <f t="shared" si="121"/>
        <v>10236861.19778266</v>
      </c>
      <c r="AA274">
        <f t="shared" si="122"/>
        <v>0</v>
      </c>
      <c r="AB274" s="28">
        <f t="shared" si="123"/>
        <v>10236861.19778266</v>
      </c>
      <c r="AD274" s="28">
        <f t="shared" si="124"/>
        <v>0</v>
      </c>
      <c r="AE274" s="28">
        <f t="shared" si="125"/>
        <v>10236861.19778266</v>
      </c>
      <c r="AF274" s="51"/>
      <c r="AG274" t="str">
        <f t="shared" si="126"/>
        <v>5308700</v>
      </c>
    </row>
    <row r="275" spans="1:33" x14ac:dyDescent="0.25">
      <c r="A275" s="7" t="s">
        <v>606</v>
      </c>
      <c r="B275" s="2" t="s">
        <v>1178</v>
      </c>
      <c r="C275" s="4" t="s">
        <v>1177</v>
      </c>
      <c r="D275">
        <f>_xlfn.IFNA(VLOOKUP(A275,'Prior Year data'!$A$1:$T$317,12,FALSE),0)</f>
        <v>139668.27850836157</v>
      </c>
      <c r="E275">
        <f>VLOOKUP(A275,'Basic HH'!$B$1:$Y$321,23,FALSE)</f>
        <v>74831.415431371337</v>
      </c>
      <c r="F275">
        <f>VLOOKUP(A275,'Conc. HH'!$B$1:$Y$321,23,FALSE)</f>
        <v>19671.500313226235</v>
      </c>
      <c r="G275">
        <f>VLOOKUP(A275,'Targeted HH'!$B$1:$Y$321,23,FALSE)</f>
        <v>49265.792873438004</v>
      </c>
      <c r="H275">
        <f>VLOOKUP(A275,'EFIG HH'!$B$1:$Y$321,23,FALSE)</f>
        <v>67927.008918785621</v>
      </c>
      <c r="I275">
        <f t="shared" si="113"/>
        <v>211695.7175368212</v>
      </c>
      <c r="J275">
        <f t="shared" si="114"/>
        <v>139668.27850836157</v>
      </c>
      <c r="K275" s="44">
        <f t="shared" si="115"/>
        <v>196963.46789955799</v>
      </c>
      <c r="L275">
        <f t="shared" si="116"/>
        <v>0</v>
      </c>
      <c r="M275">
        <f t="shared" si="117"/>
        <v>196963.46789955799</v>
      </c>
      <c r="N275">
        <f t="shared" si="118"/>
        <v>187039.08551534865</v>
      </c>
      <c r="O275">
        <f t="shared" si="127"/>
        <v>0</v>
      </c>
      <c r="P275">
        <f t="shared" si="128"/>
        <v>187039.08551534865</v>
      </c>
      <c r="Q275">
        <f t="shared" si="129"/>
        <v>187039.08551534865</v>
      </c>
      <c r="R275">
        <f t="shared" si="130"/>
        <v>0</v>
      </c>
      <c r="S275">
        <f t="shared" si="131"/>
        <v>187039.08551534865</v>
      </c>
      <c r="T275">
        <f t="shared" si="132"/>
        <v>187039.08551534865</v>
      </c>
      <c r="U275">
        <f t="shared" si="133"/>
        <v>0</v>
      </c>
      <c r="V275">
        <f t="shared" si="134"/>
        <v>187039.08551534865</v>
      </c>
      <c r="W275">
        <f t="shared" si="135"/>
        <v>187039.08551534865</v>
      </c>
      <c r="X275" s="44">
        <f t="shared" si="119"/>
        <v>24656.632021472557</v>
      </c>
      <c r="Y275" s="28">
        <f t="shared" si="120"/>
        <v>1442.4205466911526</v>
      </c>
      <c r="Z275" s="28">
        <f t="shared" si="121"/>
        <v>185596.66496865748</v>
      </c>
      <c r="AA275">
        <f t="shared" si="122"/>
        <v>0</v>
      </c>
      <c r="AB275" s="28">
        <f t="shared" si="123"/>
        <v>185596.66496865748</v>
      </c>
      <c r="AD275" s="28">
        <f t="shared" si="124"/>
        <v>0</v>
      </c>
      <c r="AE275" s="28">
        <f t="shared" si="125"/>
        <v>185596.66496865748</v>
      </c>
      <c r="AF275" s="51"/>
      <c r="AG275" t="str">
        <f t="shared" si="126"/>
        <v>5308730</v>
      </c>
    </row>
    <row r="276" spans="1:33" x14ac:dyDescent="0.25">
      <c r="A276" s="7" t="s">
        <v>239</v>
      </c>
      <c r="B276" s="2" t="s">
        <v>1180</v>
      </c>
      <c r="C276" s="4" t="s">
        <v>1179</v>
      </c>
      <c r="D276">
        <f>_xlfn.IFNA(VLOOKUP(A276,'Prior Year data'!$A$1:$T$317,12,FALSE),0)</f>
        <v>321171.98309215502</v>
      </c>
      <c r="E276">
        <f>VLOOKUP(A276,'Basic HH'!$B$1:$Y$321,23,FALSE)</f>
        <v>328570.12292855018</v>
      </c>
      <c r="F276">
        <f>VLOOKUP(A276,'Conc. HH'!$B$1:$Y$321,23,FALSE)</f>
        <v>0</v>
      </c>
      <c r="G276">
        <f>VLOOKUP(A276,'Targeted HH'!$B$1:$Y$321,23,FALSE)</f>
        <v>0</v>
      </c>
      <c r="H276">
        <f>VLOOKUP(A276,'EFIG HH'!$B$1:$Y$321,23,FALSE)</f>
        <v>0</v>
      </c>
      <c r="I276">
        <f t="shared" si="113"/>
        <v>328570.12292855018</v>
      </c>
      <c r="J276">
        <f t="shared" si="114"/>
        <v>321171.98309215502</v>
      </c>
      <c r="K276" s="44">
        <f t="shared" si="115"/>
        <v>305704.39314123068</v>
      </c>
      <c r="L276">
        <f t="shared" si="116"/>
        <v>15467.589950924332</v>
      </c>
      <c r="M276">
        <f t="shared" si="117"/>
        <v>0</v>
      </c>
      <c r="N276">
        <f t="shared" si="118"/>
        <v>321171.98309215502</v>
      </c>
      <c r="O276">
        <f t="shared" si="127"/>
        <v>0</v>
      </c>
      <c r="P276">
        <f t="shared" si="128"/>
        <v>0</v>
      </c>
      <c r="Q276">
        <f t="shared" si="129"/>
        <v>321171.98309215502</v>
      </c>
      <c r="R276">
        <f t="shared" si="130"/>
        <v>0</v>
      </c>
      <c r="S276">
        <f t="shared" si="131"/>
        <v>0</v>
      </c>
      <c r="T276">
        <f t="shared" si="132"/>
        <v>321171.98309215502</v>
      </c>
      <c r="U276">
        <f t="shared" si="133"/>
        <v>0</v>
      </c>
      <c r="V276">
        <f t="shared" si="134"/>
        <v>0</v>
      </c>
      <c r="W276">
        <f t="shared" si="135"/>
        <v>321171.98309215502</v>
      </c>
      <c r="X276" s="44">
        <f t="shared" si="119"/>
        <v>7398.1398363951594</v>
      </c>
      <c r="Y276" s="28">
        <f t="shared" si="120"/>
        <v>2476.8356098257964</v>
      </c>
      <c r="Z276" s="28">
        <f t="shared" si="121"/>
        <v>318695.14748232922</v>
      </c>
      <c r="AA276">
        <f t="shared" si="122"/>
        <v>0</v>
      </c>
      <c r="AB276" s="28">
        <f t="shared" si="123"/>
        <v>318695.14748232922</v>
      </c>
      <c r="AD276" s="28">
        <f t="shared" si="124"/>
        <v>0</v>
      </c>
      <c r="AE276" s="28">
        <f t="shared" si="125"/>
        <v>318695.14748232922</v>
      </c>
      <c r="AF276" s="51"/>
      <c r="AG276" t="str">
        <f t="shared" si="126"/>
        <v>5308760</v>
      </c>
    </row>
    <row r="277" spans="1:33" x14ac:dyDescent="0.25">
      <c r="A277" s="7" t="s">
        <v>241</v>
      </c>
      <c r="B277" s="2" t="s">
        <v>1182</v>
      </c>
      <c r="C277" s="4" t="s">
        <v>1181</v>
      </c>
      <c r="D277">
        <f>_xlfn.IFNA(VLOOKUP(A277,'Prior Year data'!$A$1:$T$317,12,FALSE),0)</f>
        <v>47494.390006029884</v>
      </c>
      <c r="E277">
        <f>VLOOKUP(A277,'Basic HH'!$B$1:$Y$321,23,FALSE)</f>
        <v>24083.673931935613</v>
      </c>
      <c r="F277">
        <f>VLOOKUP(A277,'Conc. HH'!$B$1:$Y$321,23,FALSE)</f>
        <v>6331.0575720728102</v>
      </c>
      <c r="G277">
        <f>VLOOKUP(A277,'Targeted HH'!$B$1:$Y$321,23,FALSE)</f>
        <v>12328.729222991395</v>
      </c>
      <c r="H277">
        <f>VLOOKUP(A277,'EFIG HH'!$B$1:$Y$321,23,FALSE)</f>
        <v>16998.685112788418</v>
      </c>
      <c r="I277">
        <f t="shared" si="113"/>
        <v>59742.145839788238</v>
      </c>
      <c r="J277">
        <f t="shared" si="114"/>
        <v>47494.390006029884</v>
      </c>
      <c r="K277" s="44">
        <f t="shared" si="115"/>
        <v>55584.592646845347</v>
      </c>
      <c r="L277">
        <f t="shared" si="116"/>
        <v>0</v>
      </c>
      <c r="M277">
        <f t="shared" si="117"/>
        <v>55584.592646845347</v>
      </c>
      <c r="N277">
        <f t="shared" si="118"/>
        <v>52783.856256586849</v>
      </c>
      <c r="O277">
        <f t="shared" si="127"/>
        <v>0</v>
      </c>
      <c r="P277">
        <f t="shared" si="128"/>
        <v>52783.856256586849</v>
      </c>
      <c r="Q277">
        <f t="shared" si="129"/>
        <v>52783.856256586849</v>
      </c>
      <c r="R277">
        <f t="shared" si="130"/>
        <v>0</v>
      </c>
      <c r="S277">
        <f t="shared" si="131"/>
        <v>52783.856256586849</v>
      </c>
      <c r="T277">
        <f t="shared" si="132"/>
        <v>52783.856256586849</v>
      </c>
      <c r="U277">
        <f t="shared" si="133"/>
        <v>0</v>
      </c>
      <c r="V277">
        <f t="shared" si="134"/>
        <v>52783.856256586849</v>
      </c>
      <c r="W277">
        <f t="shared" si="135"/>
        <v>52783.856256586849</v>
      </c>
      <c r="X277" s="44">
        <f t="shared" si="119"/>
        <v>6958.2895832013892</v>
      </c>
      <c r="Y277" s="28">
        <f t="shared" si="120"/>
        <v>407.06207789839397</v>
      </c>
      <c r="Z277" s="28">
        <f t="shared" si="121"/>
        <v>52376.794178688455</v>
      </c>
      <c r="AA277">
        <f t="shared" si="122"/>
        <v>0</v>
      </c>
      <c r="AB277" s="28">
        <f t="shared" si="123"/>
        <v>52376.794178688455</v>
      </c>
      <c r="AD277" s="28">
        <f t="shared" si="124"/>
        <v>0</v>
      </c>
      <c r="AE277" s="28">
        <f t="shared" si="125"/>
        <v>52376.794178688455</v>
      </c>
      <c r="AF277" s="51"/>
      <c r="AG277" t="str">
        <f t="shared" si="126"/>
        <v>5308790</v>
      </c>
    </row>
    <row r="278" spans="1:33" x14ac:dyDescent="0.25">
      <c r="A278" s="7" t="s">
        <v>308</v>
      </c>
      <c r="B278" s="2" t="s">
        <v>1184</v>
      </c>
      <c r="C278" s="4" t="s">
        <v>1183</v>
      </c>
      <c r="D278">
        <f>_xlfn.IFNA(VLOOKUP(A278,'Prior Year data'!$A$1:$T$317,12,FALSE),0)</f>
        <v>330912.22636314598</v>
      </c>
      <c r="E278">
        <f>VLOOKUP(A278,'Basic HH'!$B$1:$Y$321,23,FALSE)</f>
        <v>166005.32388798491</v>
      </c>
      <c r="F278">
        <f>VLOOKUP(A278,'Conc. HH'!$B$1:$Y$321,23,FALSE)</f>
        <v>0</v>
      </c>
      <c r="G278">
        <f>VLOOKUP(A278,'Targeted HH'!$B$1:$Y$321,23,FALSE)</f>
        <v>79438.086098173662</v>
      </c>
      <c r="H278">
        <f>VLOOKUP(A278,'EFIG HH'!$B$1:$Y$321,23,FALSE)</f>
        <v>109528.1587519356</v>
      </c>
      <c r="I278">
        <f t="shared" si="113"/>
        <v>354971.56873809418</v>
      </c>
      <c r="J278">
        <f t="shared" si="114"/>
        <v>330912.22636314598</v>
      </c>
      <c r="K278" s="44">
        <f t="shared" si="115"/>
        <v>330268.51935368258</v>
      </c>
      <c r="L278">
        <f t="shared" si="116"/>
        <v>643.70700946339639</v>
      </c>
      <c r="M278">
        <f t="shared" si="117"/>
        <v>0</v>
      </c>
      <c r="N278">
        <f t="shared" si="118"/>
        <v>330912.22636314598</v>
      </c>
      <c r="O278">
        <f t="shared" si="127"/>
        <v>0</v>
      </c>
      <c r="P278">
        <f t="shared" si="128"/>
        <v>0</v>
      </c>
      <c r="Q278">
        <f t="shared" si="129"/>
        <v>330912.22636314598</v>
      </c>
      <c r="R278">
        <f t="shared" si="130"/>
        <v>0</v>
      </c>
      <c r="S278">
        <f t="shared" si="131"/>
        <v>0</v>
      </c>
      <c r="T278">
        <f t="shared" si="132"/>
        <v>330912.22636314598</v>
      </c>
      <c r="U278">
        <f t="shared" si="133"/>
        <v>0</v>
      </c>
      <c r="V278">
        <f t="shared" si="134"/>
        <v>0</v>
      </c>
      <c r="W278">
        <f t="shared" si="135"/>
        <v>330912.22636314598</v>
      </c>
      <c r="X278" s="44">
        <f t="shared" si="119"/>
        <v>24059.342374948203</v>
      </c>
      <c r="Y278" s="28">
        <f t="shared" si="120"/>
        <v>2551.9510702395223</v>
      </c>
      <c r="Z278" s="28">
        <f t="shared" si="121"/>
        <v>328360.27529290644</v>
      </c>
      <c r="AA278">
        <f t="shared" si="122"/>
        <v>0</v>
      </c>
      <c r="AB278" s="28">
        <f t="shared" si="123"/>
        <v>328360.27529290644</v>
      </c>
      <c r="AD278" s="28">
        <f t="shared" si="124"/>
        <v>0</v>
      </c>
      <c r="AE278" s="28">
        <f t="shared" si="125"/>
        <v>328360.27529290644</v>
      </c>
      <c r="AF278" s="51"/>
      <c r="AG278" t="str">
        <f t="shared" si="126"/>
        <v>5308820</v>
      </c>
    </row>
    <row r="279" spans="1:33" x14ac:dyDescent="0.25">
      <c r="A279" s="7" t="s">
        <v>243</v>
      </c>
      <c r="B279" s="2" t="s">
        <v>1186</v>
      </c>
      <c r="C279" s="4" t="s">
        <v>1185</v>
      </c>
      <c r="D279">
        <f>_xlfn.IFNA(VLOOKUP(A279,'Prior Year data'!$A$1:$T$317,12,FALSE),0)</f>
        <v>53500.831366666622</v>
      </c>
      <c r="E279">
        <f>VLOOKUP(A279,'Basic HH'!$B$1:$Y$321,23,FALSE)</f>
        <v>21503.280296371086</v>
      </c>
      <c r="F279">
        <f>VLOOKUP(A279,'Conc. HH'!$B$1:$Y$321,23,FALSE)</f>
        <v>5575.6129485546735</v>
      </c>
      <c r="G279">
        <f>VLOOKUP(A279,'Targeted HH'!$B$1:$Y$321,23,FALSE)</f>
        <v>10348.289260401387</v>
      </c>
      <c r="H279">
        <f>VLOOKUP(A279,'EFIG HH'!$B$1:$Y$321,23,FALSE)</f>
        <v>14269.604413175957</v>
      </c>
      <c r="I279">
        <f t="shared" si="113"/>
        <v>51696.786918503101</v>
      </c>
      <c r="J279">
        <f t="shared" si="114"/>
        <v>53500.831366666622</v>
      </c>
      <c r="K279" s="44">
        <f t="shared" si="115"/>
        <v>48099.12335124024</v>
      </c>
      <c r="L279">
        <f t="shared" si="116"/>
        <v>3597.6635672628618</v>
      </c>
      <c r="M279">
        <f t="shared" si="117"/>
        <v>0</v>
      </c>
      <c r="N279">
        <f t="shared" si="118"/>
        <v>51696.786918503101</v>
      </c>
      <c r="O279">
        <f t="shared" si="127"/>
        <v>0</v>
      </c>
      <c r="P279">
        <f t="shared" si="128"/>
        <v>0</v>
      </c>
      <c r="Q279">
        <f t="shared" si="129"/>
        <v>51696.786918503101</v>
      </c>
      <c r="R279">
        <f t="shared" si="130"/>
        <v>0</v>
      </c>
      <c r="S279">
        <f t="shared" si="131"/>
        <v>0</v>
      </c>
      <c r="T279">
        <f t="shared" si="132"/>
        <v>51696.786918503101</v>
      </c>
      <c r="U279">
        <f t="shared" si="133"/>
        <v>0</v>
      </c>
      <c r="V279">
        <f t="shared" si="134"/>
        <v>0</v>
      </c>
      <c r="W279">
        <f t="shared" si="135"/>
        <v>51696.786918503101</v>
      </c>
      <c r="X279" s="44">
        <f t="shared" si="119"/>
        <v>0</v>
      </c>
      <c r="Y279" s="28">
        <f t="shared" si="120"/>
        <v>398.67874377007735</v>
      </c>
      <c r="Z279" s="28">
        <f t="shared" si="121"/>
        <v>51298.108174733024</v>
      </c>
      <c r="AA279">
        <f t="shared" si="122"/>
        <v>0</v>
      </c>
      <c r="AB279" s="28">
        <f t="shared" si="123"/>
        <v>51298.108174733024</v>
      </c>
      <c r="AD279" s="28">
        <f t="shared" si="124"/>
        <v>0</v>
      </c>
      <c r="AE279" s="28">
        <f t="shared" si="125"/>
        <v>51298.108174733024</v>
      </c>
      <c r="AF279" s="51"/>
      <c r="AG279" t="str">
        <f t="shared" si="126"/>
        <v>5308850</v>
      </c>
    </row>
    <row r="280" spans="1:33" x14ac:dyDescent="0.25">
      <c r="A280" s="7" t="s">
        <v>245</v>
      </c>
      <c r="B280" s="2" t="s">
        <v>1188</v>
      </c>
      <c r="C280" s="4" t="s">
        <v>1187</v>
      </c>
      <c r="D280">
        <f>_xlfn.IFNA(VLOOKUP(A280,'Prior Year data'!$A$1:$T$317,12,FALSE),0)</f>
        <v>173292.43687106384</v>
      </c>
      <c r="E280">
        <f>VLOOKUP(A280,'Basic HH'!$B$1:$Y$321,23,FALSE)</f>
        <v>77411.80906693585</v>
      </c>
      <c r="F280">
        <f>VLOOKUP(A280,'Conc. HH'!$B$1:$Y$321,23,FALSE)</f>
        <v>0</v>
      </c>
      <c r="G280">
        <f>VLOOKUP(A280,'Targeted HH'!$B$1:$Y$321,23,FALSE)</f>
        <v>37043.667092412565</v>
      </c>
      <c r="H280">
        <f>VLOOKUP(A280,'EFIG HH'!$B$1:$Y$321,23,FALSE)</f>
        <v>51075.307190021791</v>
      </c>
      <c r="I280">
        <f t="shared" si="113"/>
        <v>165530.78334937021</v>
      </c>
      <c r="J280">
        <f t="shared" si="114"/>
        <v>173292.43687106384</v>
      </c>
      <c r="K280" s="44">
        <f t="shared" si="115"/>
        <v>154011.2266416135</v>
      </c>
      <c r="L280">
        <f t="shared" si="116"/>
        <v>11519.55670775671</v>
      </c>
      <c r="M280">
        <f t="shared" si="117"/>
        <v>0</v>
      </c>
      <c r="N280">
        <f t="shared" si="118"/>
        <v>165530.78334937021</v>
      </c>
      <c r="O280">
        <f t="shared" si="127"/>
        <v>0</v>
      </c>
      <c r="P280">
        <f t="shared" si="128"/>
        <v>0</v>
      </c>
      <c r="Q280">
        <f t="shared" si="129"/>
        <v>165530.78334937021</v>
      </c>
      <c r="R280">
        <f t="shared" si="130"/>
        <v>0</v>
      </c>
      <c r="S280">
        <f t="shared" si="131"/>
        <v>0</v>
      </c>
      <c r="T280">
        <f t="shared" si="132"/>
        <v>165530.78334937021</v>
      </c>
      <c r="U280">
        <f t="shared" si="133"/>
        <v>0</v>
      </c>
      <c r="V280">
        <f t="shared" si="134"/>
        <v>0</v>
      </c>
      <c r="W280">
        <f t="shared" si="135"/>
        <v>165530.78334937021</v>
      </c>
      <c r="X280" s="44">
        <f t="shared" si="119"/>
        <v>0</v>
      </c>
      <c r="Y280" s="28">
        <f t="shared" si="120"/>
        <v>1276.5513815208424</v>
      </c>
      <c r="Z280" s="28">
        <f t="shared" si="121"/>
        <v>164254.23196784937</v>
      </c>
      <c r="AA280">
        <f t="shared" si="122"/>
        <v>0</v>
      </c>
      <c r="AB280" s="28">
        <f t="shared" si="123"/>
        <v>164254.23196784937</v>
      </c>
      <c r="AD280" s="28">
        <f t="shared" si="124"/>
        <v>0</v>
      </c>
      <c r="AE280" s="28">
        <f t="shared" si="125"/>
        <v>164254.23196784937</v>
      </c>
      <c r="AF280" s="51"/>
      <c r="AG280" t="str">
        <f t="shared" si="126"/>
        <v>5308910</v>
      </c>
    </row>
    <row r="281" spans="1:33" x14ac:dyDescent="0.25">
      <c r="A281" s="7" t="s">
        <v>608</v>
      </c>
      <c r="B281" s="2" t="s">
        <v>1190</v>
      </c>
      <c r="C281" s="8" t="s">
        <v>1189</v>
      </c>
      <c r="D281">
        <f>_xlfn.IFNA(VLOOKUP(A281,'Prior Year data'!$A$1:$T$317,12,FALSE),0)</f>
        <v>835226.14691264147</v>
      </c>
      <c r="E281">
        <f>VLOOKUP(A281,'Basic HH'!$B$1:$Y$321,23,FALSE)</f>
        <v>252476.14615052482</v>
      </c>
      <c r="F281">
        <f>VLOOKUP(A281,'Conc. HH'!$B$1:$Y$321,23,FALSE)</f>
        <v>65645.822170462285</v>
      </c>
      <c r="G281">
        <f>VLOOKUP(A281,'Targeted HH'!$B$1:$Y$321,23,FALSE)</f>
        <v>190657.2837303144</v>
      </c>
      <c r="H281">
        <f>VLOOKUP(A281,'EFIG HH'!$B$1:$Y$321,23,FALSE)</f>
        <v>258216.09230349341</v>
      </c>
      <c r="I281">
        <f t="shared" si="113"/>
        <v>766995.34435479483</v>
      </c>
      <c r="J281">
        <f t="shared" si="114"/>
        <v>835226.14691264147</v>
      </c>
      <c r="K281" s="44">
        <f t="shared" si="115"/>
        <v>713618.88962472626</v>
      </c>
      <c r="L281">
        <f t="shared" si="116"/>
        <v>53376.454730068566</v>
      </c>
      <c r="M281">
        <f t="shared" si="117"/>
        <v>0</v>
      </c>
      <c r="N281">
        <f t="shared" si="118"/>
        <v>766995.34435479483</v>
      </c>
      <c r="O281">
        <f t="shared" si="127"/>
        <v>0</v>
      </c>
      <c r="P281">
        <f t="shared" si="128"/>
        <v>0</v>
      </c>
      <c r="Q281">
        <f t="shared" si="129"/>
        <v>766995.34435479483</v>
      </c>
      <c r="R281">
        <f t="shared" si="130"/>
        <v>0</v>
      </c>
      <c r="S281">
        <f t="shared" si="131"/>
        <v>0</v>
      </c>
      <c r="T281">
        <f t="shared" si="132"/>
        <v>766995.34435479483</v>
      </c>
      <c r="U281">
        <f t="shared" si="133"/>
        <v>0</v>
      </c>
      <c r="V281">
        <f t="shared" si="134"/>
        <v>0</v>
      </c>
      <c r="W281">
        <f t="shared" si="135"/>
        <v>766995.34435479483</v>
      </c>
      <c r="X281" s="44">
        <f t="shared" si="119"/>
        <v>0</v>
      </c>
      <c r="Y281" s="28">
        <f t="shared" si="120"/>
        <v>5914.9660664001976</v>
      </c>
      <c r="Z281" s="28">
        <f t="shared" si="121"/>
        <v>761080.37828839466</v>
      </c>
      <c r="AA281">
        <f t="shared" si="122"/>
        <v>0</v>
      </c>
      <c r="AB281" s="28">
        <f t="shared" si="123"/>
        <v>761080.37828839466</v>
      </c>
      <c r="AD281" s="28">
        <f t="shared" si="124"/>
        <v>0</v>
      </c>
      <c r="AE281" s="28">
        <f t="shared" si="125"/>
        <v>761080.37828839466</v>
      </c>
      <c r="AF281" s="51"/>
      <c r="AG281" t="str">
        <f t="shared" si="126"/>
        <v>5308940</v>
      </c>
    </row>
    <row r="282" spans="1:33" x14ac:dyDescent="0.25">
      <c r="A282" s="7" t="s">
        <v>610</v>
      </c>
      <c r="B282" s="2" t="s">
        <v>1192</v>
      </c>
      <c r="C282" s="4" t="s">
        <v>1191</v>
      </c>
      <c r="D282">
        <f>_xlfn.IFNA(VLOOKUP(A282,'Prior Year data'!$A$1:$T$317,12,FALSE),0)</f>
        <v>1687935.6490707954</v>
      </c>
      <c r="E282">
        <f>VLOOKUP(A282,'Basic HH'!$B$1:$Y$321,23,FALSE)</f>
        <v>623595.12859476125</v>
      </c>
      <c r="F282">
        <f>VLOOKUP(A282,'Conc. HH'!$B$1:$Y$321,23,FALSE)</f>
        <v>163929.16927688528</v>
      </c>
      <c r="G282">
        <f>VLOOKUP(A282,'Targeted HH'!$B$1:$Y$321,23,FALSE)</f>
        <v>355323.06054857222</v>
      </c>
      <c r="H282">
        <f>VLOOKUP(A282,'EFIG HH'!$B$1:$Y$321,23,FALSE)</f>
        <v>489914.63031839568</v>
      </c>
      <c r="I282">
        <f t="shared" si="113"/>
        <v>1632761.9887386146</v>
      </c>
      <c r="J282">
        <f t="shared" si="114"/>
        <v>1687935.6490707954</v>
      </c>
      <c r="K282" s="44">
        <f t="shared" si="115"/>
        <v>1519135.4237036002</v>
      </c>
      <c r="L282">
        <f t="shared" si="116"/>
        <v>113626.56503501441</v>
      </c>
      <c r="M282">
        <f t="shared" si="117"/>
        <v>0</v>
      </c>
      <c r="N282">
        <f t="shared" si="118"/>
        <v>1632761.9887386146</v>
      </c>
      <c r="O282">
        <f t="shared" si="127"/>
        <v>0</v>
      </c>
      <c r="P282">
        <f t="shared" si="128"/>
        <v>0</v>
      </c>
      <c r="Q282">
        <f t="shared" si="129"/>
        <v>1632761.9887386146</v>
      </c>
      <c r="R282">
        <f t="shared" si="130"/>
        <v>0</v>
      </c>
      <c r="S282">
        <f t="shared" si="131"/>
        <v>0</v>
      </c>
      <c r="T282">
        <f t="shared" si="132"/>
        <v>1632761.9887386146</v>
      </c>
      <c r="U282">
        <f t="shared" si="133"/>
        <v>0</v>
      </c>
      <c r="V282">
        <f t="shared" si="134"/>
        <v>0</v>
      </c>
      <c r="W282">
        <f t="shared" si="135"/>
        <v>1632761.9887386146</v>
      </c>
      <c r="X282" s="44">
        <f t="shared" si="119"/>
        <v>0</v>
      </c>
      <c r="Y282" s="28">
        <f t="shared" si="120"/>
        <v>12591.643259609615</v>
      </c>
      <c r="Z282" s="28">
        <f t="shared" si="121"/>
        <v>1620170.345479005</v>
      </c>
      <c r="AA282">
        <f t="shared" si="122"/>
        <v>0</v>
      </c>
      <c r="AB282" s="28">
        <f t="shared" si="123"/>
        <v>1620170.345479005</v>
      </c>
      <c r="AD282" s="28">
        <f t="shared" si="124"/>
        <v>0</v>
      </c>
      <c r="AE282" s="28">
        <f t="shared" si="125"/>
        <v>1620170.345479005</v>
      </c>
      <c r="AF282" s="51"/>
      <c r="AG282" t="str">
        <f t="shared" si="126"/>
        <v>5308970</v>
      </c>
    </row>
    <row r="283" spans="1:33" x14ac:dyDescent="0.25">
      <c r="A283" s="7" t="s">
        <v>247</v>
      </c>
      <c r="B283" s="2" t="s">
        <v>1194</v>
      </c>
      <c r="C283" s="4" t="s">
        <v>1193</v>
      </c>
      <c r="D283">
        <f>_xlfn.IFNA(VLOOKUP(A283,'Prior Year data'!$A$1:$T$317,12,FALSE),0)</f>
        <v>30782.532684943802</v>
      </c>
      <c r="E283">
        <f>VLOOKUP(A283,'Basic HH'!$B$1:$Y$321,23,FALSE)</f>
        <v>24083.673931935613</v>
      </c>
      <c r="F283">
        <f>VLOOKUP(A283,'Conc. HH'!$B$1:$Y$321,23,FALSE)</f>
        <v>0</v>
      </c>
      <c r="G283">
        <f>VLOOKUP(A283,'Targeted HH'!$B$1:$Y$321,23,FALSE)</f>
        <v>11524.69642875058</v>
      </c>
      <c r="H283">
        <f>VLOOKUP(A283,'EFIG HH'!$B$1:$Y$321,23,FALSE)</f>
        <v>15890.095570229001</v>
      </c>
      <c r="I283">
        <f t="shared" si="113"/>
        <v>51498.465930915198</v>
      </c>
      <c r="J283">
        <f t="shared" si="114"/>
        <v>30782.532684943802</v>
      </c>
      <c r="K283" s="44">
        <f t="shared" si="115"/>
        <v>47914.603844057558</v>
      </c>
      <c r="L283">
        <f t="shared" si="116"/>
        <v>0</v>
      </c>
      <c r="M283">
        <f t="shared" si="117"/>
        <v>47914.603844057558</v>
      </c>
      <c r="N283">
        <f t="shared" si="118"/>
        <v>45500.334561497868</v>
      </c>
      <c r="O283">
        <f t="shared" si="127"/>
        <v>0</v>
      </c>
      <c r="P283">
        <f t="shared" si="128"/>
        <v>45500.334561497868</v>
      </c>
      <c r="Q283">
        <f t="shared" si="129"/>
        <v>45500.334561497868</v>
      </c>
      <c r="R283">
        <f t="shared" si="130"/>
        <v>0</v>
      </c>
      <c r="S283">
        <f t="shared" si="131"/>
        <v>45500.334561497868</v>
      </c>
      <c r="T283">
        <f t="shared" si="132"/>
        <v>45500.334561497868</v>
      </c>
      <c r="U283">
        <f t="shared" si="133"/>
        <v>0</v>
      </c>
      <c r="V283">
        <f t="shared" si="134"/>
        <v>45500.334561497868</v>
      </c>
      <c r="W283">
        <f t="shared" si="135"/>
        <v>45500.334561497868</v>
      </c>
      <c r="X283" s="44">
        <f t="shared" si="119"/>
        <v>5998.1313694173296</v>
      </c>
      <c r="Y283" s="28">
        <f t="shared" si="120"/>
        <v>350.89252747357114</v>
      </c>
      <c r="Z283" s="28">
        <f t="shared" si="121"/>
        <v>45149.442034024294</v>
      </c>
      <c r="AA283">
        <f t="shared" si="122"/>
        <v>0</v>
      </c>
      <c r="AB283" s="28">
        <f t="shared" si="123"/>
        <v>45149.442034024294</v>
      </c>
      <c r="AD283" s="28">
        <f t="shared" si="124"/>
        <v>0</v>
      </c>
      <c r="AE283" s="28">
        <f t="shared" si="125"/>
        <v>45149.442034024294</v>
      </c>
      <c r="AF283" s="51"/>
      <c r="AG283" t="str">
        <f t="shared" si="126"/>
        <v>5309000</v>
      </c>
    </row>
    <row r="284" spans="1:33" x14ac:dyDescent="0.25">
      <c r="A284" s="7" t="s">
        <v>249</v>
      </c>
      <c r="B284" s="2" t="s">
        <v>1196</v>
      </c>
      <c r="C284" s="4" t="s">
        <v>1195</v>
      </c>
      <c r="D284">
        <f>_xlfn.IFNA(VLOOKUP(A284,'Prior Year data'!$A$1:$T$317,12,FALSE),0)</f>
        <v>133904.01717950558</v>
      </c>
      <c r="E284">
        <f>VLOOKUP(A284,'Basic HH'!$B$1:$Y$321,23,FALSE)</f>
        <v>65369.972100968109</v>
      </c>
      <c r="F284">
        <f>VLOOKUP(A284,'Conc. HH'!$B$1:$Y$321,23,FALSE)</f>
        <v>0</v>
      </c>
      <c r="G284">
        <f>VLOOKUP(A284,'Targeted HH'!$B$1:$Y$321,23,FALSE)</f>
        <v>31281.318878037288</v>
      </c>
      <c r="H284">
        <f>VLOOKUP(A284,'EFIG HH'!$B$1:$Y$321,23,FALSE)</f>
        <v>43130.25940490728</v>
      </c>
      <c r="I284">
        <f t="shared" si="113"/>
        <v>139781.55038391269</v>
      </c>
      <c r="J284">
        <f t="shared" si="114"/>
        <v>133904.01717950558</v>
      </c>
      <c r="K284" s="44">
        <f t="shared" si="115"/>
        <v>130053.9247195848</v>
      </c>
      <c r="L284">
        <f t="shared" si="116"/>
        <v>3850.0924599207792</v>
      </c>
      <c r="M284">
        <f t="shared" si="117"/>
        <v>0</v>
      </c>
      <c r="N284">
        <f t="shared" si="118"/>
        <v>133904.01717950558</v>
      </c>
      <c r="O284">
        <f t="shared" si="127"/>
        <v>0</v>
      </c>
      <c r="P284">
        <f t="shared" si="128"/>
        <v>0</v>
      </c>
      <c r="Q284">
        <f t="shared" si="129"/>
        <v>133904.01717950558</v>
      </c>
      <c r="R284">
        <f t="shared" si="130"/>
        <v>0</v>
      </c>
      <c r="S284">
        <f t="shared" si="131"/>
        <v>0</v>
      </c>
      <c r="T284">
        <f t="shared" si="132"/>
        <v>133904.01717950558</v>
      </c>
      <c r="U284">
        <f t="shared" si="133"/>
        <v>0</v>
      </c>
      <c r="V284">
        <f t="shared" si="134"/>
        <v>0</v>
      </c>
      <c r="W284">
        <f t="shared" si="135"/>
        <v>133904.01717950558</v>
      </c>
      <c r="X284" s="44">
        <f t="shared" si="119"/>
        <v>5877.533204407111</v>
      </c>
      <c r="Y284" s="28">
        <f t="shared" si="120"/>
        <v>1032.6499679573881</v>
      </c>
      <c r="Z284" s="28">
        <f t="shared" si="121"/>
        <v>132871.3672115482</v>
      </c>
      <c r="AA284">
        <f t="shared" si="122"/>
        <v>0</v>
      </c>
      <c r="AB284" s="28">
        <f t="shared" si="123"/>
        <v>132871.3672115482</v>
      </c>
      <c r="AD284" s="28">
        <f t="shared" si="124"/>
        <v>0</v>
      </c>
      <c r="AE284" s="28">
        <f t="shared" si="125"/>
        <v>132871.3672115482</v>
      </c>
      <c r="AF284" s="51"/>
      <c r="AG284" t="str">
        <f t="shared" si="126"/>
        <v>5309030</v>
      </c>
    </row>
    <row r="285" spans="1:33" x14ac:dyDescent="0.25">
      <c r="A285" s="7" t="s">
        <v>612</v>
      </c>
      <c r="B285" s="2" t="s">
        <v>1198</v>
      </c>
      <c r="C285" s="4" t="s">
        <v>1197</v>
      </c>
      <c r="D285">
        <f>_xlfn.IFNA(VLOOKUP(A285,'Prior Year data'!$A$1:$T$317,12,FALSE),0)</f>
        <v>95138.333693290857</v>
      </c>
      <c r="E285">
        <f>VLOOKUP(A285,'Basic HH'!$B$1:$Y$321,23,FALSE)</f>
        <v>34902.060722446069</v>
      </c>
      <c r="F285">
        <f>VLOOKUP(A285,'Conc. HH'!$B$1:$Y$321,23,FALSE)</f>
        <v>9141.0428606285368</v>
      </c>
      <c r="G285">
        <f>VLOOKUP(A285,'Targeted HH'!$B$1:$Y$321,23,FALSE)</f>
        <v>22232.007412531515</v>
      </c>
      <c r="H285">
        <f>VLOOKUP(A285,'EFIG HH'!$B$1:$Y$321,23,FALSE)</f>
        <v>30656.463411935518</v>
      </c>
      <c r="I285">
        <f t="shared" si="113"/>
        <v>96931.57440754163</v>
      </c>
      <c r="J285">
        <f t="shared" si="114"/>
        <v>95138.333693290857</v>
      </c>
      <c r="K285" s="44">
        <f t="shared" si="115"/>
        <v>90185.948333851804</v>
      </c>
      <c r="L285">
        <f t="shared" si="116"/>
        <v>4952.385359439053</v>
      </c>
      <c r="M285">
        <f t="shared" si="117"/>
        <v>0</v>
      </c>
      <c r="N285">
        <f t="shared" si="118"/>
        <v>95138.333693290857</v>
      </c>
      <c r="O285">
        <f t="shared" si="127"/>
        <v>0</v>
      </c>
      <c r="P285">
        <f t="shared" si="128"/>
        <v>0</v>
      </c>
      <c r="Q285">
        <f t="shared" si="129"/>
        <v>95138.333693290857</v>
      </c>
      <c r="R285">
        <f t="shared" si="130"/>
        <v>0</v>
      </c>
      <c r="S285">
        <f t="shared" si="131"/>
        <v>0</v>
      </c>
      <c r="T285">
        <f t="shared" si="132"/>
        <v>95138.333693290857</v>
      </c>
      <c r="U285">
        <f t="shared" si="133"/>
        <v>0</v>
      </c>
      <c r="V285">
        <f t="shared" si="134"/>
        <v>0</v>
      </c>
      <c r="W285">
        <f t="shared" si="135"/>
        <v>95138.333693290857</v>
      </c>
      <c r="X285" s="44">
        <f t="shared" si="119"/>
        <v>1793.2407142507727</v>
      </c>
      <c r="Y285" s="28">
        <f t="shared" si="120"/>
        <v>733.69417370200244</v>
      </c>
      <c r="Z285" s="28">
        <f t="shared" si="121"/>
        <v>94404.639519588847</v>
      </c>
      <c r="AA285">
        <f t="shared" si="122"/>
        <v>0</v>
      </c>
      <c r="AB285" s="28">
        <f t="shared" si="123"/>
        <v>94404.639519588847</v>
      </c>
      <c r="AD285" s="28">
        <f t="shared" si="124"/>
        <v>0</v>
      </c>
      <c r="AE285" s="28">
        <f t="shared" si="125"/>
        <v>94404.639519588847</v>
      </c>
      <c r="AF285" s="51"/>
      <c r="AG285" t="str">
        <f t="shared" si="126"/>
        <v>5309060</v>
      </c>
    </row>
    <row r="286" spans="1:33" x14ac:dyDescent="0.25">
      <c r="A286" s="7" t="s">
        <v>63</v>
      </c>
      <c r="B286" s="2" t="s">
        <v>1199</v>
      </c>
      <c r="C286" s="4" t="s">
        <v>46</v>
      </c>
      <c r="D286">
        <f>_xlfn.IFNA(VLOOKUP(A286,'Prior Year data'!$A$1:$T$317,12,FALSE),0)</f>
        <v>1190107.747009991</v>
      </c>
      <c r="E286">
        <f>VLOOKUP(A286,'Basic HH'!$B$1:$Y$321,23,FALSE)</f>
        <v>397193.73022105836</v>
      </c>
      <c r="F286">
        <f>VLOOKUP(A286,'Conc. HH'!$B$1:$Y$321,23,FALSE)</f>
        <v>103773.9709836765</v>
      </c>
      <c r="G286">
        <f>VLOOKUP(A286,'Targeted HH'!$B$1:$Y$321,23,FALSE)</f>
        <v>244966.30678532919</v>
      </c>
      <c r="H286">
        <f>VLOOKUP(A286,'EFIG HH'!$B$1:$Y$321,23,FALSE)</f>
        <v>337796.02072651318</v>
      </c>
      <c r="I286">
        <f t="shared" si="113"/>
        <v>1083730.0287165772</v>
      </c>
      <c r="J286">
        <f t="shared" si="114"/>
        <v>1190107.747009991</v>
      </c>
      <c r="K286" s="44">
        <f t="shared" si="115"/>
        <v>1008311.4916378852</v>
      </c>
      <c r="L286">
        <f t="shared" si="116"/>
        <v>75418.537078691996</v>
      </c>
      <c r="M286">
        <f t="shared" si="117"/>
        <v>0</v>
      </c>
      <c r="N286">
        <f t="shared" si="118"/>
        <v>1083730.0287165772</v>
      </c>
      <c r="O286">
        <f t="shared" si="127"/>
        <v>0</v>
      </c>
      <c r="P286">
        <f t="shared" si="128"/>
        <v>0</v>
      </c>
      <c r="Q286">
        <f t="shared" si="129"/>
        <v>1083730.0287165772</v>
      </c>
      <c r="R286">
        <f t="shared" si="130"/>
        <v>0</v>
      </c>
      <c r="S286">
        <f t="shared" si="131"/>
        <v>0</v>
      </c>
      <c r="T286">
        <f t="shared" si="132"/>
        <v>1083730.0287165772</v>
      </c>
      <c r="U286">
        <f t="shared" si="133"/>
        <v>0</v>
      </c>
      <c r="V286">
        <f t="shared" si="134"/>
        <v>0</v>
      </c>
      <c r="W286">
        <f t="shared" si="135"/>
        <v>1083730.0287165772</v>
      </c>
      <c r="X286" s="44">
        <f t="shared" si="119"/>
        <v>0</v>
      </c>
      <c r="Y286" s="28">
        <f t="shared" si="120"/>
        <v>8357.5818186873366</v>
      </c>
      <c r="Z286" s="28">
        <f t="shared" si="121"/>
        <v>1075372.44689789</v>
      </c>
      <c r="AA286">
        <f t="shared" si="122"/>
        <v>0</v>
      </c>
      <c r="AB286" s="28">
        <f t="shared" si="123"/>
        <v>1075372.44689789</v>
      </c>
      <c r="AD286" s="28">
        <f t="shared" si="124"/>
        <v>0</v>
      </c>
      <c r="AE286" s="28">
        <f t="shared" si="125"/>
        <v>1075372.44689789</v>
      </c>
      <c r="AF286" s="51"/>
      <c r="AG286" t="str">
        <f t="shared" si="126"/>
        <v>5308130</v>
      </c>
    </row>
    <row r="287" spans="1:33" x14ac:dyDescent="0.25">
      <c r="A287" s="7" t="s">
        <v>251</v>
      </c>
      <c r="B287" s="2" t="s">
        <v>1201</v>
      </c>
      <c r="C287" s="4" t="s">
        <v>1200</v>
      </c>
      <c r="D287">
        <f>_xlfn.IFNA(VLOOKUP(A287,'Prior Year data'!$A$1:$T$317,12,FALSE),0)</f>
        <v>1155272.617306645</v>
      </c>
      <c r="E287">
        <f>VLOOKUP(A287,'Basic HH'!$B$1:$Y$321,23,FALSE)</f>
        <v>572847.38709532551</v>
      </c>
      <c r="F287">
        <f>VLOOKUP(A287,'Conc. HH'!$B$1:$Y$321,23,FALSE)</f>
        <v>0</v>
      </c>
      <c r="G287">
        <f>VLOOKUP(A287,'Targeted HH'!$B$1:$Y$321,23,FALSE)</f>
        <v>274123.13648385304</v>
      </c>
      <c r="H287">
        <f>VLOOKUP(A287,'EFIG HH'!$B$1:$Y$321,23,FALSE)</f>
        <v>377957.27320616116</v>
      </c>
      <c r="I287">
        <f t="shared" si="113"/>
        <v>1224927.7967853397</v>
      </c>
      <c r="J287">
        <f t="shared" si="114"/>
        <v>1155272.617306645</v>
      </c>
      <c r="K287" s="44">
        <f t="shared" si="115"/>
        <v>1139683.0771479402</v>
      </c>
      <c r="L287">
        <f t="shared" si="116"/>
        <v>15589.540158704855</v>
      </c>
      <c r="M287">
        <f t="shared" si="117"/>
        <v>0</v>
      </c>
      <c r="N287">
        <f t="shared" si="118"/>
        <v>1155272.617306645</v>
      </c>
      <c r="O287">
        <f t="shared" si="127"/>
        <v>0</v>
      </c>
      <c r="P287">
        <f t="shared" si="128"/>
        <v>0</v>
      </c>
      <c r="Q287">
        <f t="shared" si="129"/>
        <v>1155272.617306645</v>
      </c>
      <c r="R287">
        <f t="shared" si="130"/>
        <v>0</v>
      </c>
      <c r="S287">
        <f t="shared" si="131"/>
        <v>0</v>
      </c>
      <c r="T287">
        <f t="shared" si="132"/>
        <v>1155272.617306645</v>
      </c>
      <c r="U287">
        <f t="shared" si="133"/>
        <v>0</v>
      </c>
      <c r="V287">
        <f t="shared" si="134"/>
        <v>0</v>
      </c>
      <c r="W287">
        <f t="shared" si="135"/>
        <v>1155272.617306645</v>
      </c>
      <c r="X287" s="44">
        <f t="shared" si="119"/>
        <v>69655.179478694685</v>
      </c>
      <c r="Y287" s="28">
        <f t="shared" si="120"/>
        <v>8909.3087449683026</v>
      </c>
      <c r="Z287" s="28">
        <f t="shared" si="121"/>
        <v>1146363.3085616766</v>
      </c>
      <c r="AA287">
        <f t="shared" si="122"/>
        <v>0</v>
      </c>
      <c r="AB287" s="28">
        <f t="shared" si="123"/>
        <v>1146363.3085616766</v>
      </c>
      <c r="AD287" s="28">
        <f t="shared" si="124"/>
        <v>0</v>
      </c>
      <c r="AE287" s="28">
        <f t="shared" si="125"/>
        <v>1146363.3085616766</v>
      </c>
      <c r="AF287" s="51"/>
      <c r="AG287" t="str">
        <f t="shared" si="126"/>
        <v>5309100</v>
      </c>
    </row>
    <row r="288" spans="1:33" x14ac:dyDescent="0.25">
      <c r="A288" s="7" t="s">
        <v>614</v>
      </c>
      <c r="B288" s="2" t="s">
        <v>1203</v>
      </c>
      <c r="C288" s="4" t="s">
        <v>1202</v>
      </c>
      <c r="D288">
        <f>_xlfn.IFNA(VLOOKUP(A288,'Prior Year data'!$A$1:$T$317,12,FALSE),0)</f>
        <v>326869.16545637883</v>
      </c>
      <c r="E288">
        <f>VLOOKUP(A288,'Basic HH'!$B$1:$Y$321,23,FALSE)</f>
        <v>173746.50479467836</v>
      </c>
      <c r="F288">
        <f>VLOOKUP(A288,'Conc. HH'!$B$1:$Y$321,23,FALSE)</f>
        <v>45674.058198525301</v>
      </c>
      <c r="G288">
        <f>VLOOKUP(A288,'Targeted HH'!$B$1:$Y$321,23,FALSE)</f>
        <v>113614.2646604077</v>
      </c>
      <c r="H288">
        <f>VLOOKUP(A288,'EFIG HH'!$B$1:$Y$321,23,FALSE)</f>
        <v>156649.81153788982</v>
      </c>
      <c r="I288">
        <f t="shared" si="113"/>
        <v>489684.63919150119</v>
      </c>
      <c r="J288">
        <f t="shared" si="114"/>
        <v>326869.16545637883</v>
      </c>
      <c r="K288" s="44">
        <f t="shared" si="115"/>
        <v>455606.68791292812</v>
      </c>
      <c r="L288">
        <f t="shared" si="116"/>
        <v>0</v>
      </c>
      <c r="M288">
        <f t="shared" si="117"/>
        <v>455606.68791292812</v>
      </c>
      <c r="N288">
        <f t="shared" si="118"/>
        <v>432650.07044538413</v>
      </c>
      <c r="O288">
        <f t="shared" si="127"/>
        <v>0</v>
      </c>
      <c r="P288">
        <f t="shared" si="128"/>
        <v>432650.07044538413</v>
      </c>
      <c r="Q288">
        <f t="shared" si="129"/>
        <v>432650.07044538413</v>
      </c>
      <c r="R288">
        <f t="shared" si="130"/>
        <v>0</v>
      </c>
      <c r="S288">
        <f t="shared" si="131"/>
        <v>432650.07044538413</v>
      </c>
      <c r="T288">
        <f t="shared" si="132"/>
        <v>432650.07044538413</v>
      </c>
      <c r="U288">
        <f t="shared" si="133"/>
        <v>0</v>
      </c>
      <c r="V288">
        <f t="shared" si="134"/>
        <v>432650.07044538413</v>
      </c>
      <c r="W288">
        <f t="shared" si="135"/>
        <v>432650.07044538413</v>
      </c>
      <c r="X288" s="44">
        <f t="shared" si="119"/>
        <v>57034.56874611706</v>
      </c>
      <c r="Y288" s="28">
        <f t="shared" si="120"/>
        <v>3336.5397901637261</v>
      </c>
      <c r="Z288" s="28">
        <f t="shared" si="121"/>
        <v>429313.53065522038</v>
      </c>
      <c r="AA288">
        <f t="shared" si="122"/>
        <v>0</v>
      </c>
      <c r="AB288" s="28">
        <f t="shared" si="123"/>
        <v>429313.53065522038</v>
      </c>
      <c r="AD288" s="28">
        <f t="shared" si="124"/>
        <v>0</v>
      </c>
      <c r="AE288" s="28">
        <f t="shared" si="125"/>
        <v>429313.53065522038</v>
      </c>
      <c r="AF288" s="51"/>
      <c r="AG288" t="str">
        <f t="shared" si="126"/>
        <v>5309150</v>
      </c>
    </row>
    <row r="289" spans="1:33" x14ac:dyDescent="0.25">
      <c r="A289" s="7" t="s">
        <v>253</v>
      </c>
      <c r="B289" s="2" t="s">
        <v>1205</v>
      </c>
      <c r="C289" s="4" t="s">
        <v>1204</v>
      </c>
      <c r="D289">
        <f>_xlfn.IFNA(VLOOKUP(A289,'Prior Year data'!$A$1:$T$317,12,FALSE),0)</f>
        <v>794473.7410477649</v>
      </c>
      <c r="E289">
        <f>VLOOKUP(A289,'Basic HH'!$B$1:$Y$321,23,FALSE)</f>
        <v>401681.27593621181</v>
      </c>
      <c r="F289">
        <f>VLOOKUP(A289,'Conc. HH'!$B$1:$Y$321,23,FALSE)</f>
        <v>0</v>
      </c>
      <c r="G289">
        <f>VLOOKUP(A289,'Targeted HH'!$B$1:$Y$321,23,FALSE)</f>
        <v>192215.47257951862</v>
      </c>
      <c r="H289">
        <f>VLOOKUP(A289,'EFIG HH'!$B$1:$Y$321,23,FALSE)</f>
        <v>265024.09397489083</v>
      </c>
      <c r="I289">
        <f t="shared" si="113"/>
        <v>858920.84249062138</v>
      </c>
      <c r="J289">
        <f t="shared" si="114"/>
        <v>794473.7410477649</v>
      </c>
      <c r="K289" s="44">
        <f t="shared" si="115"/>
        <v>799147.14268481708</v>
      </c>
      <c r="L289">
        <f t="shared" si="116"/>
        <v>0</v>
      </c>
      <c r="M289">
        <f t="shared" si="117"/>
        <v>799147.14268481708</v>
      </c>
      <c r="N289">
        <f t="shared" si="118"/>
        <v>758880.58000783948</v>
      </c>
      <c r="O289">
        <f t="shared" si="127"/>
        <v>35593.161039925413</v>
      </c>
      <c r="P289">
        <f t="shared" si="128"/>
        <v>0</v>
      </c>
      <c r="Q289">
        <f t="shared" si="129"/>
        <v>758880.58000783948</v>
      </c>
      <c r="R289">
        <f t="shared" si="130"/>
        <v>0</v>
      </c>
      <c r="S289">
        <f t="shared" si="131"/>
        <v>0</v>
      </c>
      <c r="T289">
        <f t="shared" si="132"/>
        <v>758880.58000783948</v>
      </c>
      <c r="U289">
        <f t="shared" si="133"/>
        <v>35593.161039925413</v>
      </c>
      <c r="V289">
        <f t="shared" si="134"/>
        <v>0</v>
      </c>
      <c r="W289">
        <f t="shared" si="135"/>
        <v>758880.58000783948</v>
      </c>
      <c r="X289" s="44">
        <f t="shared" si="119"/>
        <v>100040.26248278189</v>
      </c>
      <c r="Y289" s="28">
        <f t="shared" si="120"/>
        <v>5852.3860832199198</v>
      </c>
      <c r="Z289" s="28">
        <f t="shared" si="121"/>
        <v>753028.19392461958</v>
      </c>
      <c r="AA289">
        <f t="shared" si="122"/>
        <v>0</v>
      </c>
      <c r="AB289" s="28">
        <f t="shared" si="123"/>
        <v>753028.19392461958</v>
      </c>
      <c r="AD289" s="28">
        <f t="shared" si="124"/>
        <v>0</v>
      </c>
      <c r="AE289" s="28">
        <f t="shared" si="125"/>
        <v>753028.19392461958</v>
      </c>
      <c r="AF289" s="51"/>
      <c r="AG289" t="str">
        <f t="shared" si="126"/>
        <v>5309180</v>
      </c>
    </row>
    <row r="290" spans="1:33" x14ac:dyDescent="0.25">
      <c r="A290" s="7" t="s">
        <v>616</v>
      </c>
      <c r="B290" s="2" t="s">
        <v>1207</v>
      </c>
      <c r="C290" s="4" t="s">
        <v>1206</v>
      </c>
      <c r="D290">
        <f>_xlfn.IFNA(VLOOKUP(A290,'Prior Year data'!$A$1:$T$317,12,FALSE),0)</f>
        <v>145507.37758741749</v>
      </c>
      <c r="E290">
        <f>VLOOKUP(A290,'Basic HH'!$B$1:$Y$321,23,FALSE)</f>
        <v>57628.791194274505</v>
      </c>
      <c r="F290">
        <f>VLOOKUP(A290,'Conc. HH'!$B$1:$Y$321,23,FALSE)</f>
        <v>15149.316333174231</v>
      </c>
      <c r="G290">
        <f>VLOOKUP(A290,'Targeted HH'!$B$1:$Y$321,23,FALSE)</f>
        <v>35434.160916877336</v>
      </c>
      <c r="H290">
        <f>VLOOKUP(A290,'EFIG HH'!$B$1:$Y$321,23,FALSE)</f>
        <v>48856.141842956662</v>
      </c>
      <c r="I290">
        <f t="shared" si="113"/>
        <v>157068.41028728272</v>
      </c>
      <c r="J290">
        <f t="shared" si="114"/>
        <v>145507.37758741749</v>
      </c>
      <c r="K290" s="44">
        <f t="shared" si="115"/>
        <v>146137.76389818959</v>
      </c>
      <c r="L290">
        <f t="shared" si="116"/>
        <v>0</v>
      </c>
      <c r="M290">
        <f t="shared" si="117"/>
        <v>146137.76389818959</v>
      </c>
      <c r="N290">
        <f t="shared" si="118"/>
        <v>138774.33216556729</v>
      </c>
      <c r="O290">
        <f t="shared" si="127"/>
        <v>6733.0454218501982</v>
      </c>
      <c r="P290">
        <f t="shared" si="128"/>
        <v>0</v>
      </c>
      <c r="Q290">
        <f t="shared" si="129"/>
        <v>138774.33216556729</v>
      </c>
      <c r="R290">
        <f t="shared" si="130"/>
        <v>0</v>
      </c>
      <c r="S290">
        <f t="shared" si="131"/>
        <v>0</v>
      </c>
      <c r="T290">
        <f t="shared" si="132"/>
        <v>138774.33216556729</v>
      </c>
      <c r="U290">
        <f t="shared" si="133"/>
        <v>6733.0454218501982</v>
      </c>
      <c r="V290">
        <f t="shared" si="134"/>
        <v>0</v>
      </c>
      <c r="W290">
        <f t="shared" si="135"/>
        <v>138774.33216556729</v>
      </c>
      <c r="X290" s="44">
        <f t="shared" si="119"/>
        <v>18294.078121715429</v>
      </c>
      <c r="Y290" s="28">
        <f t="shared" si="120"/>
        <v>1070.2091892580972</v>
      </c>
      <c r="Z290" s="28">
        <f t="shared" si="121"/>
        <v>137704.12297630918</v>
      </c>
      <c r="AA290">
        <f t="shared" si="122"/>
        <v>0</v>
      </c>
      <c r="AB290" s="28">
        <f t="shared" si="123"/>
        <v>137704.12297630918</v>
      </c>
      <c r="AD290" s="28">
        <f t="shared" si="124"/>
        <v>0</v>
      </c>
      <c r="AE290" s="28">
        <f t="shared" si="125"/>
        <v>137704.12297630918</v>
      </c>
      <c r="AF290" s="51"/>
      <c r="AG290" t="str">
        <f t="shared" si="126"/>
        <v>5309240</v>
      </c>
    </row>
    <row r="291" spans="1:33" x14ac:dyDescent="0.25">
      <c r="A291" s="7" t="s">
        <v>66</v>
      </c>
      <c r="B291" s="2" t="s">
        <v>1208</v>
      </c>
      <c r="C291" s="4" t="s">
        <v>52</v>
      </c>
      <c r="D291">
        <f>_xlfn.IFNA(VLOOKUP(A291,'Prior Year data'!$A$1:$T$317,12,FALSE),0)</f>
        <v>6788803.3520407174</v>
      </c>
      <c r="E291">
        <f>VLOOKUP(A291,'Basic HH'!$B$1:$Y$321,23,FALSE)</f>
        <v>2418648.1836772929</v>
      </c>
      <c r="F291">
        <f>VLOOKUP(A291,'Conc. HH'!$B$1:$Y$321,23,FALSE)</f>
        <v>0</v>
      </c>
      <c r="G291">
        <f>VLOOKUP(A291,'Targeted HH'!$B$1:$Y$321,23,FALSE)</f>
        <v>1714537.863603757</v>
      </c>
      <c r="H291">
        <f>VLOOKUP(A291,'EFIG HH'!$B$1:$Y$321,23,FALSE)</f>
        <v>2363981.6180731766</v>
      </c>
      <c r="I291">
        <f t="shared" si="113"/>
        <v>6497167.6653542267</v>
      </c>
      <c r="J291">
        <f t="shared" si="114"/>
        <v>6788803.3520407174</v>
      </c>
      <c r="K291" s="44">
        <f t="shared" si="115"/>
        <v>6045019.1897266814</v>
      </c>
      <c r="L291">
        <f t="shared" si="116"/>
        <v>452148.47562754527</v>
      </c>
      <c r="M291">
        <f t="shared" si="117"/>
        <v>0</v>
      </c>
      <c r="N291">
        <f t="shared" si="118"/>
        <v>6497167.6653542267</v>
      </c>
      <c r="O291">
        <f t="shared" si="127"/>
        <v>0</v>
      </c>
      <c r="P291">
        <f t="shared" si="128"/>
        <v>0</v>
      </c>
      <c r="Q291">
        <f t="shared" si="129"/>
        <v>6497167.6653542267</v>
      </c>
      <c r="R291">
        <f t="shared" si="130"/>
        <v>0</v>
      </c>
      <c r="S291">
        <f t="shared" si="131"/>
        <v>0</v>
      </c>
      <c r="T291">
        <f t="shared" si="132"/>
        <v>6497167.6653542267</v>
      </c>
      <c r="U291">
        <f t="shared" si="133"/>
        <v>0</v>
      </c>
      <c r="V291">
        <f t="shared" si="134"/>
        <v>0</v>
      </c>
      <c r="W291">
        <f t="shared" si="135"/>
        <v>6497167.6653542267</v>
      </c>
      <c r="X291" s="44">
        <f t="shared" si="119"/>
        <v>0</v>
      </c>
      <c r="Y291" s="28">
        <f t="shared" si="120"/>
        <v>50105.292751954112</v>
      </c>
      <c r="Z291" s="28">
        <f t="shared" si="121"/>
        <v>6447062.3726022728</v>
      </c>
      <c r="AA291">
        <f t="shared" si="122"/>
        <v>0</v>
      </c>
      <c r="AB291" s="28">
        <f t="shared" si="123"/>
        <v>6447062.3726022728</v>
      </c>
      <c r="AD291" s="28">
        <f t="shared" si="124"/>
        <v>0</v>
      </c>
      <c r="AE291" s="28">
        <f t="shared" si="125"/>
        <v>6447062.3726022728</v>
      </c>
      <c r="AF291" s="51"/>
      <c r="AG291" t="str">
        <f t="shared" si="126"/>
        <v>5309270</v>
      </c>
    </row>
    <row r="292" spans="1:33" x14ac:dyDescent="0.25">
      <c r="A292" s="7" t="s">
        <v>255</v>
      </c>
      <c r="B292" s="2" t="s">
        <v>1210</v>
      </c>
      <c r="C292" s="4" t="s">
        <v>1209</v>
      </c>
      <c r="D292">
        <f>_xlfn.IFNA(VLOOKUP(A292,'Prior Year data'!$A$1:$T$317,12,FALSE),0)</f>
        <v>232408.12177132568</v>
      </c>
      <c r="E292">
        <f>VLOOKUP(A292,'Basic HH'!$B$1:$Y$321,23,FALSE)</f>
        <v>103696.28457698962</v>
      </c>
      <c r="F292">
        <f>VLOOKUP(A292,'Conc. HH'!$B$1:$Y$321,23,FALSE)</f>
        <v>0</v>
      </c>
      <c r="G292">
        <f>VLOOKUP(A292,'Targeted HH'!$B$1:$Y$321,23,FALSE)</f>
        <v>50406.183171632561</v>
      </c>
      <c r="H292">
        <f>VLOOKUP(A292,'EFIG HH'!$B$1:$Y$321,23,FALSE)</f>
        <v>69506.782786760334</v>
      </c>
      <c r="I292">
        <f t="shared" si="113"/>
        <v>223609.25053538251</v>
      </c>
      <c r="J292">
        <f t="shared" si="114"/>
        <v>232408.12177132568</v>
      </c>
      <c r="K292" s="44">
        <f t="shared" si="115"/>
        <v>208047.91874077215</v>
      </c>
      <c r="L292">
        <f t="shared" si="116"/>
        <v>15561.331794610363</v>
      </c>
      <c r="M292">
        <f t="shared" si="117"/>
        <v>0</v>
      </c>
      <c r="N292">
        <f t="shared" si="118"/>
        <v>223609.25053538251</v>
      </c>
      <c r="O292">
        <f t="shared" si="127"/>
        <v>0</v>
      </c>
      <c r="P292">
        <f t="shared" si="128"/>
        <v>0</v>
      </c>
      <c r="Q292">
        <f t="shared" si="129"/>
        <v>223609.25053538251</v>
      </c>
      <c r="R292">
        <f t="shared" si="130"/>
        <v>0</v>
      </c>
      <c r="S292">
        <f t="shared" si="131"/>
        <v>0</v>
      </c>
      <c r="T292">
        <f t="shared" si="132"/>
        <v>223609.25053538251</v>
      </c>
      <c r="U292">
        <f t="shared" si="133"/>
        <v>0</v>
      </c>
      <c r="V292">
        <f t="shared" si="134"/>
        <v>0</v>
      </c>
      <c r="W292">
        <f t="shared" si="135"/>
        <v>223609.25053538251</v>
      </c>
      <c r="X292" s="44">
        <f t="shared" si="119"/>
        <v>0</v>
      </c>
      <c r="Y292" s="28">
        <f t="shared" si="120"/>
        <v>1724.4447945933605</v>
      </c>
      <c r="Z292" s="28">
        <f t="shared" si="121"/>
        <v>221884.80574078916</v>
      </c>
      <c r="AA292">
        <f t="shared" si="122"/>
        <v>0</v>
      </c>
      <c r="AB292" s="28">
        <f t="shared" si="123"/>
        <v>221884.80574078916</v>
      </c>
      <c r="AD292" s="28">
        <f t="shared" si="124"/>
        <v>0</v>
      </c>
      <c r="AE292" s="28">
        <f t="shared" si="125"/>
        <v>221884.80574078916</v>
      </c>
      <c r="AF292" s="51"/>
      <c r="AG292" t="str">
        <f t="shared" si="126"/>
        <v>5309300</v>
      </c>
    </row>
    <row r="293" spans="1:33" x14ac:dyDescent="0.25">
      <c r="A293" s="7" t="s">
        <v>618</v>
      </c>
      <c r="B293" s="2" t="s">
        <v>1212</v>
      </c>
      <c r="C293" s="4" t="s">
        <v>1211</v>
      </c>
      <c r="D293">
        <f>_xlfn.IFNA(VLOOKUP(A293,'Prior Year data'!$A$1:$T$317,12,FALSE),0)</f>
        <v>168373.42698502552</v>
      </c>
      <c r="E293">
        <f>VLOOKUP(A293,'Basic HH'!$B$1:$Y$321,23,FALSE)</f>
        <v>95474.564515887629</v>
      </c>
      <c r="F293">
        <f>VLOOKUP(A293,'Conc. HH'!$B$1:$Y$321,23,FALSE)</f>
        <v>25098.121089288641</v>
      </c>
      <c r="G293">
        <f>VLOOKUP(A293,'Targeted HH'!$B$1:$Y$321,23,FALSE)</f>
        <v>56625.721260526268</v>
      </c>
      <c r="H293">
        <f>VLOOKUP(A293,'EFIG HH'!$B$1:$Y$321,23,FALSE)</f>
        <v>78074.778639567085</v>
      </c>
      <c r="I293">
        <f t="shared" si="113"/>
        <v>255273.18550526962</v>
      </c>
      <c r="J293">
        <f t="shared" si="114"/>
        <v>168373.42698502552</v>
      </c>
      <c r="K293" s="44">
        <f t="shared" si="115"/>
        <v>237508.30892523719</v>
      </c>
      <c r="L293">
        <f t="shared" si="116"/>
        <v>0</v>
      </c>
      <c r="M293">
        <f t="shared" si="117"/>
        <v>237508.30892523719</v>
      </c>
      <c r="N293">
        <f t="shared" si="118"/>
        <v>225540.99690368507</v>
      </c>
      <c r="O293">
        <f t="shared" si="127"/>
        <v>0</v>
      </c>
      <c r="P293">
        <f t="shared" si="128"/>
        <v>225540.99690368507</v>
      </c>
      <c r="Q293">
        <f t="shared" si="129"/>
        <v>225540.99690368507</v>
      </c>
      <c r="R293">
        <f t="shared" si="130"/>
        <v>0</v>
      </c>
      <c r="S293">
        <f t="shared" si="131"/>
        <v>225540.99690368507</v>
      </c>
      <c r="T293">
        <f t="shared" si="132"/>
        <v>225540.99690368507</v>
      </c>
      <c r="U293">
        <f t="shared" si="133"/>
        <v>0</v>
      </c>
      <c r="V293">
        <f t="shared" si="134"/>
        <v>225540.99690368507</v>
      </c>
      <c r="W293">
        <f t="shared" si="135"/>
        <v>225540.99690368507</v>
      </c>
      <c r="X293" s="44">
        <f t="shared" si="119"/>
        <v>29732.188601584552</v>
      </c>
      <c r="Y293" s="28">
        <f t="shared" si="120"/>
        <v>1739.3421656158837</v>
      </c>
      <c r="Z293" s="28">
        <f t="shared" si="121"/>
        <v>223801.65473806919</v>
      </c>
      <c r="AA293">
        <f t="shared" si="122"/>
        <v>0</v>
      </c>
      <c r="AB293" s="28">
        <f t="shared" si="123"/>
        <v>223801.65473806919</v>
      </c>
      <c r="AD293" s="28">
        <f t="shared" si="124"/>
        <v>0</v>
      </c>
      <c r="AE293" s="28">
        <f t="shared" si="125"/>
        <v>223801.65473806919</v>
      </c>
      <c r="AF293" s="51"/>
      <c r="AG293" t="str">
        <f t="shared" si="126"/>
        <v>5309330</v>
      </c>
    </row>
    <row r="294" spans="1:33" x14ac:dyDescent="0.25">
      <c r="A294" s="7" t="s">
        <v>620</v>
      </c>
      <c r="B294" s="2" t="s">
        <v>1214</v>
      </c>
      <c r="C294" s="4" t="s">
        <v>1213</v>
      </c>
      <c r="D294">
        <f>_xlfn.IFNA(VLOOKUP(A294,'Prior Year data'!$A$1:$T$317,12,FALSE),0)</f>
        <v>628591.86991497094</v>
      </c>
      <c r="E294">
        <f>VLOOKUP(A294,'Basic HH'!$B$1:$Y$321,23,FALSE)</f>
        <v>302766.18657290493</v>
      </c>
      <c r="F294">
        <f>VLOOKUP(A294,'Conc. HH'!$B$1:$Y$321,23,FALSE)</f>
        <v>79590.438048915341</v>
      </c>
      <c r="G294">
        <f>VLOOKUP(A294,'Targeted HH'!$B$1:$Y$321,23,FALSE)</f>
        <v>156776.12554924839</v>
      </c>
      <c r="H294">
        <f>VLOOKUP(A294,'EFIG HH'!$B$1:$Y$321,23,FALSE)</f>
        <v>216160.80158892754</v>
      </c>
      <c r="I294">
        <f t="shared" si="113"/>
        <v>755293.55175999622</v>
      </c>
      <c r="J294">
        <f t="shared" si="114"/>
        <v>628591.86991497094</v>
      </c>
      <c r="K294" s="44">
        <f t="shared" si="115"/>
        <v>702731.44382785039</v>
      </c>
      <c r="L294">
        <f t="shared" si="116"/>
        <v>0</v>
      </c>
      <c r="M294">
        <f t="shared" si="117"/>
        <v>702731.44382785039</v>
      </c>
      <c r="N294">
        <f t="shared" si="118"/>
        <v>667322.97119925299</v>
      </c>
      <c r="O294">
        <f t="shared" si="127"/>
        <v>0</v>
      </c>
      <c r="P294">
        <f t="shared" si="128"/>
        <v>667322.97119925299</v>
      </c>
      <c r="Q294">
        <f t="shared" si="129"/>
        <v>667322.97119925299</v>
      </c>
      <c r="R294">
        <f t="shared" si="130"/>
        <v>0</v>
      </c>
      <c r="S294">
        <f t="shared" si="131"/>
        <v>667322.97119925299</v>
      </c>
      <c r="T294">
        <f t="shared" si="132"/>
        <v>667322.97119925299</v>
      </c>
      <c r="U294">
        <f t="shared" si="133"/>
        <v>0</v>
      </c>
      <c r="V294">
        <f t="shared" si="134"/>
        <v>667322.97119925299</v>
      </c>
      <c r="W294">
        <f t="shared" si="135"/>
        <v>667322.97119925299</v>
      </c>
      <c r="X294" s="44">
        <f t="shared" si="119"/>
        <v>87970.580560743227</v>
      </c>
      <c r="Y294" s="28">
        <f t="shared" si="120"/>
        <v>5146.3059835041904</v>
      </c>
      <c r="Z294" s="28">
        <f t="shared" si="121"/>
        <v>662176.66521574883</v>
      </c>
      <c r="AA294">
        <f t="shared" si="122"/>
        <v>0</v>
      </c>
      <c r="AB294" s="28">
        <f t="shared" si="123"/>
        <v>662176.66521574883</v>
      </c>
      <c r="AD294" s="28">
        <f t="shared" si="124"/>
        <v>0</v>
      </c>
      <c r="AE294" s="28">
        <f t="shared" si="125"/>
        <v>662176.66521574883</v>
      </c>
      <c r="AF294" s="51"/>
      <c r="AG294" t="str">
        <f t="shared" si="126"/>
        <v>5309360</v>
      </c>
    </row>
    <row r="295" spans="1:33" x14ac:dyDescent="0.25">
      <c r="A295" s="7" t="s">
        <v>622</v>
      </c>
      <c r="B295" s="2" t="s">
        <v>1216</v>
      </c>
      <c r="C295" s="4" t="s">
        <v>1215</v>
      </c>
      <c r="D295">
        <f>_xlfn.IFNA(VLOOKUP(A295,'Prior Year data'!$A$1:$T$317,12,FALSE),0)</f>
        <v>67771.821241419966</v>
      </c>
      <c r="E295">
        <f>VLOOKUP(A295,'Basic HH'!$B$1:$Y$321,23,FALSE)</f>
        <v>26095.753734606653</v>
      </c>
      <c r="F295">
        <f>VLOOKUP(A295,'Conc. HH'!$B$1:$Y$321,23,FALSE)</f>
        <v>5451.9480077795415</v>
      </c>
      <c r="G295">
        <f>VLOOKUP(A295,'Targeted HH'!$B$1:$Y$321,23,FALSE)</f>
        <v>12684.999738556538</v>
      </c>
      <c r="H295">
        <f>VLOOKUP(A295,'EFIG HH'!$B$1:$Y$321,23,FALSE)</f>
        <v>17491.773151635054</v>
      </c>
      <c r="I295">
        <f t="shared" si="113"/>
        <v>61724.474632577789</v>
      </c>
      <c r="J295">
        <f t="shared" si="114"/>
        <v>67771.821241419966</v>
      </c>
      <c r="K295" s="44">
        <f t="shared" si="115"/>
        <v>57428.967951589351</v>
      </c>
      <c r="L295">
        <f t="shared" si="116"/>
        <v>4295.5066809884374</v>
      </c>
      <c r="M295">
        <f t="shared" si="117"/>
        <v>0</v>
      </c>
      <c r="N295">
        <f t="shared" si="118"/>
        <v>61724.474632577789</v>
      </c>
      <c r="O295">
        <f t="shared" si="127"/>
        <v>0</v>
      </c>
      <c r="P295">
        <f t="shared" si="128"/>
        <v>0</v>
      </c>
      <c r="Q295">
        <f t="shared" si="129"/>
        <v>61724.474632577789</v>
      </c>
      <c r="R295">
        <f t="shared" si="130"/>
        <v>0</v>
      </c>
      <c r="S295">
        <f t="shared" si="131"/>
        <v>0</v>
      </c>
      <c r="T295">
        <f t="shared" si="132"/>
        <v>61724.474632577789</v>
      </c>
      <c r="U295">
        <f t="shared" si="133"/>
        <v>0</v>
      </c>
      <c r="V295">
        <f t="shared" si="134"/>
        <v>0</v>
      </c>
      <c r="W295">
        <f t="shared" si="135"/>
        <v>61724.474632577789</v>
      </c>
      <c r="X295" s="44">
        <f t="shared" si="119"/>
        <v>0</v>
      </c>
      <c r="Y295" s="28">
        <f t="shared" si="120"/>
        <v>476.01093749167694</v>
      </c>
      <c r="Z295" s="28">
        <f t="shared" si="121"/>
        <v>61248.46369508611</v>
      </c>
      <c r="AA295">
        <f t="shared" si="122"/>
        <v>0</v>
      </c>
      <c r="AB295" s="28">
        <f t="shared" si="123"/>
        <v>61248.46369508611</v>
      </c>
      <c r="AD295" s="28">
        <f t="shared" si="124"/>
        <v>0</v>
      </c>
      <c r="AE295" s="28">
        <f t="shared" si="125"/>
        <v>61248.46369508611</v>
      </c>
      <c r="AF295" s="51"/>
      <c r="AG295" t="str">
        <f t="shared" si="126"/>
        <v>5309390</v>
      </c>
    </row>
    <row r="296" spans="1:33" x14ac:dyDescent="0.25">
      <c r="A296" s="7" t="s">
        <v>624</v>
      </c>
      <c r="B296" s="2" t="s">
        <v>1218</v>
      </c>
      <c r="C296" s="4" t="s">
        <v>1217</v>
      </c>
      <c r="D296">
        <f>_xlfn.IFNA(VLOOKUP(A296,'Prior Year data'!$A$1:$T$317,12,FALSE),0)</f>
        <v>1515574.7143018669</v>
      </c>
      <c r="E296">
        <f>VLOOKUP(A296,'Basic HH'!$B$1:$Y$321,23,FALSE)</f>
        <v>703587.33129726246</v>
      </c>
      <c r="F296">
        <f>VLOOKUP(A296,'Conc. HH'!$B$1:$Y$321,23,FALSE)</f>
        <v>0</v>
      </c>
      <c r="G296">
        <f>VLOOKUP(A296,'Targeted HH'!$B$1:$Y$321,23,FALSE)</f>
        <v>362822.13935512997</v>
      </c>
      <c r="H296">
        <f>VLOOKUP(A296,'EFIG HH'!$B$1:$Y$321,23,FALSE)</f>
        <v>500254.25875560223</v>
      </c>
      <c r="I296">
        <f t="shared" si="113"/>
        <v>1566663.7294079945</v>
      </c>
      <c r="J296">
        <f t="shared" si="114"/>
        <v>1515574.7143018669</v>
      </c>
      <c r="K296" s="44">
        <f t="shared" si="115"/>
        <v>1457637.0498519007</v>
      </c>
      <c r="L296">
        <f t="shared" si="116"/>
        <v>57937.66444996628</v>
      </c>
      <c r="M296">
        <f t="shared" si="117"/>
        <v>0</v>
      </c>
      <c r="N296">
        <f t="shared" si="118"/>
        <v>1515574.7143018669</v>
      </c>
      <c r="O296">
        <f t="shared" si="127"/>
        <v>0</v>
      </c>
      <c r="P296">
        <f t="shared" si="128"/>
        <v>0</v>
      </c>
      <c r="Q296">
        <f t="shared" si="129"/>
        <v>1515574.7143018669</v>
      </c>
      <c r="R296">
        <f t="shared" si="130"/>
        <v>0</v>
      </c>
      <c r="S296">
        <f t="shared" si="131"/>
        <v>0</v>
      </c>
      <c r="T296">
        <f t="shared" si="132"/>
        <v>1515574.7143018669</v>
      </c>
      <c r="U296">
        <f t="shared" si="133"/>
        <v>0</v>
      </c>
      <c r="V296">
        <f t="shared" si="134"/>
        <v>0</v>
      </c>
      <c r="W296">
        <f t="shared" si="135"/>
        <v>1515574.7143018669</v>
      </c>
      <c r="X296" s="44">
        <f t="shared" si="119"/>
        <v>51089.015106127597</v>
      </c>
      <c r="Y296" s="28">
        <f t="shared" si="120"/>
        <v>11687.910587946031</v>
      </c>
      <c r="Z296" s="28">
        <f t="shared" si="121"/>
        <v>1503886.803713921</v>
      </c>
      <c r="AA296">
        <f t="shared" si="122"/>
        <v>0</v>
      </c>
      <c r="AB296" s="28">
        <f t="shared" si="123"/>
        <v>1503886.803713921</v>
      </c>
      <c r="AD296" s="28">
        <f t="shared" si="124"/>
        <v>0</v>
      </c>
      <c r="AE296" s="28">
        <f t="shared" si="125"/>
        <v>1503886.803713921</v>
      </c>
      <c r="AF296" s="51"/>
      <c r="AG296" t="str">
        <f t="shared" si="126"/>
        <v>5309450</v>
      </c>
    </row>
    <row r="297" spans="1:33" x14ac:dyDescent="0.25">
      <c r="A297" s="7" t="s">
        <v>625</v>
      </c>
      <c r="B297" s="2" t="s">
        <v>1220</v>
      </c>
      <c r="C297" s="4" t="s">
        <v>1219</v>
      </c>
      <c r="D297">
        <f>_xlfn.IFNA(VLOOKUP(A297,'Prior Year data'!$A$1:$T$317,12,FALSE),0)</f>
        <v>1747608.8647949211</v>
      </c>
      <c r="E297">
        <f>VLOOKUP(A297,'Basic HH'!$B$1:$Y$321,23,FALSE)</f>
        <v>733691.92371218128</v>
      </c>
      <c r="F297">
        <f>VLOOKUP(A297,'Conc. HH'!$B$1:$Y$321,23,FALSE)</f>
        <v>192871.14674921817</v>
      </c>
      <c r="G297">
        <f>VLOOKUP(A297,'Targeted HH'!$B$1:$Y$321,23,FALSE)</f>
        <v>471674.64640895848</v>
      </c>
      <c r="H297">
        <f>VLOOKUP(A297,'EFIG HH'!$B$1:$Y$321,23,FALSE)</f>
        <v>650338.62330592144</v>
      </c>
      <c r="I297">
        <f t="shared" si="113"/>
        <v>2048576.3401762792</v>
      </c>
      <c r="J297">
        <f t="shared" si="114"/>
        <v>1747608.8647949211</v>
      </c>
      <c r="K297" s="44">
        <f t="shared" si="115"/>
        <v>1906012.5774529325</v>
      </c>
      <c r="L297">
        <f t="shared" si="116"/>
        <v>0</v>
      </c>
      <c r="M297">
        <f t="shared" si="117"/>
        <v>1906012.5774529325</v>
      </c>
      <c r="N297">
        <f t="shared" si="118"/>
        <v>1809974.4753141054</v>
      </c>
      <c r="O297">
        <f t="shared" si="127"/>
        <v>0</v>
      </c>
      <c r="P297">
        <f t="shared" si="128"/>
        <v>1809974.4753141054</v>
      </c>
      <c r="Q297">
        <f t="shared" si="129"/>
        <v>1809974.4753141054</v>
      </c>
      <c r="R297">
        <f t="shared" si="130"/>
        <v>0</v>
      </c>
      <c r="S297">
        <f t="shared" si="131"/>
        <v>1809974.4753141054</v>
      </c>
      <c r="T297">
        <f t="shared" si="132"/>
        <v>1809974.4753141054</v>
      </c>
      <c r="U297">
        <f t="shared" si="133"/>
        <v>0</v>
      </c>
      <c r="V297">
        <f t="shared" si="134"/>
        <v>1809974.4753141054</v>
      </c>
      <c r="W297">
        <f t="shared" si="135"/>
        <v>1809974.4753141054</v>
      </c>
      <c r="X297" s="44">
        <f t="shared" si="119"/>
        <v>238601.8648621738</v>
      </c>
      <c r="Y297" s="28">
        <f t="shared" si="120"/>
        <v>13958.282382456171</v>
      </c>
      <c r="Z297" s="28">
        <f t="shared" si="121"/>
        <v>1796016.1929316493</v>
      </c>
      <c r="AA297">
        <f t="shared" si="122"/>
        <v>0</v>
      </c>
      <c r="AB297" s="28">
        <f t="shared" si="123"/>
        <v>1796016.1929316493</v>
      </c>
      <c r="AD297" s="28">
        <f t="shared" si="124"/>
        <v>0</v>
      </c>
      <c r="AE297" s="28">
        <f t="shared" si="125"/>
        <v>1796016.1929316493</v>
      </c>
      <c r="AF297" s="51"/>
      <c r="AG297" t="str">
        <f t="shared" si="126"/>
        <v>5309480</v>
      </c>
    </row>
    <row r="298" spans="1:33" x14ac:dyDescent="0.25">
      <c r="A298" s="7" t="s">
        <v>627</v>
      </c>
      <c r="B298" s="2" t="s">
        <v>1222</v>
      </c>
      <c r="C298" s="4" t="s">
        <v>1221</v>
      </c>
      <c r="D298">
        <f>_xlfn.IFNA(VLOOKUP(A298,'Prior Year data'!$A$1:$T$317,12,FALSE),0)</f>
        <v>359533.34196567081</v>
      </c>
      <c r="E298">
        <f>VLOOKUP(A298,'Basic HH'!$B$1:$Y$321,23,FALSE)</f>
        <v>153963.48692201692</v>
      </c>
      <c r="F298">
        <f>VLOOKUP(A298,'Conc. HH'!$B$1:$Y$321,23,FALSE)</f>
        <v>40473.546621465473</v>
      </c>
      <c r="G298">
        <f>VLOOKUP(A298,'Targeted HH'!$B$1:$Y$321,23,FALSE)</f>
        <v>87330.342271287431</v>
      </c>
      <c r="H298">
        <f>VLOOKUP(A298,'EFIG HH'!$B$1:$Y$321,23,FALSE)</f>
        <v>120409.89482462307</v>
      </c>
      <c r="I298">
        <f t="shared" si="113"/>
        <v>402177.2706393929</v>
      </c>
      <c r="J298">
        <f t="shared" si="114"/>
        <v>359533.34196567081</v>
      </c>
      <c r="K298" s="44">
        <f t="shared" si="115"/>
        <v>374189.09960583312</v>
      </c>
      <c r="L298">
        <f t="shared" si="116"/>
        <v>0</v>
      </c>
      <c r="M298">
        <f t="shared" si="117"/>
        <v>374189.09960583312</v>
      </c>
      <c r="N298">
        <f t="shared" si="118"/>
        <v>355334.86359905725</v>
      </c>
      <c r="O298">
        <f t="shared" si="127"/>
        <v>4198.4783666135627</v>
      </c>
      <c r="P298">
        <f t="shared" si="128"/>
        <v>0</v>
      </c>
      <c r="Q298">
        <f t="shared" si="129"/>
        <v>355334.86359905725</v>
      </c>
      <c r="R298">
        <f t="shared" si="130"/>
        <v>0</v>
      </c>
      <c r="S298">
        <f t="shared" si="131"/>
        <v>0</v>
      </c>
      <c r="T298">
        <f t="shared" si="132"/>
        <v>355334.86359905725</v>
      </c>
      <c r="U298">
        <f t="shared" si="133"/>
        <v>4198.4783666135627</v>
      </c>
      <c r="V298">
        <f t="shared" si="134"/>
        <v>0</v>
      </c>
      <c r="W298">
        <f t="shared" si="135"/>
        <v>355334.86359905725</v>
      </c>
      <c r="X298" s="44">
        <f t="shared" si="119"/>
        <v>46842.407040335645</v>
      </c>
      <c r="Y298" s="28">
        <f t="shared" si="120"/>
        <v>2740.2951997908403</v>
      </c>
      <c r="Z298" s="28">
        <f t="shared" si="121"/>
        <v>352594.5683992664</v>
      </c>
      <c r="AA298">
        <f t="shared" si="122"/>
        <v>0</v>
      </c>
      <c r="AB298" s="28">
        <f t="shared" si="123"/>
        <v>352594.5683992664</v>
      </c>
      <c r="AD298" s="28">
        <f t="shared" si="124"/>
        <v>0</v>
      </c>
      <c r="AE298" s="28">
        <f t="shared" si="125"/>
        <v>352594.5683992664</v>
      </c>
      <c r="AF298" s="51"/>
      <c r="AG298" t="str">
        <f t="shared" si="126"/>
        <v>5309510</v>
      </c>
    </row>
    <row r="299" spans="1:33" x14ac:dyDescent="0.25">
      <c r="A299" s="7" t="s">
        <v>257</v>
      </c>
      <c r="B299" s="2" t="s">
        <v>1224</v>
      </c>
      <c r="C299" s="4" t="s">
        <v>1223</v>
      </c>
      <c r="D299">
        <f>_xlfn.IFNA(VLOOKUP(A299,'Prior Year data'!$A$1:$T$317,12,FALSE),0)</f>
        <v>481746.63651937048</v>
      </c>
      <c r="E299">
        <f>VLOOKUP(A299,'Basic HH'!$B$1:$Y$321,23,FALSE)</f>
        <v>235675.95204822713</v>
      </c>
      <c r="F299">
        <f>VLOOKUP(A299,'Conc. HH'!$B$1:$Y$321,23,FALSE)</f>
        <v>0</v>
      </c>
      <c r="G299">
        <f>VLOOKUP(A299,'Targeted HH'!$B$1:$Y$321,23,FALSE)</f>
        <v>112777.38648134495</v>
      </c>
      <c r="H299">
        <f>VLOOKUP(A299,'EFIG HH'!$B$1:$Y$321,23,FALSE)</f>
        <v>155495.93522295522</v>
      </c>
      <c r="I299">
        <f t="shared" si="113"/>
        <v>503949.27375252731</v>
      </c>
      <c r="J299">
        <f t="shared" si="114"/>
        <v>481746.63651937048</v>
      </c>
      <c r="K299" s="44">
        <f t="shared" si="115"/>
        <v>468878.62333113467</v>
      </c>
      <c r="L299">
        <f t="shared" si="116"/>
        <v>12868.013188235811</v>
      </c>
      <c r="M299">
        <f t="shared" si="117"/>
        <v>0</v>
      </c>
      <c r="N299">
        <f t="shared" si="118"/>
        <v>481746.63651937048</v>
      </c>
      <c r="O299">
        <f t="shared" si="127"/>
        <v>0</v>
      </c>
      <c r="P299">
        <f t="shared" si="128"/>
        <v>0</v>
      </c>
      <c r="Q299">
        <f t="shared" si="129"/>
        <v>481746.63651937048</v>
      </c>
      <c r="R299">
        <f t="shared" si="130"/>
        <v>0</v>
      </c>
      <c r="S299">
        <f t="shared" si="131"/>
        <v>0</v>
      </c>
      <c r="T299">
        <f t="shared" si="132"/>
        <v>481746.63651937048</v>
      </c>
      <c r="U299">
        <f t="shared" si="133"/>
        <v>0</v>
      </c>
      <c r="V299">
        <f t="shared" si="134"/>
        <v>0</v>
      </c>
      <c r="W299">
        <f t="shared" si="135"/>
        <v>481746.63651937048</v>
      </c>
      <c r="X299" s="44">
        <f t="shared" si="119"/>
        <v>22202.637233156827</v>
      </c>
      <c r="Y299" s="28">
        <f t="shared" si="120"/>
        <v>3715.16597667428</v>
      </c>
      <c r="Z299" s="28">
        <f t="shared" si="121"/>
        <v>478031.47054269619</v>
      </c>
      <c r="AA299">
        <f t="shared" si="122"/>
        <v>0</v>
      </c>
      <c r="AB299" s="28">
        <f t="shared" si="123"/>
        <v>478031.47054269619</v>
      </c>
      <c r="AD299" s="28">
        <f t="shared" si="124"/>
        <v>0</v>
      </c>
      <c r="AE299" s="28">
        <f t="shared" si="125"/>
        <v>478031.47054269619</v>
      </c>
      <c r="AF299" s="51"/>
      <c r="AG299" t="str">
        <f t="shared" si="126"/>
        <v>5309540</v>
      </c>
    </row>
    <row r="300" spans="1:33" x14ac:dyDescent="0.25">
      <c r="A300" s="7" t="s">
        <v>629</v>
      </c>
      <c r="B300" s="2" t="s">
        <v>1226</v>
      </c>
      <c r="C300" s="4" t="s">
        <v>1225</v>
      </c>
      <c r="D300">
        <f>_xlfn.IFNA(VLOOKUP(A300,'Prior Year data'!$A$1:$T$317,12,FALSE),0)</f>
        <v>2122.9064646691354</v>
      </c>
      <c r="E300">
        <f>VLOOKUP(A300,'Basic HH'!$B$1:$Y$321,23,FALSE)</f>
        <v>0</v>
      </c>
      <c r="F300">
        <f>VLOOKUP(A300,'Conc. HH'!$B$1:$Y$321,23,FALSE)</f>
        <v>1818.4223737979735</v>
      </c>
      <c r="G300">
        <f>VLOOKUP(A300,'Targeted HH'!$B$1:$Y$321,23,FALSE)</f>
        <v>0</v>
      </c>
      <c r="H300">
        <f>VLOOKUP(A300,'EFIG HH'!$B$1:$Y$321,23,FALSE)</f>
        <v>0</v>
      </c>
      <c r="I300">
        <f t="shared" si="113"/>
        <v>1818.4223737979735</v>
      </c>
      <c r="J300">
        <f t="shared" si="114"/>
        <v>2122.9064646691354</v>
      </c>
      <c r="K300" s="44">
        <f t="shared" si="115"/>
        <v>1691.8754002999531</v>
      </c>
      <c r="L300">
        <f t="shared" si="116"/>
        <v>126.54697349802041</v>
      </c>
      <c r="M300">
        <f t="shared" si="117"/>
        <v>0</v>
      </c>
      <c r="N300">
        <f t="shared" si="118"/>
        <v>1818.4223737979735</v>
      </c>
      <c r="O300">
        <f t="shared" si="127"/>
        <v>0</v>
      </c>
      <c r="P300">
        <f t="shared" si="128"/>
        <v>0</v>
      </c>
      <c r="Q300">
        <f t="shared" si="129"/>
        <v>1818.4223737979735</v>
      </c>
      <c r="R300">
        <f t="shared" si="130"/>
        <v>0</v>
      </c>
      <c r="S300">
        <f t="shared" si="131"/>
        <v>0</v>
      </c>
      <c r="T300">
        <f t="shared" si="132"/>
        <v>1818.4223737979735</v>
      </c>
      <c r="U300">
        <f t="shared" si="133"/>
        <v>0</v>
      </c>
      <c r="V300">
        <f t="shared" si="134"/>
        <v>0</v>
      </c>
      <c r="W300">
        <f t="shared" si="135"/>
        <v>1818.4223737979735</v>
      </c>
      <c r="X300" s="44">
        <f t="shared" si="119"/>
        <v>0</v>
      </c>
      <c r="Y300" s="28">
        <f t="shared" si="120"/>
        <v>14.023431451785278</v>
      </c>
      <c r="Z300" s="28">
        <f t="shared" si="121"/>
        <v>1804.3989423461883</v>
      </c>
      <c r="AA300">
        <f t="shared" si="122"/>
        <v>0</v>
      </c>
      <c r="AB300" s="28">
        <f t="shared" si="123"/>
        <v>1804.3989423461883</v>
      </c>
      <c r="AD300" s="28">
        <f t="shared" si="124"/>
        <v>0</v>
      </c>
      <c r="AE300" s="28">
        <f t="shared" si="125"/>
        <v>1804.3989423461883</v>
      </c>
      <c r="AF300" s="51"/>
      <c r="AG300" t="str">
        <f t="shared" si="126"/>
        <v>5309570</v>
      </c>
    </row>
    <row r="301" spans="1:33" x14ac:dyDescent="0.25">
      <c r="A301" s="7" t="s">
        <v>631</v>
      </c>
      <c r="B301" s="2" t="s">
        <v>1228</v>
      </c>
      <c r="C301" s="4" t="s">
        <v>1227</v>
      </c>
      <c r="D301">
        <f>_xlfn.IFNA(VLOOKUP(A301,'Prior Year data'!$A$1:$T$317,12,FALSE),0)</f>
        <v>89743.330034408529</v>
      </c>
      <c r="E301">
        <f>VLOOKUP(A301,'Basic HH'!$B$1:$Y$321,23,FALSE)</f>
        <v>36125.510897903412</v>
      </c>
      <c r="F301">
        <f>VLOOKUP(A301,'Conc. HH'!$B$1:$Y$321,23,FALSE)</f>
        <v>9352.6410749949355</v>
      </c>
      <c r="G301">
        <f>VLOOKUP(A301,'Targeted HH'!$B$1:$Y$321,23,FALSE)</f>
        <v>17358.420694866847</v>
      </c>
      <c r="H301">
        <f>VLOOKUP(A301,'EFIG HH'!$B$1:$Y$321,23,FALSE)</f>
        <v>23936.110628553233</v>
      </c>
      <c r="I301">
        <f t="shared" si="113"/>
        <v>86772.683296318428</v>
      </c>
      <c r="J301">
        <f t="shared" si="114"/>
        <v>89743.330034408529</v>
      </c>
      <c r="K301" s="44">
        <f t="shared" si="115"/>
        <v>80734.030994369081</v>
      </c>
      <c r="L301">
        <f t="shared" si="116"/>
        <v>6038.652301949347</v>
      </c>
      <c r="M301">
        <f t="shared" si="117"/>
        <v>0</v>
      </c>
      <c r="N301">
        <f t="shared" si="118"/>
        <v>86772.683296318428</v>
      </c>
      <c r="O301">
        <f t="shared" si="127"/>
        <v>0</v>
      </c>
      <c r="P301">
        <f t="shared" si="128"/>
        <v>0</v>
      </c>
      <c r="Q301">
        <f t="shared" si="129"/>
        <v>86772.683296318428</v>
      </c>
      <c r="R301">
        <f t="shared" si="130"/>
        <v>0</v>
      </c>
      <c r="S301">
        <f t="shared" si="131"/>
        <v>0</v>
      </c>
      <c r="T301">
        <f t="shared" si="132"/>
        <v>86772.683296318428</v>
      </c>
      <c r="U301">
        <f t="shared" si="133"/>
        <v>0</v>
      </c>
      <c r="V301">
        <f t="shared" si="134"/>
        <v>0</v>
      </c>
      <c r="W301">
        <f t="shared" si="135"/>
        <v>86772.683296318428</v>
      </c>
      <c r="X301" s="44">
        <f t="shared" si="119"/>
        <v>0</v>
      </c>
      <c r="Y301" s="28">
        <f t="shared" si="120"/>
        <v>669.17939067801353</v>
      </c>
      <c r="Z301" s="28">
        <f t="shared" si="121"/>
        <v>86103.50390564042</v>
      </c>
      <c r="AA301">
        <f t="shared" si="122"/>
        <v>0</v>
      </c>
      <c r="AB301" s="28">
        <f t="shared" si="123"/>
        <v>86103.50390564042</v>
      </c>
      <c r="AD301" s="28">
        <f t="shared" si="124"/>
        <v>0</v>
      </c>
      <c r="AE301" s="28">
        <f t="shared" si="125"/>
        <v>86103.50390564042</v>
      </c>
      <c r="AF301" s="51"/>
      <c r="AG301" t="str">
        <f t="shared" si="126"/>
        <v>5309600</v>
      </c>
    </row>
    <row r="302" spans="1:33" x14ac:dyDescent="0.25">
      <c r="A302" s="7" t="s">
        <v>633</v>
      </c>
      <c r="B302" s="2" t="s">
        <v>1230</v>
      </c>
      <c r="C302" s="4" t="s">
        <v>1229</v>
      </c>
      <c r="D302">
        <f>_xlfn.IFNA(VLOOKUP(A302,'Prior Year data'!$A$1:$T$317,12,FALSE),0)</f>
        <v>184634.95350579094</v>
      </c>
      <c r="E302">
        <f>VLOOKUP(A302,'Basic HH'!$B$1:$Y$321,23,FALSE)</f>
        <v>64509.840889113264</v>
      </c>
      <c r="F302">
        <f>VLOOKUP(A302,'Conc. HH'!$B$1:$Y$321,23,FALSE)</f>
        <v>16958.189925195034</v>
      </c>
      <c r="G302">
        <f>VLOOKUP(A302,'Targeted HH'!$B$1:$Y$321,23,FALSE)</f>
        <v>40524.69135880917</v>
      </c>
      <c r="H302">
        <f>VLOOKUP(A302,'EFIG HH'!$B$1:$Y$321,23,FALSE)</f>
        <v>55874.89636942411</v>
      </c>
      <c r="I302">
        <f t="shared" si="113"/>
        <v>177867.61854254158</v>
      </c>
      <c r="J302">
        <f t="shared" si="114"/>
        <v>184634.95350579094</v>
      </c>
      <c r="K302" s="44">
        <f t="shared" si="115"/>
        <v>165489.52138855236</v>
      </c>
      <c r="L302">
        <f t="shared" si="116"/>
        <v>12378.09715398922</v>
      </c>
      <c r="M302">
        <f t="shared" si="117"/>
        <v>0</v>
      </c>
      <c r="N302">
        <f t="shared" si="118"/>
        <v>177867.61854254158</v>
      </c>
      <c r="O302">
        <f t="shared" si="127"/>
        <v>0</v>
      </c>
      <c r="P302">
        <f t="shared" si="128"/>
        <v>0</v>
      </c>
      <c r="Q302">
        <f t="shared" si="129"/>
        <v>177867.61854254158</v>
      </c>
      <c r="R302">
        <f t="shared" si="130"/>
        <v>0</v>
      </c>
      <c r="S302">
        <f t="shared" si="131"/>
        <v>0</v>
      </c>
      <c r="T302">
        <f t="shared" si="132"/>
        <v>177867.61854254158</v>
      </c>
      <c r="U302">
        <f t="shared" si="133"/>
        <v>0</v>
      </c>
      <c r="V302">
        <f t="shared" si="134"/>
        <v>0</v>
      </c>
      <c r="W302">
        <f t="shared" si="135"/>
        <v>177867.61854254158</v>
      </c>
      <c r="X302" s="44">
        <f t="shared" si="119"/>
        <v>0</v>
      </c>
      <c r="Y302" s="28">
        <f t="shared" si="120"/>
        <v>1371.6914134277704</v>
      </c>
      <c r="Z302" s="28">
        <f t="shared" si="121"/>
        <v>176495.92712911381</v>
      </c>
      <c r="AA302">
        <f t="shared" si="122"/>
        <v>0</v>
      </c>
      <c r="AB302" s="28">
        <f t="shared" si="123"/>
        <v>176495.92712911381</v>
      </c>
      <c r="AD302" s="28">
        <f t="shared" si="124"/>
        <v>0</v>
      </c>
      <c r="AE302" s="28">
        <f t="shared" si="125"/>
        <v>176495.92712911381</v>
      </c>
      <c r="AF302" s="51"/>
      <c r="AG302" t="str">
        <f t="shared" si="126"/>
        <v>5309630</v>
      </c>
    </row>
    <row r="303" spans="1:33" x14ac:dyDescent="0.25">
      <c r="A303" s="7" t="s">
        <v>67</v>
      </c>
      <c r="B303" s="2" t="s">
        <v>1231</v>
      </c>
      <c r="C303" s="4" t="s">
        <v>56</v>
      </c>
      <c r="D303">
        <f>_xlfn.IFNA(VLOOKUP(A303,'Prior Year data'!$A$1:$T$317,12,FALSE),0)</f>
        <v>2274377.9531562934</v>
      </c>
      <c r="E303">
        <f>VLOOKUP(A303,'Basic HH'!$B$1:$Y$321,23,FALSE)</f>
        <v>762431.19092974102</v>
      </c>
      <c r="F303">
        <f>VLOOKUP(A303,'Conc. HH'!$B$1:$Y$321,23,FALSE)</f>
        <v>174024.69693207025</v>
      </c>
      <c r="G303">
        <f>VLOOKUP(A303,'Targeted HH'!$B$1:$Y$321,23,FALSE)</f>
        <v>442115.01261203852</v>
      </c>
      <c r="H303">
        <f>VLOOKUP(A303,'EFIG HH'!$B$1:$Y$321,23,FALSE)</f>
        <v>609647.27370361378</v>
      </c>
      <c r="I303">
        <f t="shared" si="113"/>
        <v>1988218.1741774636</v>
      </c>
      <c r="J303">
        <f t="shared" si="114"/>
        <v>2274377.9531562934</v>
      </c>
      <c r="K303" s="44">
        <f t="shared" si="115"/>
        <v>1849854.8344928459</v>
      </c>
      <c r="L303">
        <f t="shared" si="116"/>
        <v>138363.33968461771</v>
      </c>
      <c r="M303">
        <f t="shared" si="117"/>
        <v>0</v>
      </c>
      <c r="N303">
        <f t="shared" si="118"/>
        <v>1988218.1741774636</v>
      </c>
      <c r="O303">
        <f t="shared" si="127"/>
        <v>0</v>
      </c>
      <c r="P303">
        <f t="shared" si="128"/>
        <v>0</v>
      </c>
      <c r="Q303">
        <f t="shared" si="129"/>
        <v>1988218.1741774636</v>
      </c>
      <c r="R303">
        <f t="shared" si="130"/>
        <v>0</v>
      </c>
      <c r="S303">
        <f t="shared" si="131"/>
        <v>0</v>
      </c>
      <c r="T303">
        <f t="shared" si="132"/>
        <v>1988218.1741774636</v>
      </c>
      <c r="U303">
        <f t="shared" si="133"/>
        <v>0</v>
      </c>
      <c r="V303">
        <f t="shared" si="134"/>
        <v>0</v>
      </c>
      <c r="W303">
        <f t="shared" si="135"/>
        <v>1988218.1741774636</v>
      </c>
      <c r="X303" s="44">
        <f t="shared" si="119"/>
        <v>0</v>
      </c>
      <c r="Y303" s="28">
        <f t="shared" si="120"/>
        <v>15332.874077290136</v>
      </c>
      <c r="Z303" s="28">
        <f t="shared" si="121"/>
        <v>1972885.3001001736</v>
      </c>
      <c r="AA303">
        <f t="shared" si="122"/>
        <v>0</v>
      </c>
      <c r="AB303" s="28">
        <f t="shared" si="123"/>
        <v>1972885.3001001736</v>
      </c>
      <c r="AD303" s="28">
        <f t="shared" si="124"/>
        <v>0</v>
      </c>
      <c r="AE303" s="28">
        <f t="shared" si="125"/>
        <v>1972885.3001001736</v>
      </c>
      <c r="AF303" s="51"/>
      <c r="AG303" t="str">
        <f t="shared" si="126"/>
        <v>5309660</v>
      </c>
    </row>
    <row r="304" spans="1:33" x14ac:dyDescent="0.25">
      <c r="A304" s="7" t="s">
        <v>310</v>
      </c>
      <c r="B304" s="2" t="s">
        <v>1233</v>
      </c>
      <c r="C304" s="4" t="s">
        <v>1232</v>
      </c>
      <c r="D304">
        <f>_xlfn.IFNA(VLOOKUP(A304,'Prior Year data'!$A$1:$T$317,12,FALSE),0)</f>
        <v>697273.15507053921</v>
      </c>
      <c r="E304">
        <f>VLOOKUP(A304,'Basic HH'!$B$1:$Y$321,23,FALSE)</f>
        <v>369856.42109758256</v>
      </c>
      <c r="F304">
        <f>VLOOKUP(A304,'Conc. HH'!$B$1:$Y$321,23,FALSE)</f>
        <v>0</v>
      </c>
      <c r="G304">
        <f>VLOOKUP(A304,'Targeted HH'!$B$1:$Y$321,23,FALSE)</f>
        <v>176986.40944152675</v>
      </c>
      <c r="H304">
        <f>VLOOKUP(A304,'EFIG HH'!$B$1:$Y$321,23,FALSE)</f>
        <v>244026.46768565971</v>
      </c>
      <c r="I304">
        <f t="shared" si="113"/>
        <v>790869.29822476907</v>
      </c>
      <c r="J304">
        <f t="shared" si="114"/>
        <v>697273.15507053921</v>
      </c>
      <c r="K304" s="44">
        <f t="shared" si="115"/>
        <v>735831.41617659817</v>
      </c>
      <c r="L304">
        <f t="shared" si="116"/>
        <v>0</v>
      </c>
      <c r="M304">
        <f t="shared" si="117"/>
        <v>735831.41617659817</v>
      </c>
      <c r="N304">
        <f t="shared" si="118"/>
        <v>698755.13790871727</v>
      </c>
      <c r="O304">
        <f t="shared" si="127"/>
        <v>0</v>
      </c>
      <c r="P304">
        <f t="shared" si="128"/>
        <v>698755.13790871727</v>
      </c>
      <c r="Q304">
        <f t="shared" si="129"/>
        <v>698755.13790871727</v>
      </c>
      <c r="R304">
        <f t="shared" si="130"/>
        <v>0</v>
      </c>
      <c r="S304">
        <f t="shared" si="131"/>
        <v>698755.13790871727</v>
      </c>
      <c r="T304">
        <f t="shared" si="132"/>
        <v>698755.13790871727</v>
      </c>
      <c r="U304">
        <f t="shared" si="133"/>
        <v>0</v>
      </c>
      <c r="V304">
        <f t="shared" si="134"/>
        <v>698755.13790871727</v>
      </c>
      <c r="W304">
        <f t="shared" si="135"/>
        <v>698755.13790871727</v>
      </c>
      <c r="X304" s="44">
        <f t="shared" si="119"/>
        <v>92114.160316051799</v>
      </c>
      <c r="Y304" s="28">
        <f t="shared" si="120"/>
        <v>5388.7066719155573</v>
      </c>
      <c r="Z304" s="28">
        <f t="shared" si="121"/>
        <v>693366.43123680167</v>
      </c>
      <c r="AA304">
        <f t="shared" si="122"/>
        <v>0</v>
      </c>
      <c r="AB304" s="28">
        <f t="shared" si="123"/>
        <v>693366.43123680167</v>
      </c>
      <c r="AD304" s="28">
        <f t="shared" si="124"/>
        <v>0</v>
      </c>
      <c r="AE304" s="28">
        <f t="shared" si="125"/>
        <v>693366.43123680167</v>
      </c>
      <c r="AF304" s="51"/>
      <c r="AG304" t="str">
        <f t="shared" si="126"/>
        <v>5309690</v>
      </c>
    </row>
    <row r="305" spans="1:33" x14ac:dyDescent="0.25">
      <c r="A305" s="7" t="s">
        <v>259</v>
      </c>
      <c r="B305" s="2" t="s">
        <v>1235</v>
      </c>
      <c r="C305" s="4" t="s">
        <v>1234</v>
      </c>
      <c r="D305">
        <f>_xlfn.IFNA(VLOOKUP(A305,'Prior Year data'!$A$1:$T$317,12,FALSE),0)</f>
        <v>1198212.9255389941</v>
      </c>
      <c r="E305">
        <f>VLOOKUP(A305,'Basic HH'!$B$1:$Y$321,23,FALSE)</f>
        <v>637357.22798443865</v>
      </c>
      <c r="F305">
        <f>VLOOKUP(A305,'Conc. HH'!$B$1:$Y$321,23,FALSE)</f>
        <v>0</v>
      </c>
      <c r="G305">
        <f>VLOOKUP(A305,'Targeted HH'!$B$1:$Y$321,23,FALSE)</f>
        <v>315282.76658653381</v>
      </c>
      <c r="H305">
        <f>VLOOKUP(A305,'EFIG HH'!$B$1:$Y$321,23,FALSE)</f>
        <v>434707.61452840775</v>
      </c>
      <c r="I305">
        <f t="shared" si="113"/>
        <v>1387347.6090993802</v>
      </c>
      <c r="J305">
        <f t="shared" si="114"/>
        <v>1198212.9255389941</v>
      </c>
      <c r="K305" s="44">
        <f t="shared" si="115"/>
        <v>1290799.8302934279</v>
      </c>
      <c r="L305">
        <f t="shared" si="116"/>
        <v>0</v>
      </c>
      <c r="M305">
        <f t="shared" si="117"/>
        <v>1290799.8302934279</v>
      </c>
      <c r="N305">
        <f t="shared" si="118"/>
        <v>1225760.4032671065</v>
      </c>
      <c r="O305">
        <f t="shared" si="127"/>
        <v>0</v>
      </c>
      <c r="P305">
        <f t="shared" si="128"/>
        <v>1225760.4032671065</v>
      </c>
      <c r="Q305">
        <f t="shared" si="129"/>
        <v>1225760.4032671065</v>
      </c>
      <c r="R305">
        <f t="shared" si="130"/>
        <v>0</v>
      </c>
      <c r="S305">
        <f t="shared" si="131"/>
        <v>1225760.4032671065</v>
      </c>
      <c r="T305">
        <f t="shared" si="132"/>
        <v>1225760.4032671065</v>
      </c>
      <c r="U305">
        <f t="shared" si="133"/>
        <v>0</v>
      </c>
      <c r="V305">
        <f t="shared" si="134"/>
        <v>1225760.4032671065</v>
      </c>
      <c r="W305">
        <f t="shared" si="135"/>
        <v>1225760.4032671065</v>
      </c>
      <c r="X305" s="44">
        <f t="shared" si="119"/>
        <v>161587.2058322737</v>
      </c>
      <c r="Y305" s="28">
        <f t="shared" si="120"/>
        <v>9452.9011736844604</v>
      </c>
      <c r="Z305" s="28">
        <f t="shared" si="121"/>
        <v>1216307.502093422</v>
      </c>
      <c r="AA305">
        <f t="shared" si="122"/>
        <v>0</v>
      </c>
      <c r="AB305" s="28">
        <f t="shared" si="123"/>
        <v>1216307.502093422</v>
      </c>
      <c r="AD305" s="28">
        <f t="shared" si="124"/>
        <v>0</v>
      </c>
      <c r="AE305" s="28">
        <f t="shared" si="125"/>
        <v>1216307.502093422</v>
      </c>
      <c r="AF305" s="51"/>
      <c r="AG305" t="str">
        <f t="shared" si="126"/>
        <v>5309720</v>
      </c>
    </row>
    <row r="306" spans="1:33" x14ac:dyDescent="0.25">
      <c r="A306" s="7" t="s">
        <v>71</v>
      </c>
      <c r="B306" s="2" t="s">
        <v>1236</v>
      </c>
      <c r="C306" s="4" t="s">
        <v>13</v>
      </c>
      <c r="D306">
        <f>_xlfn.IFNA(VLOOKUP(A306,'Prior Year data'!$A$1:$T$317,12,FALSE),0)</f>
        <v>23975.18560045015</v>
      </c>
      <c r="E306">
        <f>VLOOKUP(A306,'Basic HH'!$B$1:$Y$321,23,FALSE)</f>
        <v>0</v>
      </c>
      <c r="F306">
        <f>VLOOKUP(A306,'Conc. HH'!$B$1:$Y$321,23,FALSE)</f>
        <v>0</v>
      </c>
      <c r="G306">
        <f>VLOOKUP(A306,'Targeted HH'!$B$1:$Y$321,23,FALSE)</f>
        <v>0</v>
      </c>
      <c r="H306">
        <f>VLOOKUP(A306,'EFIG HH'!$B$1:$Y$321,23,FALSE)</f>
        <v>0</v>
      </c>
      <c r="I306">
        <f t="shared" si="113"/>
        <v>0</v>
      </c>
      <c r="J306">
        <f t="shared" si="114"/>
        <v>23975.18560045015</v>
      </c>
      <c r="K306" s="44">
        <f t="shared" si="115"/>
        <v>0</v>
      </c>
      <c r="L306">
        <f t="shared" si="116"/>
        <v>0</v>
      </c>
      <c r="M306">
        <f t="shared" si="117"/>
        <v>0</v>
      </c>
      <c r="N306">
        <f t="shared" si="118"/>
        <v>0</v>
      </c>
      <c r="O306">
        <f t="shared" si="127"/>
        <v>0</v>
      </c>
      <c r="P306">
        <f t="shared" si="128"/>
        <v>0</v>
      </c>
      <c r="Q306">
        <f t="shared" si="129"/>
        <v>0</v>
      </c>
      <c r="R306">
        <f t="shared" si="130"/>
        <v>0</v>
      </c>
      <c r="S306">
        <f t="shared" si="131"/>
        <v>0</v>
      </c>
      <c r="T306">
        <f t="shared" si="132"/>
        <v>0</v>
      </c>
      <c r="U306">
        <f t="shared" si="133"/>
        <v>0</v>
      </c>
      <c r="V306">
        <f t="shared" si="134"/>
        <v>0</v>
      </c>
      <c r="W306">
        <f t="shared" si="135"/>
        <v>0</v>
      </c>
      <c r="X306" s="44">
        <f t="shared" si="119"/>
        <v>0</v>
      </c>
      <c r="Y306" s="28">
        <f t="shared" si="120"/>
        <v>0</v>
      </c>
      <c r="Z306" s="28">
        <f t="shared" si="121"/>
        <v>0</v>
      </c>
      <c r="AA306">
        <f t="shared" si="122"/>
        <v>0</v>
      </c>
      <c r="AB306" s="28">
        <f t="shared" si="123"/>
        <v>0</v>
      </c>
      <c r="AD306" s="28">
        <f t="shared" si="124"/>
        <v>0</v>
      </c>
      <c r="AE306" s="28">
        <f t="shared" si="125"/>
        <v>0</v>
      </c>
      <c r="AF306" s="51"/>
      <c r="AG306" t="str">
        <f t="shared" si="126"/>
        <v>5309740</v>
      </c>
    </row>
    <row r="307" spans="1:33" x14ac:dyDescent="0.25">
      <c r="A307" s="7" t="s">
        <v>635</v>
      </c>
      <c r="B307" s="2" t="s">
        <v>1238</v>
      </c>
      <c r="C307" s="4" t="s">
        <v>1237</v>
      </c>
      <c r="D307">
        <f>_xlfn.IFNA(VLOOKUP(A307,'Prior Year data'!$A$1:$T$317,12,FALSE),0)</f>
        <v>239871.54363057073</v>
      </c>
      <c r="E307">
        <f>VLOOKUP(A307,'Basic HH'!$B$1:$Y$321,23,FALSE)</f>
        <v>76913.800480945938</v>
      </c>
      <c r="F307">
        <f>VLOOKUP(A307,'Conc. HH'!$B$1:$Y$321,23,FALSE)</f>
        <v>20144.150007681394</v>
      </c>
      <c r="G307">
        <f>VLOOKUP(A307,'Targeted HH'!$B$1:$Y$321,23,FALSE)</f>
        <v>49307.294996912722</v>
      </c>
      <c r="H307">
        <f>VLOOKUP(A307,'EFIG HH'!$B$1:$Y$321,23,FALSE)</f>
        <v>67991.488891026995</v>
      </c>
      <c r="I307">
        <f t="shared" si="113"/>
        <v>214356.73437656707</v>
      </c>
      <c r="J307">
        <f t="shared" si="114"/>
        <v>239871.54363057073</v>
      </c>
      <c r="K307" s="44">
        <f t="shared" si="115"/>
        <v>199439.300245124</v>
      </c>
      <c r="L307">
        <f t="shared" si="116"/>
        <v>14917.434131443064</v>
      </c>
      <c r="M307">
        <f t="shared" si="117"/>
        <v>0</v>
      </c>
      <c r="N307">
        <f t="shared" si="118"/>
        <v>214356.73437656707</v>
      </c>
      <c r="O307">
        <f t="shared" si="127"/>
        <v>0</v>
      </c>
      <c r="P307">
        <f t="shared" si="128"/>
        <v>0</v>
      </c>
      <c r="Q307">
        <f t="shared" si="129"/>
        <v>214356.73437656707</v>
      </c>
      <c r="R307">
        <f t="shared" si="130"/>
        <v>0</v>
      </c>
      <c r="S307">
        <f t="shared" si="131"/>
        <v>0</v>
      </c>
      <c r="T307">
        <f t="shared" si="132"/>
        <v>214356.73437656707</v>
      </c>
      <c r="U307">
        <f t="shared" si="133"/>
        <v>0</v>
      </c>
      <c r="V307">
        <f t="shared" si="134"/>
        <v>0</v>
      </c>
      <c r="W307">
        <f t="shared" si="135"/>
        <v>214356.73437656707</v>
      </c>
      <c r="X307" s="44">
        <f t="shared" si="119"/>
        <v>0</v>
      </c>
      <c r="Y307" s="28">
        <f t="shared" si="120"/>
        <v>1653.0906207890189</v>
      </c>
      <c r="Z307" s="28">
        <f t="shared" si="121"/>
        <v>212703.64375577806</v>
      </c>
      <c r="AA307">
        <f t="shared" si="122"/>
        <v>0</v>
      </c>
      <c r="AB307" s="28">
        <f t="shared" si="123"/>
        <v>212703.64375577806</v>
      </c>
      <c r="AD307" s="28">
        <f t="shared" si="124"/>
        <v>0</v>
      </c>
      <c r="AE307" s="28">
        <f t="shared" si="125"/>
        <v>212703.64375577806</v>
      </c>
      <c r="AF307" s="51"/>
      <c r="AG307" t="str">
        <f t="shared" si="126"/>
        <v>5309750</v>
      </c>
    </row>
    <row r="308" spans="1:33" x14ac:dyDescent="0.25">
      <c r="A308" s="7" t="s">
        <v>260</v>
      </c>
      <c r="B308" s="2" t="s">
        <v>1240</v>
      </c>
      <c r="C308" s="4" t="s">
        <v>1239</v>
      </c>
      <c r="D308">
        <f>_xlfn.IFNA(VLOOKUP(A308,'Prior Year data'!$A$1:$T$317,12,FALSE),0)</f>
        <v>443268.4706631907</v>
      </c>
      <c r="E308">
        <f>VLOOKUP(A308,'Basic HH'!$B$1:$Y$321,23,FALSE)</f>
        <v>197778.34409386094</v>
      </c>
      <c r="F308">
        <f>VLOOKUP(A308,'Conc. HH'!$B$1:$Y$321,23,FALSE)</f>
        <v>0</v>
      </c>
      <c r="G308">
        <f>VLOOKUP(A308,'Targeted HH'!$B$1:$Y$321,23,FALSE)</f>
        <v>0</v>
      </c>
      <c r="H308">
        <f>VLOOKUP(A308,'EFIG HH'!$B$1:$Y$321,23,FALSE)</f>
        <v>0</v>
      </c>
      <c r="I308">
        <f t="shared" si="113"/>
        <v>197778.34409386094</v>
      </c>
      <c r="J308">
        <f t="shared" si="114"/>
        <v>443268.4706631907</v>
      </c>
      <c r="K308" s="44">
        <f t="shared" si="115"/>
        <v>184014.62713284823</v>
      </c>
      <c r="L308">
        <f t="shared" si="116"/>
        <v>13763.716961012717</v>
      </c>
      <c r="M308">
        <f t="shared" si="117"/>
        <v>0</v>
      </c>
      <c r="N308">
        <f t="shared" si="118"/>
        <v>197778.34409386094</v>
      </c>
      <c r="O308">
        <f t="shared" si="127"/>
        <v>0</v>
      </c>
      <c r="P308">
        <f t="shared" si="128"/>
        <v>0</v>
      </c>
      <c r="Q308">
        <f t="shared" si="129"/>
        <v>197778.34409386094</v>
      </c>
      <c r="R308">
        <f t="shared" si="130"/>
        <v>0</v>
      </c>
      <c r="S308">
        <f t="shared" si="131"/>
        <v>0</v>
      </c>
      <c r="T308">
        <f t="shared" si="132"/>
        <v>197778.34409386094</v>
      </c>
      <c r="U308">
        <f t="shared" si="133"/>
        <v>0</v>
      </c>
      <c r="V308">
        <f t="shared" si="134"/>
        <v>0</v>
      </c>
      <c r="W308">
        <f t="shared" si="135"/>
        <v>197778.34409386094</v>
      </c>
      <c r="X308" s="44">
        <f t="shared" si="119"/>
        <v>0</v>
      </c>
      <c r="Y308" s="28">
        <f t="shared" si="120"/>
        <v>1525.2402802628515</v>
      </c>
      <c r="Z308" s="28">
        <f t="shared" si="121"/>
        <v>196253.10381359808</v>
      </c>
      <c r="AA308">
        <f t="shared" si="122"/>
        <v>0</v>
      </c>
      <c r="AB308" s="28">
        <f t="shared" si="123"/>
        <v>196253.10381359808</v>
      </c>
      <c r="AD308" s="28">
        <f t="shared" si="124"/>
        <v>0</v>
      </c>
      <c r="AE308" s="28">
        <f t="shared" si="125"/>
        <v>196253.10381359808</v>
      </c>
      <c r="AF308" s="51"/>
      <c r="AG308" t="str">
        <f t="shared" si="126"/>
        <v>5309780</v>
      </c>
    </row>
    <row r="309" spans="1:33" x14ac:dyDescent="0.25">
      <c r="A309" s="7" t="s">
        <v>311</v>
      </c>
      <c r="B309" s="2" t="s">
        <v>1242</v>
      </c>
      <c r="C309" s="4" t="s">
        <v>1241</v>
      </c>
      <c r="D309">
        <f>_xlfn.IFNA(VLOOKUP(A309,'Prior Year data'!$A$1:$T$317,12,FALSE),0)</f>
        <v>252416.76801653919</v>
      </c>
      <c r="E309">
        <f>VLOOKUP(A309,'Basic HH'!$B$1:$Y$321,23,FALSE)</f>
        <v>127299.41935451684</v>
      </c>
      <c r="F309">
        <f>VLOOKUP(A309,'Conc. HH'!$B$1:$Y$321,23,FALSE)</f>
        <v>0</v>
      </c>
      <c r="G309">
        <f>VLOOKUP(A309,'Targeted HH'!$B$1:$Y$321,23,FALSE)</f>
        <v>60916.252551967351</v>
      </c>
      <c r="H309">
        <f>VLOOKUP(A309,'EFIG HH'!$B$1:$Y$321,23,FALSE)</f>
        <v>83990.505156924715</v>
      </c>
      <c r="I309">
        <f t="shared" si="113"/>
        <v>272206.17706340889</v>
      </c>
      <c r="J309">
        <f t="shared" si="114"/>
        <v>252416.76801653919</v>
      </c>
      <c r="K309" s="44">
        <f t="shared" si="115"/>
        <v>253262.90603287565</v>
      </c>
      <c r="L309">
        <f t="shared" si="116"/>
        <v>0</v>
      </c>
      <c r="M309">
        <f t="shared" si="117"/>
        <v>253262.90603287565</v>
      </c>
      <c r="N309">
        <f t="shared" si="118"/>
        <v>240501.76839648871</v>
      </c>
      <c r="O309">
        <f t="shared" si="127"/>
        <v>11914.999620050483</v>
      </c>
      <c r="P309">
        <f t="shared" si="128"/>
        <v>0</v>
      </c>
      <c r="Q309">
        <f t="shared" si="129"/>
        <v>240501.76839648871</v>
      </c>
      <c r="R309">
        <f t="shared" si="130"/>
        <v>0</v>
      </c>
      <c r="S309">
        <f t="shared" si="131"/>
        <v>0</v>
      </c>
      <c r="T309">
        <f t="shared" si="132"/>
        <v>240501.76839648871</v>
      </c>
      <c r="U309">
        <f t="shared" si="133"/>
        <v>11914.999620050483</v>
      </c>
      <c r="V309">
        <f t="shared" si="134"/>
        <v>0</v>
      </c>
      <c r="W309">
        <f t="shared" si="135"/>
        <v>240501.76839648871</v>
      </c>
      <c r="X309" s="44">
        <f t="shared" si="119"/>
        <v>31704.408666920179</v>
      </c>
      <c r="Y309" s="28">
        <f t="shared" si="120"/>
        <v>1854.7176452174476</v>
      </c>
      <c r="Z309" s="28">
        <f t="shared" si="121"/>
        <v>238647.05075127125</v>
      </c>
      <c r="AA309">
        <f t="shared" si="122"/>
        <v>0</v>
      </c>
      <c r="AB309" s="28">
        <f t="shared" si="123"/>
        <v>238647.05075127125</v>
      </c>
      <c r="AD309" s="28">
        <f t="shared" si="124"/>
        <v>0</v>
      </c>
      <c r="AE309" s="28">
        <f t="shared" si="125"/>
        <v>238647.05075127125</v>
      </c>
      <c r="AF309" s="51"/>
      <c r="AG309" t="str">
        <f t="shared" si="126"/>
        <v>5309810</v>
      </c>
    </row>
    <row r="310" spans="1:33" x14ac:dyDescent="0.25">
      <c r="A310" s="7" t="s">
        <v>73</v>
      </c>
      <c r="B310" s="2" t="s">
        <v>1243</v>
      </c>
      <c r="C310" s="4" t="s">
        <v>19</v>
      </c>
      <c r="D310">
        <f>_xlfn.IFNA(VLOOKUP(A310,'Prior Year data'!$A$1:$T$317,12,FALSE),0)</f>
        <v>81097.055932635951</v>
      </c>
      <c r="E310">
        <f>VLOOKUP(A310,'Basic HH'!$B$1:$Y$321,23,FALSE)</f>
        <v>39266.60730743676</v>
      </c>
      <c r="F310">
        <f>VLOOKUP(A310,'Conc. HH'!$B$1:$Y$321,23,FALSE)</f>
        <v>10322.310135319836</v>
      </c>
      <c r="G310">
        <f>VLOOKUP(A310,'Targeted HH'!$B$1:$Y$321,23,FALSE)</f>
        <v>28690.944161461895</v>
      </c>
      <c r="H310">
        <f>VLOOKUP(A310,'EFIG HH'!$B$1:$Y$321,23,FALSE)</f>
        <v>39558.685779210493</v>
      </c>
      <c r="I310">
        <f t="shared" si="113"/>
        <v>117838.54738342899</v>
      </c>
      <c r="J310">
        <f t="shared" si="114"/>
        <v>81097.055932635951</v>
      </c>
      <c r="K310" s="44">
        <f t="shared" si="115"/>
        <v>109637.97102248682</v>
      </c>
      <c r="L310">
        <f t="shared" si="116"/>
        <v>0</v>
      </c>
      <c r="M310">
        <f t="shared" si="117"/>
        <v>109637.97102248682</v>
      </c>
      <c r="N310">
        <f t="shared" si="118"/>
        <v>104113.65141205583</v>
      </c>
      <c r="O310">
        <f t="shared" si="127"/>
        <v>0</v>
      </c>
      <c r="P310">
        <f t="shared" si="128"/>
        <v>104113.65141205583</v>
      </c>
      <c r="Q310">
        <f t="shared" si="129"/>
        <v>104113.65141205583</v>
      </c>
      <c r="R310">
        <f t="shared" si="130"/>
        <v>0</v>
      </c>
      <c r="S310">
        <f t="shared" si="131"/>
        <v>104113.65141205583</v>
      </c>
      <c r="T310">
        <f t="shared" si="132"/>
        <v>104113.65141205583</v>
      </c>
      <c r="U310">
        <f t="shared" si="133"/>
        <v>0</v>
      </c>
      <c r="V310">
        <f t="shared" si="134"/>
        <v>104113.65141205583</v>
      </c>
      <c r="W310">
        <f t="shared" si="135"/>
        <v>104113.65141205583</v>
      </c>
      <c r="X310" s="44">
        <f t="shared" si="119"/>
        <v>13724.89597137316</v>
      </c>
      <c r="Y310" s="28">
        <f t="shared" si="120"/>
        <v>802.91063001089185</v>
      </c>
      <c r="Z310" s="28">
        <f t="shared" si="121"/>
        <v>103310.74078204493</v>
      </c>
      <c r="AA310">
        <f t="shared" si="122"/>
        <v>0</v>
      </c>
      <c r="AB310" s="28">
        <f t="shared" si="123"/>
        <v>103310.74078204493</v>
      </c>
      <c r="AD310" s="28">
        <f t="shared" si="124"/>
        <v>0</v>
      </c>
      <c r="AE310" s="28">
        <f t="shared" si="125"/>
        <v>103310.74078204493</v>
      </c>
      <c r="AF310" s="51"/>
      <c r="AG310" t="str">
        <f t="shared" si="126"/>
        <v>5300955</v>
      </c>
    </row>
    <row r="311" spans="1:33" x14ac:dyDescent="0.25">
      <c r="A311" s="7" t="s">
        <v>262</v>
      </c>
      <c r="B311" s="2" t="s">
        <v>1245</v>
      </c>
      <c r="C311" s="4" t="s">
        <v>1244</v>
      </c>
      <c r="D311">
        <f>_xlfn.IFNA(VLOOKUP(A311,'Prior Year data'!$A$1:$T$317,12,FALSE),0)</f>
        <v>46173.799027415705</v>
      </c>
      <c r="E311">
        <f>VLOOKUP(A311,'Basic HH'!$B$1:$Y$321,23,FALSE)</f>
        <v>28384.329991209834</v>
      </c>
      <c r="F311">
        <f>VLOOKUP(A311,'Conc. HH'!$B$1:$Y$321,23,FALSE)</f>
        <v>0</v>
      </c>
      <c r="G311">
        <f>VLOOKUP(A311,'Targeted HH'!$B$1:$Y$321,23,FALSE)</f>
        <v>13582.67793388461</v>
      </c>
      <c r="H311">
        <f>VLOOKUP(A311,'EFIG HH'!$B$1:$Y$321,23,FALSE)</f>
        <v>18727.612636341317</v>
      </c>
      <c r="I311">
        <f t="shared" si="113"/>
        <v>60694.62056143576</v>
      </c>
      <c r="J311">
        <f t="shared" si="114"/>
        <v>46173.799027415705</v>
      </c>
      <c r="K311" s="44">
        <f t="shared" si="115"/>
        <v>56470.783101924972</v>
      </c>
      <c r="L311">
        <f t="shared" si="116"/>
        <v>0</v>
      </c>
      <c r="M311">
        <f t="shared" si="117"/>
        <v>56470.783101924972</v>
      </c>
      <c r="N311">
        <f t="shared" si="118"/>
        <v>53625.394304622481</v>
      </c>
      <c r="O311">
        <f t="shared" si="127"/>
        <v>0</v>
      </c>
      <c r="P311">
        <f t="shared" si="128"/>
        <v>53625.394304622481</v>
      </c>
      <c r="Q311">
        <f t="shared" si="129"/>
        <v>53625.394304622481</v>
      </c>
      <c r="R311">
        <f t="shared" si="130"/>
        <v>0</v>
      </c>
      <c r="S311">
        <f t="shared" si="131"/>
        <v>53625.394304622481</v>
      </c>
      <c r="T311">
        <f t="shared" si="132"/>
        <v>53625.394304622481</v>
      </c>
      <c r="U311">
        <f t="shared" si="133"/>
        <v>0</v>
      </c>
      <c r="V311">
        <f t="shared" si="134"/>
        <v>53625.394304622481</v>
      </c>
      <c r="W311">
        <f t="shared" si="135"/>
        <v>53625.394304622481</v>
      </c>
      <c r="X311" s="44">
        <f t="shared" si="119"/>
        <v>7069.2262568132792</v>
      </c>
      <c r="Y311" s="28">
        <f t="shared" si="120"/>
        <v>413.55190737956599</v>
      </c>
      <c r="Z311" s="28">
        <f t="shared" si="121"/>
        <v>53211.842397242915</v>
      </c>
      <c r="AA311">
        <f t="shared" si="122"/>
        <v>0</v>
      </c>
      <c r="AB311" s="28">
        <f t="shared" si="123"/>
        <v>53211.842397242915</v>
      </c>
      <c r="AD311" s="28">
        <f t="shared" si="124"/>
        <v>0</v>
      </c>
      <c r="AE311" s="28">
        <f t="shared" si="125"/>
        <v>53211.842397242915</v>
      </c>
      <c r="AF311" s="51"/>
      <c r="AG311" t="str">
        <f t="shared" si="126"/>
        <v>5309840</v>
      </c>
    </row>
    <row r="312" spans="1:33" x14ac:dyDescent="0.25">
      <c r="A312" s="7" t="s">
        <v>637</v>
      </c>
      <c r="B312" s="2" t="s">
        <v>1247</v>
      </c>
      <c r="C312" s="4" t="s">
        <v>1246</v>
      </c>
      <c r="D312">
        <f>_xlfn.IFNA(VLOOKUP(A312,'Prior Year data'!$A$1:$T$317,12,FALSE),0)</f>
        <v>125430.17983611237</v>
      </c>
      <c r="E312">
        <f>VLOOKUP(A312,'Basic HH'!$B$1:$Y$321,23,FALSE)</f>
        <v>43542.987524510827</v>
      </c>
      <c r="F312">
        <f>VLOOKUP(A312,'Conc. HH'!$B$1:$Y$321,23,FALSE)</f>
        <v>11321.525852586967</v>
      </c>
      <c r="G312">
        <f>VLOOKUP(A312,'Targeted HH'!$B$1:$Y$321,23,FALSE)</f>
        <v>23242.358577955023</v>
      </c>
      <c r="H312">
        <f>VLOOKUP(A312,'EFIG HH'!$B$1:$Y$321,23,FALSE)</f>
        <v>29333.116174164265</v>
      </c>
      <c r="I312">
        <f t="shared" si="113"/>
        <v>107439.98812921709</v>
      </c>
      <c r="J312">
        <f t="shared" si="114"/>
        <v>125430.17983611237</v>
      </c>
      <c r="K312" s="44">
        <f t="shared" si="115"/>
        <v>99963.064436280722</v>
      </c>
      <c r="L312">
        <f t="shared" si="116"/>
        <v>7476.9236929363688</v>
      </c>
      <c r="M312">
        <f t="shared" si="117"/>
        <v>0</v>
      </c>
      <c r="N312">
        <f t="shared" si="118"/>
        <v>107439.98812921709</v>
      </c>
      <c r="O312">
        <f t="shared" si="127"/>
        <v>0</v>
      </c>
      <c r="P312">
        <f t="shared" si="128"/>
        <v>0</v>
      </c>
      <c r="Q312">
        <f t="shared" si="129"/>
        <v>107439.98812921709</v>
      </c>
      <c r="R312">
        <f t="shared" si="130"/>
        <v>0</v>
      </c>
      <c r="S312">
        <f t="shared" si="131"/>
        <v>0</v>
      </c>
      <c r="T312">
        <f t="shared" si="132"/>
        <v>107439.98812921709</v>
      </c>
      <c r="U312">
        <f t="shared" si="133"/>
        <v>0</v>
      </c>
      <c r="V312">
        <f t="shared" si="134"/>
        <v>0</v>
      </c>
      <c r="W312">
        <f t="shared" si="135"/>
        <v>107439.98812921709</v>
      </c>
      <c r="X312" s="44">
        <f t="shared" si="119"/>
        <v>0</v>
      </c>
      <c r="Y312" s="28">
        <f t="shared" si="120"/>
        <v>828.56289628896275</v>
      </c>
      <c r="Z312" s="28">
        <f t="shared" si="121"/>
        <v>106611.42523292813</v>
      </c>
      <c r="AA312">
        <f t="shared" si="122"/>
        <v>0</v>
      </c>
      <c r="AB312" s="28">
        <f t="shared" si="123"/>
        <v>106611.42523292813</v>
      </c>
      <c r="AD312" s="28">
        <f t="shared" si="124"/>
        <v>0</v>
      </c>
      <c r="AE312" s="28">
        <f t="shared" si="125"/>
        <v>106611.42523292813</v>
      </c>
      <c r="AF312" s="51"/>
      <c r="AG312" t="str">
        <f t="shared" si="126"/>
        <v>5309870</v>
      </c>
    </row>
    <row r="313" spans="1:33" x14ac:dyDescent="0.25">
      <c r="A313" s="7" t="s">
        <v>639</v>
      </c>
      <c r="B313" s="2" t="s">
        <v>1249</v>
      </c>
      <c r="C313" s="4" t="s">
        <v>1248</v>
      </c>
      <c r="D313">
        <f>_xlfn.IFNA(VLOOKUP(A313,'Prior Year data'!$A$1:$T$317,12,FALSE),0)</f>
        <v>26722.976328807221</v>
      </c>
      <c r="E313">
        <f>VLOOKUP(A313,'Basic HH'!$B$1:$Y$321,23,FALSE)</f>
        <v>12901.968177822651</v>
      </c>
      <c r="F313">
        <f>VLOOKUP(A313,'Conc. HH'!$B$1:$Y$321,23,FALSE)</f>
        <v>2510.0445587040394</v>
      </c>
      <c r="G313">
        <f>VLOOKUP(A313,'Targeted HH'!$B$1:$Y$321,23,FALSE)</f>
        <v>6173.9445154020941</v>
      </c>
      <c r="H313">
        <f>VLOOKUP(A313,'EFIG HH'!$B$1:$Y$321,23,FALSE)</f>
        <v>8512.551198336967</v>
      </c>
      <c r="I313">
        <f t="shared" si="113"/>
        <v>30098.508450265748</v>
      </c>
      <c r="J313">
        <f t="shared" si="114"/>
        <v>26722.976328807221</v>
      </c>
      <c r="K313" s="44">
        <f t="shared" si="115"/>
        <v>28003.904244956466</v>
      </c>
      <c r="L313">
        <f t="shared" si="116"/>
        <v>0</v>
      </c>
      <c r="M313">
        <f t="shared" si="117"/>
        <v>28003.904244956466</v>
      </c>
      <c r="N313">
        <f t="shared" si="118"/>
        <v>26592.873778537902</v>
      </c>
      <c r="O313">
        <f t="shared" si="127"/>
        <v>130.10255026931918</v>
      </c>
      <c r="P313">
        <f t="shared" si="128"/>
        <v>0</v>
      </c>
      <c r="Q313">
        <f t="shared" si="129"/>
        <v>26592.873778537902</v>
      </c>
      <c r="R313">
        <f t="shared" si="130"/>
        <v>0</v>
      </c>
      <c r="S313">
        <f t="shared" si="131"/>
        <v>0</v>
      </c>
      <c r="T313">
        <f t="shared" si="132"/>
        <v>26592.873778537902</v>
      </c>
      <c r="U313">
        <f t="shared" si="133"/>
        <v>130.10255026931918</v>
      </c>
      <c r="V313">
        <f t="shared" si="134"/>
        <v>0</v>
      </c>
      <c r="W313">
        <f t="shared" si="135"/>
        <v>26592.873778537902</v>
      </c>
      <c r="X313" s="44">
        <f t="shared" si="119"/>
        <v>3505.6346717278466</v>
      </c>
      <c r="Y313" s="28">
        <f t="shared" si="120"/>
        <v>205.0807050731637</v>
      </c>
      <c r="Z313" s="28">
        <f t="shared" si="121"/>
        <v>26387.793073464738</v>
      </c>
      <c r="AA313">
        <f t="shared" si="122"/>
        <v>0</v>
      </c>
      <c r="AB313" s="28">
        <f t="shared" si="123"/>
        <v>26387.793073464738</v>
      </c>
      <c r="AD313" s="28">
        <f t="shared" si="124"/>
        <v>0</v>
      </c>
      <c r="AE313" s="28">
        <f t="shared" si="125"/>
        <v>26387.793073464738</v>
      </c>
      <c r="AF313" s="51"/>
      <c r="AG313" t="str">
        <f t="shared" si="126"/>
        <v>5309900</v>
      </c>
    </row>
    <row r="314" spans="1:33" x14ac:dyDescent="0.25">
      <c r="A314" s="7" t="s">
        <v>641</v>
      </c>
      <c r="B314" s="2" t="s">
        <v>1251</v>
      </c>
      <c r="C314" s="4" t="s">
        <v>1250</v>
      </c>
      <c r="D314">
        <f>_xlfn.IFNA(VLOOKUP(A314,'Prior Year data'!$A$1:$T$317,12,FALSE),0)</f>
        <v>235114.06288255472</v>
      </c>
      <c r="E314">
        <f>VLOOKUP(A314,'Basic HH'!$B$1:$Y$321,23,FALSE)</f>
        <v>87733.383609194017</v>
      </c>
      <c r="F314">
        <f>VLOOKUP(A314,'Conc. HH'!$B$1:$Y$321,23,FALSE)</f>
        <v>22063.996591020456</v>
      </c>
      <c r="G314">
        <f>VLOOKUP(A314,'Targeted HH'!$B$1:$Y$321,23,FALSE)</f>
        <v>41982.822704734244</v>
      </c>
      <c r="H314">
        <f>VLOOKUP(A314,'EFIG HH'!$B$1:$Y$321,23,FALSE)</f>
        <v>57885.348148691366</v>
      </c>
      <c r="I314">
        <f t="shared" si="113"/>
        <v>209665.55105364008</v>
      </c>
      <c r="J314">
        <f t="shared" si="114"/>
        <v>235114.06288255472</v>
      </c>
      <c r="K314" s="44">
        <f t="shared" si="115"/>
        <v>195074.58400717951</v>
      </c>
      <c r="L314">
        <f t="shared" si="116"/>
        <v>14590.967046460573</v>
      </c>
      <c r="M314">
        <f t="shared" si="117"/>
        <v>0</v>
      </c>
      <c r="N314">
        <f t="shared" si="118"/>
        <v>209665.55105364008</v>
      </c>
      <c r="O314">
        <f t="shared" si="127"/>
        <v>0</v>
      </c>
      <c r="P314">
        <f t="shared" si="128"/>
        <v>0</v>
      </c>
      <c r="Q314">
        <f t="shared" si="129"/>
        <v>209665.55105364008</v>
      </c>
      <c r="R314">
        <f t="shared" si="130"/>
        <v>0</v>
      </c>
      <c r="S314">
        <f t="shared" si="131"/>
        <v>0</v>
      </c>
      <c r="T314">
        <f t="shared" si="132"/>
        <v>209665.55105364008</v>
      </c>
      <c r="U314">
        <f t="shared" si="133"/>
        <v>0</v>
      </c>
      <c r="V314">
        <f t="shared" si="134"/>
        <v>0</v>
      </c>
      <c r="W314">
        <f t="shared" si="135"/>
        <v>209665.55105364008</v>
      </c>
      <c r="X314" s="44">
        <f t="shared" si="119"/>
        <v>0</v>
      </c>
      <c r="Y314" s="28">
        <f t="shared" si="120"/>
        <v>1616.9128390454832</v>
      </c>
      <c r="Z314" s="28">
        <f t="shared" si="121"/>
        <v>208048.6382145946</v>
      </c>
      <c r="AA314">
        <f t="shared" si="122"/>
        <v>0</v>
      </c>
      <c r="AB314" s="28">
        <f t="shared" si="123"/>
        <v>208048.6382145946</v>
      </c>
      <c r="AD314" s="28">
        <f t="shared" si="124"/>
        <v>0</v>
      </c>
      <c r="AE314" s="28">
        <f t="shared" si="125"/>
        <v>208048.6382145946</v>
      </c>
      <c r="AF314" s="51"/>
      <c r="AG314" t="str">
        <f t="shared" si="126"/>
        <v>5309930</v>
      </c>
    </row>
    <row r="315" spans="1:33" x14ac:dyDescent="0.25">
      <c r="A315" s="7" t="s">
        <v>643</v>
      </c>
      <c r="B315" s="2" t="s">
        <v>1253</v>
      </c>
      <c r="C315" s="4" t="s">
        <v>1252</v>
      </c>
      <c r="D315">
        <f>_xlfn.IFNA(VLOOKUP(A315,'Prior Year data'!$A$1:$T$317,12,FALSE),0)</f>
        <v>34367.160044986747</v>
      </c>
      <c r="E315">
        <f>VLOOKUP(A315,'Basic HH'!$B$1:$Y$321,23,FALSE)</f>
        <v>18062.755448951706</v>
      </c>
      <c r="F315">
        <f>VLOOKUP(A315,'Conc. HH'!$B$1:$Y$321,23,FALSE)</f>
        <v>1967.3097874962073</v>
      </c>
      <c r="G315">
        <f>VLOOKUP(A315,'Targeted HH'!$B$1:$Y$321,23,FALSE)</f>
        <v>8643.5223215629321</v>
      </c>
      <c r="H315">
        <f>VLOOKUP(A315,'EFIG HH'!$B$1:$Y$321,23,FALSE)</f>
        <v>11917.571677671751</v>
      </c>
      <c r="I315">
        <f t="shared" si="113"/>
        <v>40591.1592356826</v>
      </c>
      <c r="J315">
        <f t="shared" si="114"/>
        <v>34367.160044986747</v>
      </c>
      <c r="K315" s="44">
        <f t="shared" si="115"/>
        <v>37766.354379524062</v>
      </c>
      <c r="L315">
        <f t="shared" si="116"/>
        <v>0</v>
      </c>
      <c r="M315">
        <f t="shared" si="117"/>
        <v>37766.354379524062</v>
      </c>
      <c r="N315">
        <f t="shared" si="118"/>
        <v>35863.424124909077</v>
      </c>
      <c r="O315">
        <f t="shared" si="127"/>
        <v>0</v>
      </c>
      <c r="P315">
        <f t="shared" si="128"/>
        <v>35863.424124909077</v>
      </c>
      <c r="Q315">
        <f t="shared" si="129"/>
        <v>35863.424124909077</v>
      </c>
      <c r="R315">
        <f t="shared" si="130"/>
        <v>0</v>
      </c>
      <c r="S315">
        <f t="shared" si="131"/>
        <v>35863.424124909077</v>
      </c>
      <c r="T315">
        <f t="shared" si="132"/>
        <v>35863.424124909077</v>
      </c>
      <c r="U315">
        <f t="shared" si="133"/>
        <v>0</v>
      </c>
      <c r="V315">
        <f t="shared" si="134"/>
        <v>35863.424124909077</v>
      </c>
      <c r="W315">
        <f t="shared" si="135"/>
        <v>35863.424124909077</v>
      </c>
      <c r="X315" s="44">
        <f t="shared" si="119"/>
        <v>4727.735110773523</v>
      </c>
      <c r="Y315" s="28">
        <f t="shared" si="120"/>
        <v>276.57395613294415</v>
      </c>
      <c r="Z315" s="28">
        <f t="shared" si="121"/>
        <v>35586.850168776131</v>
      </c>
      <c r="AA315">
        <f t="shared" si="122"/>
        <v>0</v>
      </c>
      <c r="AB315" s="28">
        <f t="shared" si="123"/>
        <v>35586.850168776131</v>
      </c>
      <c r="AD315" s="28">
        <f t="shared" si="124"/>
        <v>0</v>
      </c>
      <c r="AE315" s="28">
        <f t="shared" si="125"/>
        <v>35586.850168776131</v>
      </c>
      <c r="AF315" s="51"/>
      <c r="AG315" t="str">
        <f t="shared" si="126"/>
        <v>5309990</v>
      </c>
    </row>
    <row r="316" spans="1:33" x14ac:dyDescent="0.25">
      <c r="A316" s="7" t="s">
        <v>645</v>
      </c>
      <c r="B316" s="2" t="s">
        <v>1255</v>
      </c>
      <c r="C316" s="4" t="s">
        <v>1254</v>
      </c>
      <c r="D316">
        <f>_xlfn.IFNA(VLOOKUP(A316,'Prior Year data'!$A$1:$T$317,12,FALSE),0)</f>
        <v>35263.756623595065</v>
      </c>
      <c r="E316">
        <f>VLOOKUP(A316,'Basic HH'!$B$1:$Y$321,23,FALSE)</f>
        <v>13762.099389677498</v>
      </c>
      <c r="F316">
        <f>VLOOKUP(A316,'Conc. HH'!$B$1:$Y$321,23,FALSE)</f>
        <v>3617.7471840416069</v>
      </c>
      <c r="G316">
        <f>VLOOKUP(A316,'Targeted HH'!$B$1:$Y$321,23,FALSE)</f>
        <v>12396.611742938236</v>
      </c>
      <c r="H316">
        <f>VLOOKUP(A316,'EFIG HH'!$B$1:$Y$321,23,FALSE)</f>
        <v>17092.280613214134</v>
      </c>
      <c r="I316">
        <f t="shared" si="113"/>
        <v>46868.73892987147</v>
      </c>
      <c r="J316">
        <f t="shared" si="114"/>
        <v>35263.756623595065</v>
      </c>
      <c r="K316" s="44">
        <f t="shared" si="115"/>
        <v>43607.067082501744</v>
      </c>
      <c r="L316">
        <f t="shared" si="116"/>
        <v>0</v>
      </c>
      <c r="M316">
        <f t="shared" si="117"/>
        <v>43607.067082501744</v>
      </c>
      <c r="N316">
        <f t="shared" si="118"/>
        <v>41409.841307611809</v>
      </c>
      <c r="O316">
        <f t="shared" si="127"/>
        <v>0</v>
      </c>
      <c r="P316">
        <f t="shared" si="128"/>
        <v>41409.841307611809</v>
      </c>
      <c r="Q316">
        <f t="shared" si="129"/>
        <v>41409.841307611809</v>
      </c>
      <c r="R316">
        <f t="shared" si="130"/>
        <v>0</v>
      </c>
      <c r="S316">
        <f t="shared" si="131"/>
        <v>41409.841307611809</v>
      </c>
      <c r="T316">
        <f t="shared" si="132"/>
        <v>41409.841307611809</v>
      </c>
      <c r="U316">
        <f t="shared" si="133"/>
        <v>0</v>
      </c>
      <c r="V316">
        <f t="shared" si="134"/>
        <v>41409.841307611809</v>
      </c>
      <c r="W316">
        <f t="shared" si="135"/>
        <v>41409.841307611809</v>
      </c>
      <c r="X316" s="44">
        <f t="shared" si="119"/>
        <v>5458.8976222596611</v>
      </c>
      <c r="Y316" s="28">
        <f t="shared" si="120"/>
        <v>319.34718763591127</v>
      </c>
      <c r="Z316" s="28">
        <f t="shared" si="121"/>
        <v>41090.494119975898</v>
      </c>
      <c r="AA316">
        <f t="shared" si="122"/>
        <v>0</v>
      </c>
      <c r="AB316" s="28">
        <f t="shared" si="123"/>
        <v>41090.494119975898</v>
      </c>
      <c r="AD316" s="28">
        <f t="shared" si="124"/>
        <v>0</v>
      </c>
      <c r="AE316" s="28">
        <f t="shared" si="125"/>
        <v>41090.494119975898</v>
      </c>
      <c r="AF316" s="51"/>
      <c r="AG316" t="str">
        <f t="shared" si="126"/>
        <v>5310020</v>
      </c>
    </row>
    <row r="317" spans="1:33" x14ac:dyDescent="0.25">
      <c r="A317" s="7" t="s">
        <v>647</v>
      </c>
      <c r="B317" s="2" t="s">
        <v>1257</v>
      </c>
      <c r="C317" s="4" t="s">
        <v>1256</v>
      </c>
      <c r="D317">
        <f>_xlfn.IFNA(VLOOKUP(A317,'Prior Year data'!$A$1:$T$317,12,FALSE),0)</f>
        <v>409407.68470975262</v>
      </c>
      <c r="E317">
        <f>VLOOKUP(A317,'Basic HH'!$B$1:$Y$321,23,FALSE)</f>
        <v>211592.27811629148</v>
      </c>
      <c r="F317">
        <f>VLOOKUP(A317,'Conc. HH'!$B$1:$Y$321,23,FALSE)</f>
        <v>0</v>
      </c>
      <c r="G317">
        <f>VLOOKUP(A317,'Targeted HH'!$B$1:$Y$321,23,FALSE)</f>
        <v>101252.69005259433</v>
      </c>
      <c r="H317">
        <f>VLOOKUP(A317,'EFIG HH'!$B$1:$Y$321,23,FALSE)</f>
        <v>139605.83965272622</v>
      </c>
      <c r="I317">
        <f t="shared" si="113"/>
        <v>452450.80782161199</v>
      </c>
      <c r="J317">
        <f t="shared" si="114"/>
        <v>409407.68470975262</v>
      </c>
      <c r="K317" s="44">
        <f t="shared" si="115"/>
        <v>420964.01948707702</v>
      </c>
      <c r="L317">
        <f t="shared" si="116"/>
        <v>0</v>
      </c>
      <c r="M317">
        <f t="shared" si="117"/>
        <v>420964.01948707702</v>
      </c>
      <c r="N317">
        <f t="shared" si="118"/>
        <v>399752.93936173117</v>
      </c>
      <c r="O317">
        <f t="shared" si="127"/>
        <v>9654.7453480214463</v>
      </c>
      <c r="P317">
        <f t="shared" si="128"/>
        <v>0</v>
      </c>
      <c r="Q317">
        <f t="shared" si="129"/>
        <v>399752.93936173117</v>
      </c>
      <c r="R317">
        <f t="shared" si="130"/>
        <v>0</v>
      </c>
      <c r="S317">
        <f t="shared" si="131"/>
        <v>0</v>
      </c>
      <c r="T317">
        <f t="shared" si="132"/>
        <v>399752.93936173117</v>
      </c>
      <c r="U317">
        <f t="shared" si="133"/>
        <v>9654.7453480214463</v>
      </c>
      <c r="V317">
        <f t="shared" si="134"/>
        <v>0</v>
      </c>
      <c r="W317">
        <f t="shared" si="135"/>
        <v>399752.93936173117</v>
      </c>
      <c r="X317" s="44">
        <f t="shared" si="119"/>
        <v>52697.868459880818</v>
      </c>
      <c r="Y317" s="28">
        <f t="shared" si="120"/>
        <v>3082.8414913749457</v>
      </c>
      <c r="Z317" s="28">
        <f t="shared" si="121"/>
        <v>396670.09787035623</v>
      </c>
      <c r="AA317">
        <f t="shared" si="122"/>
        <v>0</v>
      </c>
      <c r="AB317" s="28">
        <f t="shared" si="123"/>
        <v>396670.09787035623</v>
      </c>
      <c r="AD317" s="28">
        <f t="shared" si="124"/>
        <v>0</v>
      </c>
      <c r="AE317" s="28">
        <f t="shared" si="125"/>
        <v>396670.09787035623</v>
      </c>
      <c r="AF317" s="51"/>
      <c r="AG317" t="str">
        <f t="shared" si="126"/>
        <v>5310050</v>
      </c>
    </row>
    <row r="318" spans="1:33" x14ac:dyDescent="0.25">
      <c r="A318" s="7" t="s">
        <v>649</v>
      </c>
      <c r="B318" s="2" t="s">
        <v>1259</v>
      </c>
      <c r="C318" s="4" t="s">
        <v>1258</v>
      </c>
      <c r="D318">
        <f>_xlfn.IFNA(VLOOKUP(A318,'Prior Year data'!$A$1:$T$317,12,FALSE),0)</f>
        <v>9350067.6473940071</v>
      </c>
      <c r="E318">
        <f>VLOOKUP(A318,'Basic HH'!$B$1:$Y$321,23,FALSE)</f>
        <v>3695123.6861284086</v>
      </c>
      <c r="F318">
        <f>VLOOKUP(A318,'Conc. HH'!$B$1:$Y$321,23,FALSE)</f>
        <v>971365.11891517125</v>
      </c>
      <c r="G318">
        <f>VLOOKUP(A318,'Targeted HH'!$B$1:$Y$321,23,FALSE)</f>
        <v>2928713.4799562413</v>
      </c>
      <c r="H318">
        <f>VLOOKUP(A318,'EFIG HH'!$B$1:$Y$321,23,FALSE)</f>
        <v>4038070.5367844449</v>
      </c>
      <c r="I318">
        <f t="shared" si="113"/>
        <v>11633272.821784265</v>
      </c>
      <c r="J318">
        <f t="shared" si="114"/>
        <v>9350067.6473940071</v>
      </c>
      <c r="K318" s="44">
        <f t="shared" si="115"/>
        <v>10823694.426420147</v>
      </c>
      <c r="L318">
        <f t="shared" si="116"/>
        <v>0</v>
      </c>
      <c r="M318">
        <f t="shared" si="117"/>
        <v>10823694.426420147</v>
      </c>
      <c r="N318">
        <f t="shared" si="118"/>
        <v>10278321.807613458</v>
      </c>
      <c r="O318">
        <f t="shared" si="127"/>
        <v>0</v>
      </c>
      <c r="P318">
        <f t="shared" si="128"/>
        <v>10278321.807613458</v>
      </c>
      <c r="Q318">
        <f t="shared" si="129"/>
        <v>10278321.807613458</v>
      </c>
      <c r="R318">
        <f t="shared" si="130"/>
        <v>0</v>
      </c>
      <c r="S318">
        <f t="shared" si="131"/>
        <v>10278321.807613458</v>
      </c>
      <c r="T318">
        <f t="shared" si="132"/>
        <v>10278321.807613458</v>
      </c>
      <c r="U318">
        <f t="shared" si="133"/>
        <v>0</v>
      </c>
      <c r="V318">
        <f t="shared" si="134"/>
        <v>10278321.807613458</v>
      </c>
      <c r="W318">
        <f t="shared" si="135"/>
        <v>10278321.807613458</v>
      </c>
      <c r="X318" s="44">
        <f t="shared" si="119"/>
        <v>1354951.0141708069</v>
      </c>
      <c r="Y318" s="28">
        <f t="shared" si="120"/>
        <v>79265.050510465575</v>
      </c>
      <c r="Z318" s="28">
        <f t="shared" si="121"/>
        <v>10199056.757102992</v>
      </c>
      <c r="AA318">
        <f t="shared" si="122"/>
        <v>0</v>
      </c>
      <c r="AB318" s="28">
        <f t="shared" si="123"/>
        <v>10199056.757102992</v>
      </c>
      <c r="AD318" s="28">
        <f t="shared" si="124"/>
        <v>0</v>
      </c>
      <c r="AE318" s="28">
        <f t="shared" si="125"/>
        <v>10199056.757102992</v>
      </c>
      <c r="AF318" s="51"/>
      <c r="AG318" t="str">
        <f t="shared" si="126"/>
        <v>5310110</v>
      </c>
    </row>
    <row r="319" spans="1:33" x14ac:dyDescent="0.25">
      <c r="A319" s="7" t="s">
        <v>651</v>
      </c>
      <c r="B319" s="2" t="s">
        <v>1261</v>
      </c>
      <c r="C319" s="4" t="s">
        <v>1260</v>
      </c>
      <c r="D319">
        <f>_xlfn.IFNA(VLOOKUP(A319,'Prior Year data'!$A$1:$T$317,12,FALSE),0)</f>
        <v>1165031.7782685426</v>
      </c>
      <c r="E319">
        <f>VLOOKUP(A319,'Basic HH'!$B$1:$Y$321,23,FALSE)</f>
        <v>517798.98953661585</v>
      </c>
      <c r="F319">
        <f>VLOOKUP(A319,'Conc. HH'!$B$1:$Y$321,23,FALSE)</f>
        <v>0</v>
      </c>
      <c r="G319">
        <f>VLOOKUP(A319,'Targeted HH'!$B$1:$Y$321,23,FALSE)</f>
        <v>256704.33681447321</v>
      </c>
      <c r="H319">
        <f>VLOOKUP(A319,'EFIG HH'!$B$1:$Y$321,23,FALSE)</f>
        <v>353978.25141071988</v>
      </c>
      <c r="I319">
        <f t="shared" si="113"/>
        <v>1128481.5777618089</v>
      </c>
      <c r="J319">
        <f t="shared" si="114"/>
        <v>1165031.7782685426</v>
      </c>
      <c r="K319" s="44">
        <f t="shared" si="115"/>
        <v>1049948.7075267369</v>
      </c>
      <c r="L319">
        <f t="shared" si="116"/>
        <v>78532.870235071983</v>
      </c>
      <c r="M319">
        <f t="shared" si="117"/>
        <v>0</v>
      </c>
      <c r="N319">
        <f t="shared" si="118"/>
        <v>1128481.5777618089</v>
      </c>
      <c r="O319">
        <f t="shared" si="127"/>
        <v>0</v>
      </c>
      <c r="P319">
        <f t="shared" si="128"/>
        <v>0</v>
      </c>
      <c r="Q319">
        <f t="shared" si="129"/>
        <v>1128481.5777618089</v>
      </c>
      <c r="R319">
        <f t="shared" si="130"/>
        <v>0</v>
      </c>
      <c r="S319">
        <f t="shared" si="131"/>
        <v>0</v>
      </c>
      <c r="T319">
        <f t="shared" si="132"/>
        <v>1128481.5777618089</v>
      </c>
      <c r="U319">
        <f t="shared" si="133"/>
        <v>0</v>
      </c>
      <c r="V319">
        <f t="shared" si="134"/>
        <v>0</v>
      </c>
      <c r="W319">
        <f t="shared" si="135"/>
        <v>1128481.5777618089</v>
      </c>
      <c r="X319" s="44">
        <f t="shared" si="119"/>
        <v>0</v>
      </c>
      <c r="Y319" s="28">
        <f t="shared" si="120"/>
        <v>8702.6998118663723</v>
      </c>
      <c r="Z319" s="28">
        <f t="shared" si="121"/>
        <v>1119778.8779499426</v>
      </c>
      <c r="AA319">
        <f t="shared" si="122"/>
        <v>0</v>
      </c>
      <c r="AB319" s="28">
        <f t="shared" si="123"/>
        <v>1119778.8779499426</v>
      </c>
      <c r="AD319" s="28">
        <f t="shared" si="124"/>
        <v>0</v>
      </c>
      <c r="AE319" s="28">
        <f t="shared" si="125"/>
        <v>1119778.8779499426</v>
      </c>
      <c r="AF319" s="51"/>
      <c r="AG319" t="str">
        <f t="shared" si="126"/>
        <v>5310140</v>
      </c>
    </row>
    <row r="320" spans="1:33" x14ac:dyDescent="0.25">
      <c r="A320" s="7" t="s">
        <v>653</v>
      </c>
      <c r="B320" s="2" t="s">
        <v>1263</v>
      </c>
      <c r="C320" s="4" t="s">
        <v>1262</v>
      </c>
      <c r="D320">
        <f>_xlfn.IFNA(VLOOKUP(A320,'Prior Year data'!$A$1:$T$317,12,FALSE),0)</f>
        <v>0</v>
      </c>
      <c r="E320">
        <f>VLOOKUP(A320,'Basic HH'!$B$1:$Y$321,23,FALSE)</f>
        <v>128159.55056637169</v>
      </c>
      <c r="F320">
        <f>VLOOKUP(A320,'Conc. HH'!$B$1:$Y$321,23,FALSE)</f>
        <v>28667.351012567196</v>
      </c>
      <c r="G320">
        <f>VLOOKUP(A320,'Targeted HH'!$B$1:$Y$321,23,FALSE)</f>
        <v>61327.848852994153</v>
      </c>
      <c r="H320">
        <f>VLOOKUP(A320,'EFIG HH'!$B$1:$Y$321,23,FALSE)</f>
        <v>84558.008570147169</v>
      </c>
      <c r="I320">
        <f t="shared" si="113"/>
        <v>302712.75900208019</v>
      </c>
      <c r="J320">
        <f t="shared" si="114"/>
        <v>302712.75900208019</v>
      </c>
      <c r="K320" s="44">
        <f t="shared" si="115"/>
        <v>281646.48526781035</v>
      </c>
      <c r="L320">
        <f t="shared" si="116"/>
        <v>21066.273734269838</v>
      </c>
      <c r="M320">
        <f t="shared" si="117"/>
        <v>0</v>
      </c>
      <c r="N320">
        <f t="shared" si="118"/>
        <v>302712.75900208019</v>
      </c>
      <c r="O320">
        <f t="shared" si="127"/>
        <v>0</v>
      </c>
      <c r="P320">
        <f t="shared" si="128"/>
        <v>0</v>
      </c>
      <c r="Q320">
        <f t="shared" si="129"/>
        <v>302712.75900208019</v>
      </c>
      <c r="R320">
        <f t="shared" si="130"/>
        <v>0</v>
      </c>
      <c r="S320">
        <f t="shared" si="131"/>
        <v>0</v>
      </c>
      <c r="T320">
        <f t="shared" si="132"/>
        <v>302712.75900208019</v>
      </c>
      <c r="U320">
        <f t="shared" si="133"/>
        <v>0</v>
      </c>
      <c r="V320">
        <f t="shared" si="134"/>
        <v>0</v>
      </c>
      <c r="W320">
        <f t="shared" si="135"/>
        <v>302712.75900208019</v>
      </c>
      <c r="X320" s="44">
        <f t="shared" si="119"/>
        <v>0</v>
      </c>
      <c r="Y320" s="28">
        <f t="shared" si="120"/>
        <v>2334.4805291744037</v>
      </c>
      <c r="Z320" s="28">
        <f t="shared" si="121"/>
        <v>300378.2784729058</v>
      </c>
      <c r="AA320">
        <f t="shared" si="122"/>
        <v>0</v>
      </c>
      <c r="AB320" s="28">
        <f t="shared" si="123"/>
        <v>300378.2784729058</v>
      </c>
      <c r="AD320" s="28">
        <f t="shared" si="124"/>
        <v>0</v>
      </c>
      <c r="AE320" s="28">
        <f t="shared" si="125"/>
        <v>300378.2784729058</v>
      </c>
      <c r="AF320" s="51"/>
      <c r="AG320" t="str">
        <f t="shared" si="126"/>
        <v>5310170</v>
      </c>
    </row>
  </sheetData>
  <sheetProtection algorithmName="SHA-512" hashValue="aDkfmgpbKX333+QZuPwbEDB4xiyBfYblBWD+USCJalf6BAXjU9vMcZjHhdQ/efPq/+PC1Q2KinJSqdlbvxBvUQ==" saltValue="xO/EWWQTRWJkRrp900/H9w==" spinCount="100000" sheet="1" objects="1" scenarios="1"/>
  <autoFilter ref="A3:AF320" xr:uid="{014E85DC-62F1-4FC0-9717-51C5497BC9D0}">
    <sortState xmlns:xlrd2="http://schemas.microsoft.com/office/spreadsheetml/2017/richdata2" ref="A4:AF320">
      <sortCondition ref="B3:B320"/>
    </sortState>
  </autoFilter>
  <mergeCells count="4">
    <mergeCell ref="L1:N1"/>
    <mergeCell ref="O1:Q1"/>
    <mergeCell ref="R1:T1"/>
    <mergeCell ref="U1:W1"/>
  </mergeCells>
  <conditionalFormatting sqref="A2">
    <cfRule type="duplicateValues" dxfId="5" priority="1"/>
  </conditionalFormatting>
  <conditionalFormatting sqref="A3:A318">
    <cfRule type="duplicateValues" dxfId="4" priority="2"/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55DE5-BB40-4AA9-8D85-C1ADA7D89C57}">
  <dimension ref="A1:Z320"/>
  <sheetViews>
    <sheetView workbookViewId="0">
      <selection activeCell="E4" sqref="E4"/>
    </sheetView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14.7109375" customWidth="1"/>
    <col min="7" max="7" width="12.85546875" customWidth="1"/>
    <col min="8" max="8" width="16.28515625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1.28515625" bestFit="1" customWidth="1"/>
    <col min="14" max="14" width="13.28515625" customWidth="1"/>
    <col min="15" max="15" width="16.42578125" customWidth="1"/>
    <col min="16" max="16" width="14.28515625" customWidth="1"/>
    <col min="18" max="18" width="14.85546875" customWidth="1"/>
    <col min="19" max="19" width="13.5703125" customWidth="1"/>
    <col min="20" max="20" width="12.7109375" customWidth="1"/>
    <col min="22" max="22" width="13.85546875" customWidth="1"/>
    <col min="23" max="23" width="14.140625" customWidth="1"/>
    <col min="24" max="24" width="12" customWidth="1"/>
    <col min="25" max="25" width="11.42578125" customWidth="1"/>
  </cols>
  <sheetData>
    <row r="1" spans="1:26" x14ac:dyDescent="0.25">
      <c r="A1" s="38">
        <v>1</v>
      </c>
      <c r="B1" s="39">
        <f>A1+1</f>
        <v>2</v>
      </c>
      <c r="C1" s="39">
        <f t="shared" ref="C1:X1" si="0">B1+1</f>
        <v>3</v>
      </c>
      <c r="D1" s="39">
        <f t="shared" si="0"/>
        <v>4</v>
      </c>
      <c r="E1" s="39">
        <f t="shared" si="0"/>
        <v>5</v>
      </c>
      <c r="F1" s="39">
        <f t="shared" si="0"/>
        <v>6</v>
      </c>
      <c r="G1" s="39">
        <f t="shared" si="0"/>
        <v>7</v>
      </c>
      <c r="H1" s="39">
        <f t="shared" si="0"/>
        <v>8</v>
      </c>
      <c r="I1" s="39">
        <f t="shared" si="0"/>
        <v>9</v>
      </c>
      <c r="J1" s="39">
        <f t="shared" si="0"/>
        <v>10</v>
      </c>
      <c r="K1" s="39">
        <f t="shared" si="0"/>
        <v>11</v>
      </c>
      <c r="L1" s="39">
        <f t="shared" si="0"/>
        <v>12</v>
      </c>
      <c r="M1" s="39">
        <f t="shared" si="0"/>
        <v>13</v>
      </c>
      <c r="N1" s="39">
        <f t="shared" si="0"/>
        <v>14</v>
      </c>
      <c r="O1" s="39">
        <f t="shared" si="0"/>
        <v>15</v>
      </c>
      <c r="P1" s="39">
        <f t="shared" si="0"/>
        <v>16</v>
      </c>
      <c r="Q1" s="39">
        <f t="shared" si="0"/>
        <v>17</v>
      </c>
      <c r="R1" s="39">
        <f t="shared" si="0"/>
        <v>18</v>
      </c>
      <c r="S1" s="39">
        <f t="shared" si="0"/>
        <v>19</v>
      </c>
      <c r="T1" s="39">
        <f t="shared" si="0"/>
        <v>20</v>
      </c>
      <c r="U1" s="39">
        <f t="shared" si="0"/>
        <v>21</v>
      </c>
      <c r="V1" s="39">
        <f t="shared" si="0"/>
        <v>22</v>
      </c>
      <c r="W1" s="39">
        <f t="shared" si="0"/>
        <v>23</v>
      </c>
      <c r="X1" s="39">
        <f t="shared" si="0"/>
        <v>24</v>
      </c>
      <c r="Y1" s="39"/>
      <c r="Z1" s="47"/>
    </row>
    <row r="2" spans="1:26" ht="63.75" x14ac:dyDescent="0.25">
      <c r="A2" s="1" t="s">
        <v>0</v>
      </c>
      <c r="B2" s="5" t="s">
        <v>4</v>
      </c>
      <c r="C2" s="3" t="s">
        <v>1284</v>
      </c>
      <c r="D2" s="34" t="s">
        <v>1370</v>
      </c>
      <c r="E2" s="37" t="s">
        <v>1301</v>
      </c>
      <c r="F2" s="34" t="s">
        <v>1303</v>
      </c>
      <c r="G2" s="36" t="s">
        <v>658</v>
      </c>
      <c r="H2" s="35" t="s">
        <v>1304</v>
      </c>
      <c r="I2" s="35" t="s">
        <v>1373</v>
      </c>
      <c r="J2" s="35" t="s">
        <v>1374</v>
      </c>
      <c r="K2" s="35" t="s">
        <v>1375</v>
      </c>
      <c r="L2" s="35" t="s">
        <v>1376</v>
      </c>
      <c r="M2" s="33" t="s">
        <v>1298</v>
      </c>
      <c r="N2" s="35" t="s">
        <v>1374</v>
      </c>
      <c r="O2" s="33" t="s">
        <v>1375</v>
      </c>
      <c r="P2" s="33" t="s">
        <v>1376</v>
      </c>
      <c r="Q2" s="33" t="s">
        <v>1377</v>
      </c>
      <c r="R2" s="33" t="s">
        <v>1374</v>
      </c>
      <c r="S2" s="33" t="s">
        <v>1375</v>
      </c>
      <c r="T2" s="33" t="s">
        <v>1376</v>
      </c>
      <c r="U2" s="33" t="s">
        <v>1378</v>
      </c>
      <c r="V2" s="33" t="s">
        <v>1374</v>
      </c>
      <c r="W2" s="33" t="s">
        <v>1375</v>
      </c>
      <c r="X2" s="33" t="s">
        <v>1376</v>
      </c>
      <c r="Y2" s="33" t="s">
        <v>1379</v>
      </c>
      <c r="Z2" s="33"/>
    </row>
    <row r="3" spans="1:26" x14ac:dyDescent="0.25">
      <c r="A3" s="1"/>
      <c r="B3" s="5"/>
      <c r="C3" s="6"/>
      <c r="D3" s="34">
        <f>SUM(D4:D320)</f>
        <v>116726816.29641829</v>
      </c>
      <c r="E3" s="34"/>
      <c r="F3" s="34" cm="1">
        <f t="array" ref="F3">SUM(IF(ISERROR($F$4:$F$320),"",$F$4:$F$320))</f>
        <v>118918797.3496294</v>
      </c>
      <c r="G3" s="34"/>
      <c r="H3" s="34" cm="1">
        <f t="array" ref="H3">SUM(IF(ISERROR($H$4:$H$320),"",$H$4:$H$320))</f>
        <v>101066768.29419376</v>
      </c>
      <c r="I3" s="34" cm="1">
        <f t="array" ref="I3">SUM(IF(ISERROR($I$4:$I$320),"",$I$4:$I$320))</f>
        <v>136624.06698767599</v>
      </c>
      <c r="J3" s="34" cm="1">
        <f t="array" ref="J3">SUM(IF(ISERROR($J$4:$J$320),"",$J$4:$J$320))</f>
        <v>118799647.98862821</v>
      </c>
      <c r="K3" s="34" cm="1">
        <f t="array" ref="K3">SUM(IF(ISERROR($K$4:$K$320),"",$K$4:$K$320))</f>
        <v>118782173.28264172</v>
      </c>
      <c r="L3" s="34" cm="1">
        <f t="array" ref="L3">SUM(IF(ISERROR($L$4:$L$320),0,$L$4:$L$320))</f>
        <v>118918797.3496294</v>
      </c>
      <c r="M3" s="34" cm="1">
        <f t="array" ref="M3">SUM(IF(ISERROR($M$4:$M$320),0,$M$4:$M$320))</f>
        <v>13082326.762371518</v>
      </c>
      <c r="N3" s="34" cm="1">
        <f t="array" ref="N3">SUM(IF(ISERROR($N$4:$N$320),0,$N$4:$N$320))</f>
        <v>105701770.85100396</v>
      </c>
      <c r="O3" s="34" cm="1">
        <f t="array" ref="O3">SUM(IF(ISERROR($O$4:$O$320),0,$O$4:$O$320))</f>
        <v>105699846.52027018</v>
      </c>
      <c r="P3" s="34" cm="1">
        <f t="array" ref="P3">SUM(IF(ISERROR($P$4:$P$320),0,$P$4:$P$320))</f>
        <v>118918797.34962943</v>
      </c>
      <c r="Q3" s="34" cm="1">
        <f t="array" ref="Q3">SUM(IF(ISERROR($Q$4:$Q$320),0,$Q$4:$Q$320))</f>
        <v>0</v>
      </c>
      <c r="R3" s="34" cm="1">
        <f t="array" ref="R3">SUM(IF(ISERROR($R$4:$R$320),0,$R$4:$R$320))</f>
        <v>105699846.52027018</v>
      </c>
      <c r="S3" s="34" cm="1">
        <f t="array" ref="S3">SUM(IF(ISERROR($S$4:$S$320),0,$S$4:$S$320))</f>
        <v>105699846.52027018</v>
      </c>
      <c r="T3" s="34" cm="1">
        <f t="array" ref="T3">SUM(IF(ISERROR($T$4:$T$320),0,$T$4:$T$320))</f>
        <v>118918797.34962943</v>
      </c>
      <c r="U3" s="34" cm="1">
        <f t="array" ref="U3">SUM(IF(ISERROR($U$4:$U$320),0,$U$4:$U$320))</f>
        <v>0</v>
      </c>
      <c r="V3" s="34" cm="1">
        <f t="array" ref="V3">SUM(IF(ISERROR($V$4:$V$320),0,$V$4:$V$320))</f>
        <v>105699846.52027018</v>
      </c>
      <c r="W3" s="34" cm="1">
        <f t="array" ref="W3">SUM(IF(ISERROR($W$4:$W$320),0,$W$4:$W$320))</f>
        <v>105699846.52027018</v>
      </c>
      <c r="X3" s="34" cm="1">
        <f t="array" ref="X3">SUM(IF(ISERROR($X$4:$X$320),0,$X$4:$X$320))</f>
        <v>118918797.34962943</v>
      </c>
      <c r="Y3" s="34" cm="1">
        <f t="array" ref="Y3">SUM(IF(ISERROR($Y$4:$Y$320),0,$Y$4:$Y$320))</f>
        <v>0</v>
      </c>
      <c r="Z3" s="33"/>
    </row>
    <row r="4" spans="1:26" x14ac:dyDescent="0.25">
      <c r="A4" s="4" t="s">
        <v>665</v>
      </c>
      <c r="B4" s="7" t="s">
        <v>313</v>
      </c>
      <c r="C4" s="2" t="s">
        <v>666</v>
      </c>
      <c r="D4">
        <f>VLOOKUP(B4,'Model allocations'!$A$1:$L$319,3,FALSE)</f>
        <v>608362.30842596956</v>
      </c>
      <c r="E4" s="32">
        <f>VLOOKUP(B4,'Initial adjusted formula count'!$A$1:$P$319,12,FALSE)</f>
        <v>0.237263880938752</v>
      </c>
      <c r="F4">
        <f>VLOOKUP(B4,'Model allocations'!$A$1:$L$319,8,FALSE)</f>
        <v>713166.65859912592</v>
      </c>
      <c r="G4" s="31">
        <f>IF(E4&lt;0.15,0.85,IF(AND(E4&gt;=0.15,E4&lt;0.3),0.9,0.95))</f>
        <v>0.9</v>
      </c>
      <c r="H4">
        <f>IF(F4 = 0, 0, D4*G4)</f>
        <v>547526.07758337259</v>
      </c>
      <c r="I4">
        <f t="shared" ref="I4:I67" si="1">IF(F4&lt;H4,H4,0)</f>
        <v>0</v>
      </c>
      <c r="J4">
        <f t="shared" ref="J4:J67" si="2">IF(I4=0,F4,0)</f>
        <v>713166.65859912592</v>
      </c>
      <c r="K4">
        <f t="shared" ref="K4:K67" si="3">(J4/$J$3)*($F$3-$I$3)</f>
        <v>713061.75611928373</v>
      </c>
      <c r="L4">
        <f>I4+K4</f>
        <v>713061.75611928373</v>
      </c>
      <c r="M4">
        <f t="shared" ref="M4:M67" si="4">IF(L4&lt;H4,H4,0)</f>
        <v>0</v>
      </c>
      <c r="N4" s="30">
        <f>IF($I4+$M4=0,L4,0)</f>
        <v>713061.75611928373</v>
      </c>
      <c r="O4" s="30">
        <f t="shared" ref="O4:O67" si="5">((N4/$N$3)*($F$3-$I$3-$M$3))</f>
        <v>713048.77462766517</v>
      </c>
      <c r="P4" s="30">
        <f>$I4+$M4+O4</f>
        <v>713048.77462766517</v>
      </c>
      <c r="Q4">
        <f>IF(P4&lt;H4,H4,0)</f>
        <v>0</v>
      </c>
      <c r="R4" s="30">
        <f>IF($I4+$M4+$Q4=0,P4,0)</f>
        <v>713048.77462766517</v>
      </c>
      <c r="S4" s="30">
        <f t="shared" ref="S4:S67" si="6">((R4/$R$3)*($F$3-$I$3-$M$3-$Q$3))</f>
        <v>713048.77462766529</v>
      </c>
      <c r="T4" s="30">
        <f>$I4+$M4+$Q4+S4</f>
        <v>713048.77462766529</v>
      </c>
      <c r="U4">
        <f>IF(T4&lt;H4,H4,0)</f>
        <v>0</v>
      </c>
      <c r="V4" s="30">
        <f>IF($I4+$M4+$Q4+U4=0,T4,0)</f>
        <v>713048.77462766529</v>
      </c>
      <c r="W4" s="30">
        <f t="shared" ref="W4:W67" si="7">((V4/$V$3)*($F$3-$I$3-$M$3-$Q$3-$U$3))</f>
        <v>713048.77462766541</v>
      </c>
      <c r="X4" s="30">
        <f>$I4+$M4+$Q4+$U4+W4</f>
        <v>713048.77462766541</v>
      </c>
      <c r="Y4">
        <f>IF(X4&lt;H4,H4,0)</f>
        <v>0</v>
      </c>
    </row>
    <row r="5" spans="1:26" x14ac:dyDescent="0.25">
      <c r="A5" s="4" t="s">
        <v>667</v>
      </c>
      <c r="B5" s="7" t="s">
        <v>264</v>
      </c>
      <c r="C5" s="2" t="s">
        <v>668</v>
      </c>
      <c r="D5">
        <f>VLOOKUP(B5,'Model allocations'!$A$1:$L$319,3,FALSE)</f>
        <v>37494.159715491551</v>
      </c>
      <c r="E5" s="32">
        <f>VLOOKUP(B5,'Initial adjusted formula count'!$A$1:$P$319,12,FALSE)</f>
        <v>5.2917232021709601E-2</v>
      </c>
      <c r="F5">
        <f>VLOOKUP(B5,'Model allocations'!$A$1:$L$319,8,FALSE)</f>
        <v>33550.663070405179</v>
      </c>
      <c r="G5" s="31">
        <f t="shared" ref="G5:G68" si="8">IF(E5&lt;0.15,0.85,IF(AND(E5&gt;=0.15,E5&lt;0.3),0.9,0.95))</f>
        <v>0.85</v>
      </c>
      <c r="H5">
        <f t="shared" ref="H5:H68" si="9">IF(F5 = 0, 0, D5*G5)</f>
        <v>31870.035758167818</v>
      </c>
      <c r="I5">
        <f t="shared" si="1"/>
        <v>0</v>
      </c>
      <c r="J5">
        <f t="shared" si="2"/>
        <v>33550.663070405179</v>
      </c>
      <c r="K5">
        <f t="shared" si="3"/>
        <v>33545.727971836008</v>
      </c>
      <c r="L5">
        <f t="shared" ref="L5:L68" si="10">I5+K5</f>
        <v>33545.727971836008</v>
      </c>
      <c r="M5">
        <f t="shared" si="4"/>
        <v>0</v>
      </c>
      <c r="N5" s="30">
        <f t="shared" ref="N5:N68" si="11">IF($I5+$M5=0,L5,0)</f>
        <v>33545.727971836008</v>
      </c>
      <c r="O5" s="30">
        <f t="shared" si="5"/>
        <v>33545.11726233887</v>
      </c>
      <c r="P5" s="30">
        <f t="shared" ref="P5:P68" si="12">$I5+$M5+O5</f>
        <v>33545.11726233887</v>
      </c>
      <c r="Q5">
        <f t="shared" ref="Q5:Q68" si="13">IF(P5&lt;H5,H5,0)</f>
        <v>0</v>
      </c>
      <c r="R5" s="30">
        <f t="shared" ref="R5:R68" si="14">IF($I5+$M5+$Q5=0,P5,0)</f>
        <v>33545.11726233887</v>
      </c>
      <c r="S5" s="30">
        <f t="shared" si="6"/>
        <v>33545.11726233887</v>
      </c>
      <c r="T5" s="30">
        <f t="shared" ref="T5:T68" si="15">$I5+$M5+$Q5+S5</f>
        <v>33545.11726233887</v>
      </c>
      <c r="U5">
        <f t="shared" ref="U5:U68" si="16">IF(T5&lt;H5,H5,0)</f>
        <v>0</v>
      </c>
      <c r="V5" s="30">
        <f t="shared" ref="V5:V68" si="17">IF($I5+$M5+$Q5+U5=0,T5,0)</f>
        <v>33545.11726233887</v>
      </c>
      <c r="W5" s="30">
        <f t="shared" si="7"/>
        <v>33545.11726233887</v>
      </c>
      <c r="X5" s="30">
        <f t="shared" ref="X5:X68" si="18">$I5+$M5+$Q5+$U5+W5</f>
        <v>33545.11726233887</v>
      </c>
      <c r="Y5">
        <f t="shared" ref="Y5:Y68" si="19">IF(X5&lt;H5,H5,0)</f>
        <v>0</v>
      </c>
    </row>
    <row r="6" spans="1:26" x14ac:dyDescent="0.25">
      <c r="A6" s="4" t="s">
        <v>669</v>
      </c>
      <c r="B6" s="7" t="s">
        <v>266</v>
      </c>
      <c r="C6" s="2" t="s">
        <v>670</v>
      </c>
      <c r="D6">
        <f>VLOOKUP(B6,'Model allocations'!$A$1:$L$319,3,FALSE)</f>
        <v>0</v>
      </c>
      <c r="E6" s="32">
        <f>VLOOKUP(B6,'Initial adjusted formula count'!$A$1:$P$319,12,FALSE)</f>
        <v>6.1224489795918401E-2</v>
      </c>
      <c r="F6">
        <f>VLOOKUP(B6,'Model allocations'!$A$1:$L$319,8,FALSE)</f>
        <v>0</v>
      </c>
      <c r="G6" s="31">
        <f t="shared" si="8"/>
        <v>0.85</v>
      </c>
      <c r="H6">
        <f t="shared" si="9"/>
        <v>0</v>
      </c>
      <c r="I6">
        <f t="shared" si="1"/>
        <v>0</v>
      </c>
      <c r="J6">
        <f t="shared" si="2"/>
        <v>0</v>
      </c>
      <c r="K6">
        <f t="shared" si="3"/>
        <v>0</v>
      </c>
      <c r="L6">
        <f t="shared" si="10"/>
        <v>0</v>
      </c>
      <c r="M6">
        <f t="shared" si="4"/>
        <v>0</v>
      </c>
      <c r="N6" s="30">
        <f t="shared" si="11"/>
        <v>0</v>
      </c>
      <c r="O6" s="30">
        <f t="shared" si="5"/>
        <v>0</v>
      </c>
      <c r="P6" s="30">
        <f t="shared" si="12"/>
        <v>0</v>
      </c>
      <c r="Q6">
        <f t="shared" si="13"/>
        <v>0</v>
      </c>
      <c r="R6" s="30">
        <f t="shared" si="14"/>
        <v>0</v>
      </c>
      <c r="S6" s="30">
        <f t="shared" si="6"/>
        <v>0</v>
      </c>
      <c r="T6" s="30">
        <f t="shared" si="15"/>
        <v>0</v>
      </c>
      <c r="U6">
        <f t="shared" si="16"/>
        <v>0</v>
      </c>
      <c r="V6" s="30">
        <f t="shared" si="17"/>
        <v>0</v>
      </c>
      <c r="W6" s="30">
        <f t="shared" si="7"/>
        <v>0</v>
      </c>
      <c r="X6" s="30">
        <f t="shared" si="18"/>
        <v>0</v>
      </c>
      <c r="Y6">
        <f t="shared" si="19"/>
        <v>0</v>
      </c>
    </row>
    <row r="7" spans="1:26" x14ac:dyDescent="0.25">
      <c r="A7" s="4" t="s">
        <v>671</v>
      </c>
      <c r="B7" s="7" t="s">
        <v>93</v>
      </c>
      <c r="C7" s="2" t="s">
        <v>672</v>
      </c>
      <c r="D7">
        <f>VLOOKUP(B7,'Model allocations'!$A$1:$L$319,3,FALSE)</f>
        <v>232680.40481630701</v>
      </c>
      <c r="E7" s="32">
        <f>VLOOKUP(B7,'Initial adjusted formula count'!$A$1:$P$319,12,FALSE)</f>
        <v>9.2644978783592596E-2</v>
      </c>
      <c r="F7">
        <f>VLOOKUP(B7,'Model allocations'!$A$1:$L$319,8,FALSE)</f>
        <v>225391.63396015795</v>
      </c>
      <c r="G7" s="31">
        <f t="shared" si="8"/>
        <v>0.85</v>
      </c>
      <c r="H7">
        <f t="shared" si="9"/>
        <v>197778.34409386094</v>
      </c>
      <c r="I7">
        <f t="shared" si="1"/>
        <v>0</v>
      </c>
      <c r="J7">
        <f t="shared" si="2"/>
        <v>225391.63396015795</v>
      </c>
      <c r="K7">
        <f t="shared" si="3"/>
        <v>225358.48022105222</v>
      </c>
      <c r="L7">
        <f t="shared" si="10"/>
        <v>225358.48022105222</v>
      </c>
      <c r="M7">
        <f t="shared" si="4"/>
        <v>0</v>
      </c>
      <c r="N7" s="30">
        <f t="shared" si="11"/>
        <v>225358.48022105222</v>
      </c>
      <c r="O7" s="30">
        <f t="shared" si="5"/>
        <v>225354.37750596888</v>
      </c>
      <c r="P7" s="30">
        <f t="shared" si="12"/>
        <v>225354.37750596888</v>
      </c>
      <c r="Q7">
        <f t="shared" si="13"/>
        <v>0</v>
      </c>
      <c r="R7" s="30">
        <f t="shared" si="14"/>
        <v>225354.37750596888</v>
      </c>
      <c r="S7" s="30">
        <f t="shared" si="6"/>
        <v>225354.37750596888</v>
      </c>
      <c r="T7" s="30">
        <f t="shared" si="15"/>
        <v>225354.37750596888</v>
      </c>
      <c r="U7">
        <f t="shared" si="16"/>
        <v>0</v>
      </c>
      <c r="V7" s="30">
        <f t="shared" si="17"/>
        <v>225354.37750596888</v>
      </c>
      <c r="W7" s="30">
        <f t="shared" si="7"/>
        <v>225354.37750596888</v>
      </c>
      <c r="X7" s="30">
        <f t="shared" si="18"/>
        <v>225354.37750596888</v>
      </c>
      <c r="Y7">
        <f t="shared" si="19"/>
        <v>0</v>
      </c>
    </row>
    <row r="8" spans="1:26" x14ac:dyDescent="0.25">
      <c r="A8" s="4" t="s">
        <v>673</v>
      </c>
      <c r="B8" s="7" t="s">
        <v>95</v>
      </c>
      <c r="C8" s="2" t="s">
        <v>674</v>
      </c>
      <c r="D8">
        <f>VLOOKUP(B8,'Model allocations'!$A$1:$L$319,3,FALSE)</f>
        <v>392648.18312751822</v>
      </c>
      <c r="E8" s="32">
        <f>VLOOKUP(B8,'Initial adjusted formula count'!$A$1:$P$319,12,FALSE)</f>
        <v>9.7210481825866404E-2</v>
      </c>
      <c r="F8">
        <f>VLOOKUP(B8,'Model allocations'!$A$1:$L$319,8,FALSE)</f>
        <v>494657.21193546127</v>
      </c>
      <c r="G8" s="31">
        <f t="shared" si="8"/>
        <v>0.85</v>
      </c>
      <c r="H8">
        <f t="shared" si="9"/>
        <v>333750.95565839048</v>
      </c>
      <c r="I8">
        <f t="shared" si="1"/>
        <v>0</v>
      </c>
      <c r="J8">
        <f t="shared" si="2"/>
        <v>494657.21193546127</v>
      </c>
      <c r="K8">
        <f t="shared" si="3"/>
        <v>494584.45086681325</v>
      </c>
      <c r="L8">
        <f t="shared" si="10"/>
        <v>494584.45086681325</v>
      </c>
      <c r="M8">
        <f t="shared" si="4"/>
        <v>0</v>
      </c>
      <c r="N8" s="30">
        <f t="shared" si="11"/>
        <v>494584.45086681325</v>
      </c>
      <c r="O8" s="30">
        <f t="shared" si="5"/>
        <v>494575.44681653503</v>
      </c>
      <c r="P8" s="30">
        <f t="shared" si="12"/>
        <v>494575.44681653503</v>
      </c>
      <c r="Q8">
        <f t="shared" si="13"/>
        <v>0</v>
      </c>
      <c r="R8" s="30">
        <f t="shared" si="14"/>
        <v>494575.44681653503</v>
      </c>
      <c r="S8" s="30">
        <f t="shared" si="6"/>
        <v>494575.44681653508</v>
      </c>
      <c r="T8" s="30">
        <f t="shared" si="15"/>
        <v>494575.44681653508</v>
      </c>
      <c r="U8">
        <f t="shared" si="16"/>
        <v>0</v>
      </c>
      <c r="V8" s="30">
        <f t="shared" si="17"/>
        <v>494575.44681653508</v>
      </c>
      <c r="W8" s="30">
        <f t="shared" si="7"/>
        <v>494575.4468165352</v>
      </c>
      <c r="X8" s="30">
        <f t="shared" si="18"/>
        <v>494575.4468165352</v>
      </c>
      <c r="Y8">
        <f t="shared" si="19"/>
        <v>0</v>
      </c>
    </row>
    <row r="9" spans="1:26" x14ac:dyDescent="0.25">
      <c r="A9" s="4" t="s">
        <v>675</v>
      </c>
      <c r="B9" s="7" t="s">
        <v>314</v>
      </c>
      <c r="C9" s="2" t="s">
        <v>676</v>
      </c>
      <c r="D9">
        <f>VLOOKUP(B9,'Model allocations'!$A$1:$L$319,3,FALSE)</f>
        <v>51706.756625846043</v>
      </c>
      <c r="E9" s="32">
        <f>VLOOKUP(B9,'Initial adjusted formula count'!$A$1:$P$319,12,FALSE)</f>
        <v>9.7363083164300201E-2</v>
      </c>
      <c r="F9">
        <f>VLOOKUP(B9,'Model allocations'!$A$1:$L$319,8,FALSE)</f>
        <v>43950.743131969139</v>
      </c>
      <c r="G9" s="31">
        <f t="shared" si="8"/>
        <v>0.85</v>
      </c>
      <c r="H9">
        <f t="shared" si="9"/>
        <v>43950.743131969139</v>
      </c>
      <c r="I9">
        <f t="shared" si="1"/>
        <v>0</v>
      </c>
      <c r="J9">
        <f t="shared" si="2"/>
        <v>43950.743131969139</v>
      </c>
      <c r="K9">
        <f t="shared" si="3"/>
        <v>43944.278244849338</v>
      </c>
      <c r="L9">
        <f t="shared" si="10"/>
        <v>43944.278244849338</v>
      </c>
      <c r="M9">
        <f t="shared" si="4"/>
        <v>43950.743131969139</v>
      </c>
      <c r="N9" s="30">
        <f t="shared" si="11"/>
        <v>0</v>
      </c>
      <c r="O9" s="30">
        <f t="shared" si="5"/>
        <v>0</v>
      </c>
      <c r="P9" s="30">
        <f t="shared" si="12"/>
        <v>43950.743131969139</v>
      </c>
      <c r="Q9">
        <f t="shared" si="13"/>
        <v>0</v>
      </c>
      <c r="R9" s="30">
        <f t="shared" si="14"/>
        <v>0</v>
      </c>
      <c r="S9" s="30">
        <f t="shared" si="6"/>
        <v>0</v>
      </c>
      <c r="T9" s="30">
        <f t="shared" si="15"/>
        <v>43950.743131969139</v>
      </c>
      <c r="U9">
        <f t="shared" si="16"/>
        <v>0</v>
      </c>
      <c r="V9" s="30">
        <f t="shared" si="17"/>
        <v>0</v>
      </c>
      <c r="W9" s="30">
        <f t="shared" si="7"/>
        <v>0</v>
      </c>
      <c r="X9" s="30">
        <f t="shared" si="18"/>
        <v>43950.743131969139</v>
      </c>
      <c r="Y9">
        <f t="shared" si="19"/>
        <v>0</v>
      </c>
    </row>
    <row r="10" spans="1:26" x14ac:dyDescent="0.25">
      <c r="A10" s="4" t="s">
        <v>677</v>
      </c>
      <c r="B10" s="7" t="s">
        <v>316</v>
      </c>
      <c r="C10" s="2" t="s">
        <v>678</v>
      </c>
      <c r="D10">
        <f>VLOOKUP(B10,'Model allocations'!$A$1:$L$319,3,FALSE)</f>
        <v>2292063.5710550812</v>
      </c>
      <c r="E10" s="32">
        <f>VLOOKUP(B10,'Initial adjusted formula count'!$A$1:$P$319,12,FALSE)</f>
        <v>0.16230252008965201</v>
      </c>
      <c r="F10">
        <f>VLOOKUP(B10,'Model allocations'!$A$1:$L$319,8,FALSE)</f>
        <v>2554151.7604111023</v>
      </c>
      <c r="G10" s="31">
        <f t="shared" si="8"/>
        <v>0.9</v>
      </c>
      <c r="H10">
        <f t="shared" si="9"/>
        <v>2062857.2139495732</v>
      </c>
      <c r="I10">
        <f t="shared" si="1"/>
        <v>0</v>
      </c>
      <c r="J10">
        <f t="shared" si="2"/>
        <v>2554151.7604111023</v>
      </c>
      <c r="K10">
        <f t="shared" si="3"/>
        <v>2553776.0602149004</v>
      </c>
      <c r="L10">
        <f t="shared" si="10"/>
        <v>2553776.0602149004</v>
      </c>
      <c r="M10">
        <f t="shared" si="4"/>
        <v>0</v>
      </c>
      <c r="N10" s="30">
        <f t="shared" si="11"/>
        <v>2553776.0602149004</v>
      </c>
      <c r="O10" s="30">
        <f t="shared" si="5"/>
        <v>2553729.5679970286</v>
      </c>
      <c r="P10" s="30">
        <f t="shared" si="12"/>
        <v>2553729.5679970286</v>
      </c>
      <c r="Q10">
        <f t="shared" si="13"/>
        <v>0</v>
      </c>
      <c r="R10" s="30">
        <f t="shared" si="14"/>
        <v>2553729.5679970286</v>
      </c>
      <c r="S10" s="30">
        <f t="shared" si="6"/>
        <v>2553729.5679970286</v>
      </c>
      <c r="T10" s="30">
        <f t="shared" si="15"/>
        <v>2553729.5679970286</v>
      </c>
      <c r="U10">
        <f t="shared" si="16"/>
        <v>0</v>
      </c>
      <c r="V10" s="30">
        <f t="shared" si="17"/>
        <v>2553729.5679970286</v>
      </c>
      <c r="W10" s="30">
        <f t="shared" si="7"/>
        <v>2553729.5679970286</v>
      </c>
      <c r="X10" s="30">
        <f t="shared" si="18"/>
        <v>2553729.5679970286</v>
      </c>
      <c r="Y10">
        <f t="shared" si="19"/>
        <v>0</v>
      </c>
    </row>
    <row r="11" spans="1:26" x14ac:dyDescent="0.25">
      <c r="A11" s="4" t="s">
        <v>679</v>
      </c>
      <c r="B11" s="7" t="s">
        <v>97</v>
      </c>
      <c r="C11" s="2" t="s">
        <v>680</v>
      </c>
      <c r="D11">
        <f>VLOOKUP(B11,'Model allocations'!$A$1:$L$319,3,FALSE)</f>
        <v>129266.89156461507</v>
      </c>
      <c r="E11" s="32">
        <f>VLOOKUP(B11,'Initial adjusted formula count'!$A$1:$P$319,12,FALSE)</f>
        <v>3.57232704402516E-2</v>
      </c>
      <c r="F11">
        <f>VLOOKUP(B11,'Model allocations'!$A$1:$L$319,8,FALSE)</f>
        <v>122158.82451275738</v>
      </c>
      <c r="G11" s="31">
        <f t="shared" si="8"/>
        <v>0.85</v>
      </c>
      <c r="H11">
        <f t="shared" si="9"/>
        <v>109876.85782992281</v>
      </c>
      <c r="I11">
        <f t="shared" si="1"/>
        <v>0</v>
      </c>
      <c r="J11">
        <f t="shared" si="2"/>
        <v>122158.82451275738</v>
      </c>
      <c r="K11">
        <f t="shared" si="3"/>
        <v>122140.85569232603</v>
      </c>
      <c r="L11">
        <f t="shared" si="10"/>
        <v>122140.85569232603</v>
      </c>
      <c r="M11">
        <f t="shared" si="4"/>
        <v>0</v>
      </c>
      <c r="N11" s="30">
        <f t="shared" si="11"/>
        <v>122140.85569232603</v>
      </c>
      <c r="O11" s="30">
        <f t="shared" si="5"/>
        <v>122138.63208338774</v>
      </c>
      <c r="P11" s="30">
        <f t="shared" si="12"/>
        <v>122138.63208338774</v>
      </c>
      <c r="Q11">
        <f t="shared" si="13"/>
        <v>0</v>
      </c>
      <c r="R11" s="30">
        <f t="shared" si="14"/>
        <v>122138.63208338774</v>
      </c>
      <c r="S11" s="30">
        <f t="shared" si="6"/>
        <v>122138.63208338777</v>
      </c>
      <c r="T11" s="30">
        <f t="shared" si="15"/>
        <v>122138.63208338777</v>
      </c>
      <c r="U11">
        <f t="shared" si="16"/>
        <v>0</v>
      </c>
      <c r="V11" s="30">
        <f t="shared" si="17"/>
        <v>122138.63208338777</v>
      </c>
      <c r="W11" s="30">
        <f t="shared" si="7"/>
        <v>122138.63208338778</v>
      </c>
      <c r="X11" s="30">
        <f t="shared" si="18"/>
        <v>122138.63208338778</v>
      </c>
      <c r="Y11">
        <f t="shared" si="19"/>
        <v>0</v>
      </c>
    </row>
    <row r="12" spans="1:26" x14ac:dyDescent="0.25">
      <c r="A12" s="4" t="s">
        <v>681</v>
      </c>
      <c r="B12" s="7" t="s">
        <v>99</v>
      </c>
      <c r="C12" s="2" t="s">
        <v>682</v>
      </c>
      <c r="D12">
        <f>VLOOKUP(B12,'Model allocations'!$A$1:$L$319,3,FALSE)</f>
        <v>911331.58553053625</v>
      </c>
      <c r="E12" s="32">
        <f>VLOOKUP(B12,'Initial adjusted formula count'!$A$1:$P$319,12,FALSE)</f>
        <v>5.1700164328150701E-2</v>
      </c>
      <c r="F12">
        <f>VLOOKUP(B12,'Model allocations'!$A$1:$L$319,8,FALSE)</f>
        <v>774631.84770095581</v>
      </c>
      <c r="G12" s="31">
        <f t="shared" si="8"/>
        <v>0.85</v>
      </c>
      <c r="H12">
        <f t="shared" si="9"/>
        <v>774631.84770095581</v>
      </c>
      <c r="I12">
        <f t="shared" si="1"/>
        <v>0</v>
      </c>
      <c r="J12">
        <f t="shared" si="2"/>
        <v>774631.84770095581</v>
      </c>
      <c r="K12">
        <f t="shared" si="3"/>
        <v>774517.90406546928</v>
      </c>
      <c r="L12">
        <f t="shared" si="10"/>
        <v>774517.90406546928</v>
      </c>
      <c r="M12">
        <f t="shared" si="4"/>
        <v>774631.84770095581</v>
      </c>
      <c r="N12" s="30">
        <f t="shared" si="11"/>
        <v>0</v>
      </c>
      <c r="O12" s="30">
        <f t="shared" si="5"/>
        <v>0</v>
      </c>
      <c r="P12" s="30">
        <f t="shared" si="12"/>
        <v>774631.84770095581</v>
      </c>
      <c r="Q12">
        <f t="shared" si="13"/>
        <v>0</v>
      </c>
      <c r="R12" s="30">
        <f t="shared" si="14"/>
        <v>0</v>
      </c>
      <c r="S12" s="30">
        <f t="shared" si="6"/>
        <v>0</v>
      </c>
      <c r="T12" s="30">
        <f t="shared" si="15"/>
        <v>774631.84770095581</v>
      </c>
      <c r="U12">
        <f t="shared" si="16"/>
        <v>0</v>
      </c>
      <c r="V12" s="30">
        <f t="shared" si="17"/>
        <v>0</v>
      </c>
      <c r="W12" s="30">
        <f t="shared" si="7"/>
        <v>0</v>
      </c>
      <c r="X12" s="30">
        <f t="shared" si="18"/>
        <v>774631.84770095581</v>
      </c>
      <c r="Y12">
        <f t="shared" si="19"/>
        <v>0</v>
      </c>
    </row>
    <row r="13" spans="1:26" x14ac:dyDescent="0.25">
      <c r="A13" s="4" t="s">
        <v>683</v>
      </c>
      <c r="B13" s="7" t="s">
        <v>101</v>
      </c>
      <c r="C13" s="2" t="s">
        <v>684</v>
      </c>
      <c r="D13">
        <f>VLOOKUP(B13,'Model allocations'!$A$1:$L$319,3,FALSE)</f>
        <v>1299940.1782966596</v>
      </c>
      <c r="E13" s="32">
        <f>VLOOKUP(B13,'Initial adjusted formula count'!$A$1:$P$319,12,FALSE)</f>
        <v>6.0331353547983801E-2</v>
      </c>
      <c r="F13">
        <f>VLOOKUP(B13,'Model allocations'!$A$1:$L$319,8,FALSE)</f>
        <v>1162229.3796953182</v>
      </c>
      <c r="G13" s="31">
        <f t="shared" si="8"/>
        <v>0.85</v>
      </c>
      <c r="H13">
        <f t="shared" si="9"/>
        <v>1104949.1515521607</v>
      </c>
      <c r="I13">
        <f t="shared" si="1"/>
        <v>0</v>
      </c>
      <c r="J13">
        <f t="shared" si="2"/>
        <v>1162229.3796953182</v>
      </c>
      <c r="K13">
        <f t="shared" si="3"/>
        <v>1162058.4228192426</v>
      </c>
      <c r="L13">
        <f t="shared" si="10"/>
        <v>1162058.4228192426</v>
      </c>
      <c r="M13">
        <f t="shared" si="4"/>
        <v>0</v>
      </c>
      <c r="N13" s="30">
        <f t="shared" si="11"/>
        <v>1162058.4228192426</v>
      </c>
      <c r="O13" s="30">
        <f t="shared" si="5"/>
        <v>1162037.2672158931</v>
      </c>
      <c r="P13" s="30">
        <f t="shared" si="12"/>
        <v>1162037.2672158931</v>
      </c>
      <c r="Q13">
        <f t="shared" si="13"/>
        <v>0</v>
      </c>
      <c r="R13" s="30">
        <f t="shared" si="14"/>
        <v>1162037.2672158931</v>
      </c>
      <c r="S13" s="30">
        <f t="shared" si="6"/>
        <v>1162037.2672158931</v>
      </c>
      <c r="T13" s="30">
        <f t="shared" si="15"/>
        <v>1162037.2672158931</v>
      </c>
      <c r="U13">
        <f t="shared" si="16"/>
        <v>0</v>
      </c>
      <c r="V13" s="30">
        <f t="shared" si="17"/>
        <v>1162037.2672158931</v>
      </c>
      <c r="W13" s="30">
        <f t="shared" si="7"/>
        <v>1162037.2672158931</v>
      </c>
      <c r="X13" s="30">
        <f t="shared" si="18"/>
        <v>1162037.2672158931</v>
      </c>
      <c r="Y13">
        <f t="shared" si="19"/>
        <v>0</v>
      </c>
    </row>
    <row r="14" spans="1:26" x14ac:dyDescent="0.25">
      <c r="A14" s="4" t="s">
        <v>14</v>
      </c>
      <c r="B14" s="7" t="s">
        <v>59</v>
      </c>
      <c r="C14" s="2" t="s">
        <v>685</v>
      </c>
      <c r="D14">
        <f>VLOOKUP(B14,'Model allocations'!$A$1:$L$319,3,FALSE)</f>
        <v>1452717.1107639375</v>
      </c>
      <c r="E14" s="32">
        <f>VLOOKUP(B14,'Initial adjusted formula count'!$A$1:$P$319,12,FALSE)</f>
        <v>0.109426670225929</v>
      </c>
      <c r="F14">
        <f>VLOOKUP(B14,'Model allocations'!$A$1:$L$319,8,FALSE)</f>
        <v>1235747.1496977005</v>
      </c>
      <c r="G14" s="31">
        <f t="shared" si="8"/>
        <v>0.85</v>
      </c>
      <c r="H14">
        <f t="shared" si="9"/>
        <v>1234809.5441493469</v>
      </c>
      <c r="I14">
        <f t="shared" si="1"/>
        <v>0</v>
      </c>
      <c r="J14">
        <f t="shared" si="2"/>
        <v>1235747.1496977005</v>
      </c>
      <c r="K14">
        <f t="shared" si="3"/>
        <v>1235565.3788046027</v>
      </c>
      <c r="L14">
        <f t="shared" si="10"/>
        <v>1235565.3788046027</v>
      </c>
      <c r="M14">
        <f t="shared" si="4"/>
        <v>0</v>
      </c>
      <c r="N14" s="30">
        <f t="shared" si="11"/>
        <v>1235565.3788046027</v>
      </c>
      <c r="O14" s="30">
        <f t="shared" si="5"/>
        <v>1235542.8849862602</v>
      </c>
      <c r="P14" s="30">
        <f t="shared" si="12"/>
        <v>1235542.8849862602</v>
      </c>
      <c r="Q14">
        <f t="shared" si="13"/>
        <v>0</v>
      </c>
      <c r="R14" s="30">
        <f t="shared" si="14"/>
        <v>1235542.8849862602</v>
      </c>
      <c r="S14" s="30">
        <f t="shared" si="6"/>
        <v>1235542.8849862604</v>
      </c>
      <c r="T14" s="30">
        <f t="shared" si="15"/>
        <v>1235542.8849862604</v>
      </c>
      <c r="U14">
        <f t="shared" si="16"/>
        <v>0</v>
      </c>
      <c r="V14" s="30">
        <f t="shared" si="17"/>
        <v>1235542.8849862604</v>
      </c>
      <c r="W14" s="30">
        <f t="shared" si="7"/>
        <v>1235542.8849862607</v>
      </c>
      <c r="X14" s="30">
        <f t="shared" si="18"/>
        <v>1235542.8849862607</v>
      </c>
      <c r="Y14">
        <f t="shared" si="19"/>
        <v>0</v>
      </c>
    </row>
    <row r="15" spans="1:26" x14ac:dyDescent="0.25">
      <c r="A15" s="4" t="s">
        <v>686</v>
      </c>
      <c r="B15" s="7" t="s">
        <v>103</v>
      </c>
      <c r="C15" s="2" t="s">
        <v>687</v>
      </c>
      <c r="D15">
        <f>VLOOKUP(B15,'Model allocations'!$A$1:$L$319,3,FALSE)</f>
        <v>0</v>
      </c>
      <c r="E15" s="32">
        <f>VLOOKUP(B15,'Initial adjusted formula count'!$A$1:$P$319,12,FALSE)</f>
        <v>6.25E-2</v>
      </c>
      <c r="F15">
        <f>VLOOKUP(B15,'Model allocations'!$A$1:$L$319,8,FALSE)</f>
        <v>0</v>
      </c>
      <c r="G15" s="31">
        <f t="shared" si="8"/>
        <v>0.85</v>
      </c>
      <c r="H15">
        <f t="shared" si="9"/>
        <v>0</v>
      </c>
      <c r="I15">
        <f t="shared" si="1"/>
        <v>0</v>
      </c>
      <c r="J15">
        <f t="shared" si="2"/>
        <v>0</v>
      </c>
      <c r="K15">
        <f t="shared" si="3"/>
        <v>0</v>
      </c>
      <c r="L15">
        <f t="shared" si="10"/>
        <v>0</v>
      </c>
      <c r="M15">
        <f t="shared" si="4"/>
        <v>0</v>
      </c>
      <c r="N15" s="30">
        <f t="shared" si="11"/>
        <v>0</v>
      </c>
      <c r="O15" s="30">
        <f t="shared" si="5"/>
        <v>0</v>
      </c>
      <c r="P15" s="30">
        <f t="shared" si="12"/>
        <v>0</v>
      </c>
      <c r="Q15">
        <f t="shared" si="13"/>
        <v>0</v>
      </c>
      <c r="R15" s="30">
        <f t="shared" si="14"/>
        <v>0</v>
      </c>
      <c r="S15" s="30">
        <f t="shared" si="6"/>
        <v>0</v>
      </c>
      <c r="T15" s="30">
        <f t="shared" si="15"/>
        <v>0</v>
      </c>
      <c r="U15">
        <f t="shared" si="16"/>
        <v>0</v>
      </c>
      <c r="V15" s="30">
        <f t="shared" si="17"/>
        <v>0</v>
      </c>
      <c r="W15" s="30">
        <f t="shared" si="7"/>
        <v>0</v>
      </c>
      <c r="X15" s="30">
        <f t="shared" si="18"/>
        <v>0</v>
      </c>
      <c r="Y15">
        <f t="shared" si="19"/>
        <v>0</v>
      </c>
    </row>
    <row r="16" spans="1:26" x14ac:dyDescent="0.25">
      <c r="A16" s="4" t="s">
        <v>688</v>
      </c>
      <c r="B16" s="7" t="s">
        <v>268</v>
      </c>
      <c r="C16" s="2" t="s">
        <v>689</v>
      </c>
      <c r="D16">
        <f>VLOOKUP(B16,'Model allocations'!$A$1:$L$319,3,FALSE)</f>
        <v>1892144.1252770526</v>
      </c>
      <c r="E16" s="32">
        <f>VLOOKUP(B16,'Initial adjusted formula count'!$A$1:$P$319,12,FALSE)</f>
        <v>9.6088505842380004E-2</v>
      </c>
      <c r="F16">
        <f>VLOOKUP(B16,'Model allocations'!$A$1:$L$319,8,FALSE)</f>
        <v>1994974.0425710171</v>
      </c>
      <c r="G16" s="31">
        <f t="shared" si="8"/>
        <v>0.85</v>
      </c>
      <c r="H16">
        <f t="shared" si="9"/>
        <v>1608322.5064854948</v>
      </c>
      <c r="I16">
        <f t="shared" si="1"/>
        <v>0</v>
      </c>
      <c r="J16">
        <f t="shared" si="2"/>
        <v>1994974.0425710171</v>
      </c>
      <c r="K16">
        <f t="shared" si="3"/>
        <v>1994680.5940176346</v>
      </c>
      <c r="L16">
        <f t="shared" si="10"/>
        <v>1994680.5940176346</v>
      </c>
      <c r="M16">
        <f t="shared" si="4"/>
        <v>0</v>
      </c>
      <c r="N16" s="30">
        <f t="shared" si="11"/>
        <v>1994680.5940176346</v>
      </c>
      <c r="O16" s="30">
        <f t="shared" si="5"/>
        <v>1994644.280291382</v>
      </c>
      <c r="P16" s="30">
        <f t="shared" si="12"/>
        <v>1994644.280291382</v>
      </c>
      <c r="Q16">
        <f t="shared" si="13"/>
        <v>0</v>
      </c>
      <c r="R16" s="30">
        <f t="shared" si="14"/>
        <v>1994644.280291382</v>
      </c>
      <c r="S16" s="30">
        <f t="shared" si="6"/>
        <v>1994644.2802913822</v>
      </c>
      <c r="T16" s="30">
        <f t="shared" si="15"/>
        <v>1994644.2802913822</v>
      </c>
      <c r="U16">
        <f t="shared" si="16"/>
        <v>0</v>
      </c>
      <c r="V16" s="30">
        <f t="shared" si="17"/>
        <v>1994644.2802913822</v>
      </c>
      <c r="W16" s="30">
        <f t="shared" si="7"/>
        <v>1994644.2802913822</v>
      </c>
      <c r="X16" s="30">
        <f t="shared" si="18"/>
        <v>1994644.2802913822</v>
      </c>
      <c r="Y16">
        <f t="shared" si="19"/>
        <v>0</v>
      </c>
    </row>
    <row r="17" spans="1:25" x14ac:dyDescent="0.25">
      <c r="A17" s="4" t="s">
        <v>690</v>
      </c>
      <c r="B17" s="7" t="s">
        <v>318</v>
      </c>
      <c r="C17" s="2" t="s">
        <v>691</v>
      </c>
      <c r="D17">
        <f>VLOOKUP(B17,'Model allocations'!$A$1:$L$319,3,FALSE)</f>
        <v>12118.771084182659</v>
      </c>
      <c r="E17" s="32">
        <f>VLOOKUP(B17,'Initial adjusted formula count'!$A$1:$P$319,12,FALSE)</f>
        <v>0.15384615384615399</v>
      </c>
      <c r="F17">
        <f>VLOOKUP(B17,'Model allocations'!$A$1:$L$319,8,FALSE)</f>
        <v>10906.893975764393</v>
      </c>
      <c r="G17" s="31">
        <f t="shared" si="8"/>
        <v>0.9</v>
      </c>
      <c r="H17">
        <f t="shared" si="9"/>
        <v>10906.893975764393</v>
      </c>
      <c r="I17">
        <f t="shared" si="1"/>
        <v>0</v>
      </c>
      <c r="J17">
        <f t="shared" si="2"/>
        <v>10906.893975764393</v>
      </c>
      <c r="K17">
        <f t="shared" si="3"/>
        <v>10905.289637968119</v>
      </c>
      <c r="L17">
        <f t="shared" si="10"/>
        <v>10905.289637968119</v>
      </c>
      <c r="M17">
        <f t="shared" si="4"/>
        <v>10906.893975764393</v>
      </c>
      <c r="N17" s="30">
        <f t="shared" si="11"/>
        <v>0</v>
      </c>
      <c r="O17" s="30">
        <f t="shared" si="5"/>
        <v>0</v>
      </c>
      <c r="P17" s="30">
        <f t="shared" si="12"/>
        <v>10906.893975764393</v>
      </c>
      <c r="Q17">
        <f t="shared" si="13"/>
        <v>0</v>
      </c>
      <c r="R17" s="30">
        <f t="shared" si="14"/>
        <v>0</v>
      </c>
      <c r="S17" s="30">
        <f t="shared" si="6"/>
        <v>0</v>
      </c>
      <c r="T17" s="30">
        <f t="shared" si="15"/>
        <v>10906.893975764393</v>
      </c>
      <c r="U17">
        <f t="shared" si="16"/>
        <v>0</v>
      </c>
      <c r="V17" s="30">
        <f t="shared" si="17"/>
        <v>0</v>
      </c>
      <c r="W17" s="30">
        <f t="shared" si="7"/>
        <v>0</v>
      </c>
      <c r="X17" s="30">
        <f t="shared" si="18"/>
        <v>10906.893975764393</v>
      </c>
      <c r="Y17">
        <f t="shared" si="19"/>
        <v>0</v>
      </c>
    </row>
    <row r="18" spans="1:25" x14ac:dyDescent="0.25">
      <c r="A18" s="4" t="s">
        <v>692</v>
      </c>
      <c r="B18" s="7" t="s">
        <v>320</v>
      </c>
      <c r="C18" s="2" t="s">
        <v>693</v>
      </c>
      <c r="D18">
        <f>VLOOKUP(B18,'Model allocations'!$A$1:$L$319,3,FALSE)</f>
        <v>314280.13011647045</v>
      </c>
      <c r="E18" s="32">
        <f>VLOOKUP(B18,'Initial adjusted formula count'!$A$1:$P$319,12,FALSE)</f>
        <v>0.10877476748888</v>
      </c>
      <c r="F18">
        <f>VLOOKUP(B18,'Model allocations'!$A$1:$L$319,8,FALSE)</f>
        <v>267138.11059899989</v>
      </c>
      <c r="G18" s="31">
        <f t="shared" si="8"/>
        <v>0.85</v>
      </c>
      <c r="H18">
        <f t="shared" si="9"/>
        <v>267138.11059899989</v>
      </c>
      <c r="I18">
        <f t="shared" si="1"/>
        <v>0</v>
      </c>
      <c r="J18">
        <f t="shared" si="2"/>
        <v>267138.11059899989</v>
      </c>
      <c r="K18">
        <f t="shared" si="3"/>
        <v>267098.81620697485</v>
      </c>
      <c r="L18">
        <f t="shared" si="10"/>
        <v>267098.81620697485</v>
      </c>
      <c r="M18">
        <f t="shared" si="4"/>
        <v>267138.11059899989</v>
      </c>
      <c r="N18" s="30">
        <f t="shared" si="11"/>
        <v>0</v>
      </c>
      <c r="O18" s="30">
        <f t="shared" si="5"/>
        <v>0</v>
      </c>
      <c r="P18" s="30">
        <f t="shared" si="12"/>
        <v>267138.11059899989</v>
      </c>
      <c r="Q18">
        <f t="shared" si="13"/>
        <v>0</v>
      </c>
      <c r="R18" s="30">
        <f t="shared" si="14"/>
        <v>0</v>
      </c>
      <c r="S18" s="30">
        <f t="shared" si="6"/>
        <v>0</v>
      </c>
      <c r="T18" s="30">
        <f t="shared" si="15"/>
        <v>267138.11059899989</v>
      </c>
      <c r="U18">
        <f t="shared" si="16"/>
        <v>0</v>
      </c>
      <c r="V18" s="30">
        <f t="shared" si="17"/>
        <v>0</v>
      </c>
      <c r="W18" s="30">
        <f t="shared" si="7"/>
        <v>0</v>
      </c>
      <c r="X18" s="30">
        <f t="shared" si="18"/>
        <v>267138.11059899989</v>
      </c>
      <c r="Y18">
        <f t="shared" si="19"/>
        <v>0</v>
      </c>
    </row>
    <row r="19" spans="1:25" x14ac:dyDescent="0.25">
      <c r="A19" s="4" t="s">
        <v>694</v>
      </c>
      <c r="B19" s="7" t="s">
        <v>322</v>
      </c>
      <c r="C19" s="2" t="s">
        <v>695</v>
      </c>
      <c r="D19">
        <f>VLOOKUP(B19,'Model allocations'!$A$1:$L$319,3,FALSE)</f>
        <v>23429.624096086474</v>
      </c>
      <c r="E19" s="32">
        <f>VLOOKUP(B19,'Initial adjusted formula count'!$A$1:$P$319,12,FALSE)</f>
        <v>0.13953488372093001</v>
      </c>
      <c r="F19">
        <f>VLOOKUP(B19,'Model allocations'!$A$1:$L$319,8,FALSE)</f>
        <v>25808.202361850148</v>
      </c>
      <c r="G19" s="31">
        <f t="shared" si="8"/>
        <v>0.85</v>
      </c>
      <c r="H19">
        <f t="shared" si="9"/>
        <v>19915.180481673502</v>
      </c>
      <c r="I19">
        <f t="shared" si="1"/>
        <v>0</v>
      </c>
      <c r="J19">
        <f t="shared" si="2"/>
        <v>25808.202361850148</v>
      </c>
      <c r="K19">
        <f t="shared" si="3"/>
        <v>25804.406132181553</v>
      </c>
      <c r="L19">
        <f t="shared" si="10"/>
        <v>25804.406132181553</v>
      </c>
      <c r="M19">
        <f t="shared" si="4"/>
        <v>0</v>
      </c>
      <c r="N19" s="30">
        <f t="shared" si="11"/>
        <v>25804.406132181553</v>
      </c>
      <c r="O19" s="30">
        <f t="shared" si="5"/>
        <v>25803.936355645295</v>
      </c>
      <c r="P19" s="30">
        <f t="shared" si="12"/>
        <v>25803.936355645295</v>
      </c>
      <c r="Q19">
        <f t="shared" si="13"/>
        <v>0</v>
      </c>
      <c r="R19" s="30">
        <f t="shared" si="14"/>
        <v>25803.936355645295</v>
      </c>
      <c r="S19" s="30">
        <f t="shared" si="6"/>
        <v>25803.936355645299</v>
      </c>
      <c r="T19" s="30">
        <f t="shared" si="15"/>
        <v>25803.936355645299</v>
      </c>
      <c r="U19">
        <f t="shared" si="16"/>
        <v>0</v>
      </c>
      <c r="V19" s="30">
        <f t="shared" si="17"/>
        <v>25803.936355645299</v>
      </c>
      <c r="W19" s="30">
        <f t="shared" si="7"/>
        <v>25803.936355645303</v>
      </c>
      <c r="X19" s="30">
        <f t="shared" si="18"/>
        <v>25803.936355645303</v>
      </c>
      <c r="Y19">
        <f t="shared" si="19"/>
        <v>0</v>
      </c>
    </row>
    <row r="20" spans="1:25" x14ac:dyDescent="0.25">
      <c r="A20" s="4" t="s">
        <v>10</v>
      </c>
      <c r="B20" s="7" t="s">
        <v>58</v>
      </c>
      <c r="C20" s="2" t="s">
        <v>696</v>
      </c>
      <c r="D20">
        <f>VLOOKUP(B20,'Model allocations'!$A$1:$L$319,3,FALSE)</f>
        <v>673920.84271921485</v>
      </c>
      <c r="E20" s="32">
        <f>VLOOKUP(B20,'Initial adjusted formula count'!$A$1:$P$319,12,FALSE)</f>
        <v>0.19495978101349801</v>
      </c>
      <c r="F20">
        <f>VLOOKUP(B20,'Model allocations'!$A$1:$L$319,8,FALSE)</f>
        <v>816327.88559470186</v>
      </c>
      <c r="G20" s="31">
        <f t="shared" si="8"/>
        <v>0.9</v>
      </c>
      <c r="H20">
        <f t="shared" si="9"/>
        <v>606528.75844729342</v>
      </c>
      <c r="I20">
        <f t="shared" si="1"/>
        <v>0</v>
      </c>
      <c r="J20">
        <f t="shared" si="2"/>
        <v>816327.88559470186</v>
      </c>
      <c r="K20">
        <f t="shared" si="3"/>
        <v>816207.80872552877</v>
      </c>
      <c r="L20">
        <f t="shared" si="10"/>
        <v>816207.80872552877</v>
      </c>
      <c r="M20">
        <f t="shared" si="4"/>
        <v>0</v>
      </c>
      <c r="N20" s="30">
        <f t="shared" si="11"/>
        <v>816207.80872552877</v>
      </c>
      <c r="O20" s="30">
        <f t="shared" si="5"/>
        <v>816192.94943075231</v>
      </c>
      <c r="P20" s="30">
        <f t="shared" si="12"/>
        <v>816192.94943075231</v>
      </c>
      <c r="Q20">
        <f t="shared" si="13"/>
        <v>0</v>
      </c>
      <c r="R20" s="30">
        <f t="shared" si="14"/>
        <v>816192.94943075231</v>
      </c>
      <c r="S20" s="30">
        <f t="shared" si="6"/>
        <v>816192.94943075243</v>
      </c>
      <c r="T20" s="30">
        <f t="shared" si="15"/>
        <v>816192.94943075243</v>
      </c>
      <c r="U20">
        <f t="shared" si="16"/>
        <v>0</v>
      </c>
      <c r="V20" s="30">
        <f t="shared" si="17"/>
        <v>816192.94943075243</v>
      </c>
      <c r="W20" s="30">
        <f t="shared" si="7"/>
        <v>816192.94943075255</v>
      </c>
      <c r="X20" s="30">
        <f t="shared" si="18"/>
        <v>816192.94943075255</v>
      </c>
      <c r="Y20">
        <f t="shared" si="19"/>
        <v>0</v>
      </c>
    </row>
    <row r="21" spans="1:25" x14ac:dyDescent="0.25">
      <c r="A21" s="4" t="s">
        <v>697</v>
      </c>
      <c r="B21" s="7" t="s">
        <v>324</v>
      </c>
      <c r="C21" s="2" t="s">
        <v>698</v>
      </c>
      <c r="D21">
        <f>VLOOKUP(B21,'Model allocations'!$A$1:$L$319,3,FALSE)</f>
        <v>231741.39018647218</v>
      </c>
      <c r="E21" s="32">
        <f>VLOOKUP(B21,'Initial adjusted formula count'!$A$1:$P$319,12,FALSE)</f>
        <v>0.19628099173553701</v>
      </c>
      <c r="F21">
        <f>VLOOKUP(B21,'Model allocations'!$A$1:$L$319,8,FALSE)</f>
        <v>208567.25116782496</v>
      </c>
      <c r="G21" s="31">
        <f t="shared" si="8"/>
        <v>0.9</v>
      </c>
      <c r="H21">
        <f t="shared" si="9"/>
        <v>208567.25116782496</v>
      </c>
      <c r="I21">
        <f t="shared" si="1"/>
        <v>0</v>
      </c>
      <c r="J21">
        <f t="shared" si="2"/>
        <v>208567.25116782496</v>
      </c>
      <c r="K21">
        <f t="shared" si="3"/>
        <v>208536.57219314555</v>
      </c>
      <c r="L21">
        <f t="shared" si="10"/>
        <v>208536.57219314555</v>
      </c>
      <c r="M21">
        <f t="shared" si="4"/>
        <v>208567.25116782496</v>
      </c>
      <c r="N21" s="30">
        <f t="shared" si="11"/>
        <v>0</v>
      </c>
      <c r="O21" s="30">
        <f t="shared" si="5"/>
        <v>0</v>
      </c>
      <c r="P21" s="30">
        <f t="shared" si="12"/>
        <v>208567.25116782496</v>
      </c>
      <c r="Q21">
        <f t="shared" si="13"/>
        <v>0</v>
      </c>
      <c r="R21" s="30">
        <f t="shared" si="14"/>
        <v>0</v>
      </c>
      <c r="S21" s="30">
        <f t="shared" si="6"/>
        <v>0</v>
      </c>
      <c r="T21" s="30">
        <f t="shared" si="15"/>
        <v>208567.25116782496</v>
      </c>
      <c r="U21">
        <f t="shared" si="16"/>
        <v>0</v>
      </c>
      <c r="V21" s="30">
        <f t="shared" si="17"/>
        <v>0</v>
      </c>
      <c r="W21" s="30">
        <f t="shared" si="7"/>
        <v>0</v>
      </c>
      <c r="X21" s="30">
        <f t="shared" si="18"/>
        <v>208567.25116782496</v>
      </c>
      <c r="Y21">
        <f t="shared" si="19"/>
        <v>0</v>
      </c>
    </row>
    <row r="22" spans="1:25" x14ac:dyDescent="0.25">
      <c r="A22" s="4" t="s">
        <v>699</v>
      </c>
      <c r="B22" s="7" t="s">
        <v>326</v>
      </c>
      <c r="C22" s="2" t="s">
        <v>700</v>
      </c>
      <c r="D22">
        <f>VLOOKUP(B22,'Model allocations'!$A$1:$L$319,3,FALSE)</f>
        <v>169130.55845188143</v>
      </c>
      <c r="E22" s="32">
        <f>VLOOKUP(B22,'Initial adjusted formula count'!$A$1:$P$319,12,FALSE)</f>
        <v>0.24076809453471201</v>
      </c>
      <c r="F22">
        <f>VLOOKUP(B22,'Model allocations'!$A$1:$L$319,8,FALSE)</f>
        <v>152217.50260669328</v>
      </c>
      <c r="G22" s="31">
        <f t="shared" si="8"/>
        <v>0.9</v>
      </c>
      <c r="H22">
        <f t="shared" si="9"/>
        <v>152217.50260669328</v>
      </c>
      <c r="I22">
        <f t="shared" si="1"/>
        <v>0</v>
      </c>
      <c r="J22">
        <f t="shared" si="2"/>
        <v>152217.50260669328</v>
      </c>
      <c r="K22">
        <f t="shared" si="3"/>
        <v>152195.11233745355</v>
      </c>
      <c r="L22">
        <f t="shared" si="10"/>
        <v>152195.11233745355</v>
      </c>
      <c r="M22">
        <f t="shared" si="4"/>
        <v>152217.50260669328</v>
      </c>
      <c r="N22" s="30">
        <f t="shared" si="11"/>
        <v>0</v>
      </c>
      <c r="O22" s="30">
        <f t="shared" si="5"/>
        <v>0</v>
      </c>
      <c r="P22" s="30">
        <f t="shared" si="12"/>
        <v>152217.50260669328</v>
      </c>
      <c r="Q22">
        <f t="shared" si="13"/>
        <v>0</v>
      </c>
      <c r="R22" s="30">
        <f t="shared" si="14"/>
        <v>0</v>
      </c>
      <c r="S22" s="30">
        <f t="shared" si="6"/>
        <v>0</v>
      </c>
      <c r="T22" s="30">
        <f t="shared" si="15"/>
        <v>152217.50260669328</v>
      </c>
      <c r="U22">
        <f t="shared" si="16"/>
        <v>0</v>
      </c>
      <c r="V22" s="30">
        <f t="shared" si="17"/>
        <v>0</v>
      </c>
      <c r="W22" s="30">
        <f t="shared" si="7"/>
        <v>0</v>
      </c>
      <c r="X22" s="30">
        <f t="shared" si="18"/>
        <v>152217.50260669328</v>
      </c>
      <c r="Y22">
        <f t="shared" si="19"/>
        <v>0</v>
      </c>
    </row>
    <row r="23" spans="1:25" x14ac:dyDescent="0.25">
      <c r="A23" s="4" t="s">
        <v>701</v>
      </c>
      <c r="B23" s="7" t="s">
        <v>328</v>
      </c>
      <c r="C23" s="2" t="s">
        <v>702</v>
      </c>
      <c r="D23">
        <f>VLOOKUP(B23,'Model allocations'!$A$1:$L$319,3,FALSE)</f>
        <v>25853.378312923021</v>
      </c>
      <c r="E23" s="32">
        <f>VLOOKUP(B23,'Initial adjusted formula count'!$A$1:$P$319,12,FALSE)</f>
        <v>0.232758620689655</v>
      </c>
      <c r="F23">
        <f>VLOOKUP(B23,'Model allocations'!$A$1:$L$319,8,FALSE)</f>
        <v>23268.04048163072</v>
      </c>
      <c r="G23" s="31">
        <f t="shared" si="8"/>
        <v>0.9</v>
      </c>
      <c r="H23">
        <f t="shared" si="9"/>
        <v>23268.04048163072</v>
      </c>
      <c r="I23">
        <f t="shared" si="1"/>
        <v>0</v>
      </c>
      <c r="J23">
        <f t="shared" si="2"/>
        <v>23268.04048163072</v>
      </c>
      <c r="K23">
        <f t="shared" si="3"/>
        <v>23264.617894332001</v>
      </c>
      <c r="L23">
        <f t="shared" si="10"/>
        <v>23264.617894332001</v>
      </c>
      <c r="M23">
        <f t="shared" si="4"/>
        <v>23268.04048163072</v>
      </c>
      <c r="N23" s="30">
        <f t="shared" si="11"/>
        <v>0</v>
      </c>
      <c r="O23" s="30">
        <f t="shared" si="5"/>
        <v>0</v>
      </c>
      <c r="P23" s="30">
        <f t="shared" si="12"/>
        <v>23268.04048163072</v>
      </c>
      <c r="Q23">
        <f t="shared" si="13"/>
        <v>0</v>
      </c>
      <c r="R23" s="30">
        <f t="shared" si="14"/>
        <v>0</v>
      </c>
      <c r="S23" s="30">
        <f t="shared" si="6"/>
        <v>0</v>
      </c>
      <c r="T23" s="30">
        <f t="shared" si="15"/>
        <v>23268.04048163072</v>
      </c>
      <c r="U23">
        <f t="shared" si="16"/>
        <v>0</v>
      </c>
      <c r="V23" s="30">
        <f t="shared" si="17"/>
        <v>0</v>
      </c>
      <c r="W23" s="30">
        <f t="shared" si="7"/>
        <v>0</v>
      </c>
      <c r="X23" s="30">
        <f t="shared" si="18"/>
        <v>23268.04048163072</v>
      </c>
      <c r="Y23">
        <f t="shared" si="19"/>
        <v>0</v>
      </c>
    </row>
    <row r="24" spans="1:25" x14ac:dyDescent="0.25">
      <c r="A24" s="4" t="s">
        <v>703</v>
      </c>
      <c r="B24" s="7" t="s">
        <v>330</v>
      </c>
      <c r="C24" s="2" t="s">
        <v>704</v>
      </c>
      <c r="D24">
        <f>VLOOKUP(B24,'Model allocations'!$A$1:$L$319,3,FALSE)</f>
        <v>451612.10172066692</v>
      </c>
      <c r="E24" s="32">
        <f>VLOOKUP(B24,'Initial adjusted formula count'!$A$1:$P$319,12,FALSE)</f>
        <v>0.107497984412792</v>
      </c>
      <c r="F24">
        <f>VLOOKUP(B24,'Model allocations'!$A$1:$L$319,8,FALSE)</f>
        <v>383870.28646256687</v>
      </c>
      <c r="G24" s="31">
        <f t="shared" si="8"/>
        <v>0.85</v>
      </c>
      <c r="H24">
        <f t="shared" si="9"/>
        <v>383870.28646256687</v>
      </c>
      <c r="I24">
        <f t="shared" si="1"/>
        <v>0</v>
      </c>
      <c r="J24">
        <f t="shared" si="2"/>
        <v>383870.28646256687</v>
      </c>
      <c r="K24">
        <f t="shared" si="3"/>
        <v>383813.82147713593</v>
      </c>
      <c r="L24">
        <f t="shared" si="10"/>
        <v>383813.82147713593</v>
      </c>
      <c r="M24">
        <f t="shared" si="4"/>
        <v>383870.28646256687</v>
      </c>
      <c r="N24" s="30">
        <f t="shared" si="11"/>
        <v>0</v>
      </c>
      <c r="O24" s="30">
        <f t="shared" si="5"/>
        <v>0</v>
      </c>
      <c r="P24" s="30">
        <f t="shared" si="12"/>
        <v>383870.28646256687</v>
      </c>
      <c r="Q24">
        <f t="shared" si="13"/>
        <v>0</v>
      </c>
      <c r="R24" s="30">
        <f t="shared" si="14"/>
        <v>0</v>
      </c>
      <c r="S24" s="30">
        <f t="shared" si="6"/>
        <v>0</v>
      </c>
      <c r="T24" s="30">
        <f t="shared" si="15"/>
        <v>383870.28646256687</v>
      </c>
      <c r="U24">
        <f t="shared" si="16"/>
        <v>0</v>
      </c>
      <c r="V24" s="30">
        <f t="shared" si="17"/>
        <v>0</v>
      </c>
      <c r="W24" s="30">
        <f t="shared" si="7"/>
        <v>0</v>
      </c>
      <c r="X24" s="30">
        <f t="shared" si="18"/>
        <v>383870.28646256687</v>
      </c>
      <c r="Y24">
        <f t="shared" si="19"/>
        <v>0</v>
      </c>
    </row>
    <row r="25" spans="1:25" x14ac:dyDescent="0.25">
      <c r="A25" s="4" t="s">
        <v>705</v>
      </c>
      <c r="B25" s="7" t="s">
        <v>105</v>
      </c>
      <c r="C25" s="2" t="s">
        <v>706</v>
      </c>
      <c r="D25">
        <f>VLOOKUP(B25,'Model allocations'!$A$1:$L$319,3,FALSE)</f>
        <v>266612.96385201853</v>
      </c>
      <c r="E25" s="32">
        <f>VLOOKUP(B25,'Initial adjusted formula count'!$A$1:$P$319,12,FALSE)</f>
        <v>3.4287257019438397E-2</v>
      </c>
      <c r="F25">
        <f>VLOOKUP(B25,'Model allocations'!$A$1:$L$319,8,FALSE)</f>
        <v>226621.01927421574</v>
      </c>
      <c r="G25" s="31">
        <f t="shared" si="8"/>
        <v>0.85</v>
      </c>
      <c r="H25">
        <f t="shared" si="9"/>
        <v>226621.01927421574</v>
      </c>
      <c r="I25">
        <f t="shared" si="1"/>
        <v>0</v>
      </c>
      <c r="J25">
        <f t="shared" si="2"/>
        <v>226621.01927421574</v>
      </c>
      <c r="K25">
        <f t="shared" si="3"/>
        <v>226587.68470000426</v>
      </c>
      <c r="L25">
        <f t="shared" si="10"/>
        <v>226587.68470000426</v>
      </c>
      <c r="M25">
        <f t="shared" si="4"/>
        <v>226621.01927421574</v>
      </c>
      <c r="N25" s="30">
        <f t="shared" si="11"/>
        <v>0</v>
      </c>
      <c r="O25" s="30">
        <f t="shared" si="5"/>
        <v>0</v>
      </c>
      <c r="P25" s="30">
        <f t="shared" si="12"/>
        <v>226621.01927421574</v>
      </c>
      <c r="Q25">
        <f t="shared" si="13"/>
        <v>0</v>
      </c>
      <c r="R25" s="30">
        <f t="shared" si="14"/>
        <v>0</v>
      </c>
      <c r="S25" s="30">
        <f t="shared" si="6"/>
        <v>0</v>
      </c>
      <c r="T25" s="30">
        <f t="shared" si="15"/>
        <v>226621.01927421574</v>
      </c>
      <c r="U25">
        <f t="shared" si="16"/>
        <v>0</v>
      </c>
      <c r="V25" s="30">
        <f t="shared" si="17"/>
        <v>0</v>
      </c>
      <c r="W25" s="30">
        <f t="shared" si="7"/>
        <v>0</v>
      </c>
      <c r="X25" s="30">
        <f t="shared" si="18"/>
        <v>226621.01927421574</v>
      </c>
      <c r="Y25">
        <f t="shared" si="19"/>
        <v>0</v>
      </c>
    </row>
    <row r="26" spans="1:25" x14ac:dyDescent="0.25">
      <c r="A26" s="4" t="s">
        <v>707</v>
      </c>
      <c r="B26" s="7" t="s">
        <v>332</v>
      </c>
      <c r="C26" s="2" t="s">
        <v>708</v>
      </c>
      <c r="D26">
        <f>VLOOKUP(B26,'Model allocations'!$A$1:$L$319,3,FALSE)</f>
        <v>106645.18554080742</v>
      </c>
      <c r="E26" s="32">
        <f>VLOOKUP(B26,'Initial adjusted formula count'!$A$1:$P$319,12,FALSE)</f>
        <v>0.20909090909090899</v>
      </c>
      <c r="F26">
        <f>VLOOKUP(B26,'Model allocations'!$A$1:$L$319,8,FALSE)</f>
        <v>98931.442387092218</v>
      </c>
      <c r="G26" s="31">
        <f t="shared" si="8"/>
        <v>0.9</v>
      </c>
      <c r="H26">
        <f t="shared" si="9"/>
        <v>95980.666986726676</v>
      </c>
      <c r="I26">
        <f t="shared" si="1"/>
        <v>0</v>
      </c>
      <c r="J26">
        <f t="shared" si="2"/>
        <v>98931.442387092218</v>
      </c>
      <c r="K26">
        <f t="shared" si="3"/>
        <v>98916.890173362597</v>
      </c>
      <c r="L26">
        <f t="shared" si="10"/>
        <v>98916.890173362597</v>
      </c>
      <c r="M26">
        <f t="shared" si="4"/>
        <v>0</v>
      </c>
      <c r="N26" s="30">
        <f t="shared" si="11"/>
        <v>98916.890173362597</v>
      </c>
      <c r="O26" s="30">
        <f t="shared" si="5"/>
        <v>98915.08936330695</v>
      </c>
      <c r="P26" s="30">
        <f t="shared" si="12"/>
        <v>98915.08936330695</v>
      </c>
      <c r="Q26">
        <f t="shared" si="13"/>
        <v>0</v>
      </c>
      <c r="R26" s="30">
        <f t="shared" si="14"/>
        <v>98915.08936330695</v>
      </c>
      <c r="S26" s="30">
        <f t="shared" si="6"/>
        <v>98915.089363306965</v>
      </c>
      <c r="T26" s="30">
        <f t="shared" si="15"/>
        <v>98915.089363306965</v>
      </c>
      <c r="U26">
        <f t="shared" si="16"/>
        <v>0</v>
      </c>
      <c r="V26" s="30">
        <f t="shared" si="17"/>
        <v>98915.089363306965</v>
      </c>
      <c r="W26" s="30">
        <f t="shared" si="7"/>
        <v>98915.089363306979</v>
      </c>
      <c r="X26" s="30">
        <f t="shared" si="18"/>
        <v>98915.089363306979</v>
      </c>
      <c r="Y26">
        <f t="shared" si="19"/>
        <v>0</v>
      </c>
    </row>
    <row r="27" spans="1:25" x14ac:dyDescent="0.25">
      <c r="A27" s="4" t="s">
        <v>709</v>
      </c>
      <c r="B27" s="7" t="s">
        <v>107</v>
      </c>
      <c r="C27" s="2" t="s">
        <v>710</v>
      </c>
      <c r="D27">
        <f>VLOOKUP(B27,'Model allocations'!$A$1:$L$319,3,FALSE)</f>
        <v>15350.443373298032</v>
      </c>
      <c r="E27" s="32">
        <f>VLOOKUP(B27,'Initial adjusted formula count'!$A$1:$P$319,12,FALSE)</f>
        <v>3.3653846153846201E-2</v>
      </c>
      <c r="F27">
        <f>VLOOKUP(B27,'Model allocations'!$A$1:$L$319,8,FALSE)</f>
        <v>0</v>
      </c>
      <c r="G27" s="31">
        <f t="shared" si="8"/>
        <v>0.85</v>
      </c>
      <c r="H27">
        <f t="shared" si="9"/>
        <v>0</v>
      </c>
      <c r="I27">
        <f t="shared" si="1"/>
        <v>0</v>
      </c>
      <c r="J27">
        <f t="shared" si="2"/>
        <v>0</v>
      </c>
      <c r="K27">
        <f t="shared" si="3"/>
        <v>0</v>
      </c>
      <c r="L27">
        <f t="shared" si="10"/>
        <v>0</v>
      </c>
      <c r="M27">
        <f t="shared" si="4"/>
        <v>0</v>
      </c>
      <c r="N27" s="30">
        <f t="shared" si="11"/>
        <v>0</v>
      </c>
      <c r="O27" s="30">
        <f t="shared" si="5"/>
        <v>0</v>
      </c>
      <c r="P27" s="30">
        <f t="shared" si="12"/>
        <v>0</v>
      </c>
      <c r="Q27">
        <f t="shared" si="13"/>
        <v>0</v>
      </c>
      <c r="R27" s="30">
        <f t="shared" si="14"/>
        <v>0</v>
      </c>
      <c r="S27" s="30">
        <f t="shared" si="6"/>
        <v>0</v>
      </c>
      <c r="T27" s="30">
        <f t="shared" si="15"/>
        <v>0</v>
      </c>
      <c r="U27">
        <f t="shared" si="16"/>
        <v>0</v>
      </c>
      <c r="V27" s="30">
        <f t="shared" si="17"/>
        <v>0</v>
      </c>
      <c r="W27" s="30">
        <f t="shared" si="7"/>
        <v>0</v>
      </c>
      <c r="X27" s="30">
        <f t="shared" si="18"/>
        <v>0</v>
      </c>
      <c r="Y27">
        <f t="shared" si="19"/>
        <v>0</v>
      </c>
    </row>
    <row r="28" spans="1:25" x14ac:dyDescent="0.25">
      <c r="A28" s="4" t="s">
        <v>711</v>
      </c>
      <c r="B28" s="7" t="s">
        <v>334</v>
      </c>
      <c r="C28" s="2" t="s">
        <v>712</v>
      </c>
      <c r="D28">
        <f>VLOOKUP(B28,'Model allocations'!$A$1:$L$319,3,FALSE)</f>
        <v>142193.58072107661</v>
      </c>
      <c r="E28" s="32">
        <f>VLOOKUP(B28,'Initial adjusted formula count'!$A$1:$P$319,12,FALSE)</f>
        <v>0.11389961389961401</v>
      </c>
      <c r="F28">
        <f>VLOOKUP(B28,'Model allocations'!$A$1:$L$319,8,FALSE)</f>
        <v>152268.39393491583</v>
      </c>
      <c r="G28" s="31">
        <f t="shared" si="8"/>
        <v>0.85</v>
      </c>
      <c r="H28">
        <f t="shared" si="9"/>
        <v>120864.54361291511</v>
      </c>
      <c r="I28">
        <f t="shared" si="1"/>
        <v>0</v>
      </c>
      <c r="J28">
        <f t="shared" si="2"/>
        <v>152268.39393491583</v>
      </c>
      <c r="K28">
        <f t="shared" si="3"/>
        <v>152245.99617987114</v>
      </c>
      <c r="L28">
        <f t="shared" si="10"/>
        <v>152245.99617987114</v>
      </c>
      <c r="M28">
        <f t="shared" si="4"/>
        <v>0</v>
      </c>
      <c r="N28" s="30">
        <f t="shared" si="11"/>
        <v>152245.99617987114</v>
      </c>
      <c r="O28" s="30">
        <f t="shared" si="5"/>
        <v>152243.22449830725</v>
      </c>
      <c r="P28" s="30">
        <f t="shared" si="12"/>
        <v>152243.22449830725</v>
      </c>
      <c r="Q28">
        <f t="shared" si="13"/>
        <v>0</v>
      </c>
      <c r="R28" s="30">
        <f t="shared" si="14"/>
        <v>152243.22449830725</v>
      </c>
      <c r="S28" s="30">
        <f t="shared" si="6"/>
        <v>152243.22449830725</v>
      </c>
      <c r="T28" s="30">
        <f t="shared" si="15"/>
        <v>152243.22449830725</v>
      </c>
      <c r="U28">
        <f t="shared" si="16"/>
        <v>0</v>
      </c>
      <c r="V28" s="30">
        <f t="shared" si="17"/>
        <v>152243.22449830725</v>
      </c>
      <c r="W28" s="30">
        <f t="shared" si="7"/>
        <v>152243.22449830725</v>
      </c>
      <c r="X28" s="30">
        <f t="shared" si="18"/>
        <v>152243.22449830725</v>
      </c>
      <c r="Y28">
        <f t="shared" si="19"/>
        <v>0</v>
      </c>
    </row>
    <row r="29" spans="1:25" x14ac:dyDescent="0.25">
      <c r="A29" s="4" t="s">
        <v>713</v>
      </c>
      <c r="B29" s="7" t="s">
        <v>336</v>
      </c>
      <c r="C29" s="2" t="s">
        <v>714</v>
      </c>
      <c r="D29">
        <f>VLOOKUP(B29,'Model allocations'!$A$1:$L$319,3,FALSE)</f>
        <v>162391.53252804765</v>
      </c>
      <c r="E29" s="32">
        <f>VLOOKUP(B29,'Initial adjusted formula count'!$A$1:$P$319,12,FALSE)</f>
        <v>0.112967914438503</v>
      </c>
      <c r="F29">
        <f>VLOOKUP(B29,'Model allocations'!$A$1:$L$319,8,FALSE)</f>
        <v>145386.2066384225</v>
      </c>
      <c r="G29" s="31">
        <f t="shared" si="8"/>
        <v>0.85</v>
      </c>
      <c r="H29">
        <f t="shared" si="9"/>
        <v>138032.8026488405</v>
      </c>
      <c r="I29">
        <f t="shared" si="1"/>
        <v>0</v>
      </c>
      <c r="J29">
        <f t="shared" si="2"/>
        <v>145386.2066384225</v>
      </c>
      <c r="K29">
        <f t="shared" si="3"/>
        <v>145364.82121128944</v>
      </c>
      <c r="L29">
        <f t="shared" si="10"/>
        <v>145364.82121128944</v>
      </c>
      <c r="M29">
        <f t="shared" si="4"/>
        <v>0</v>
      </c>
      <c r="N29" s="30">
        <f t="shared" si="11"/>
        <v>145364.82121128944</v>
      </c>
      <c r="O29" s="30">
        <f t="shared" si="5"/>
        <v>145362.17480346854</v>
      </c>
      <c r="P29" s="30">
        <f t="shared" si="12"/>
        <v>145362.17480346854</v>
      </c>
      <c r="Q29">
        <f t="shared" si="13"/>
        <v>0</v>
      </c>
      <c r="R29" s="30">
        <f t="shared" si="14"/>
        <v>145362.17480346854</v>
      </c>
      <c r="S29" s="30">
        <f t="shared" si="6"/>
        <v>145362.17480346854</v>
      </c>
      <c r="T29" s="30">
        <f t="shared" si="15"/>
        <v>145362.17480346854</v>
      </c>
      <c r="U29">
        <f t="shared" si="16"/>
        <v>0</v>
      </c>
      <c r="V29" s="30">
        <f t="shared" si="17"/>
        <v>145362.17480346854</v>
      </c>
      <c r="W29" s="30">
        <f t="shared" si="7"/>
        <v>145362.17480346854</v>
      </c>
      <c r="X29" s="30">
        <f t="shared" si="18"/>
        <v>145362.17480346854</v>
      </c>
      <c r="Y29">
        <f t="shared" si="19"/>
        <v>0</v>
      </c>
    </row>
    <row r="30" spans="1:25" x14ac:dyDescent="0.25">
      <c r="A30" s="4" t="s">
        <v>715</v>
      </c>
      <c r="B30" s="7" t="s">
        <v>109</v>
      </c>
      <c r="C30" s="2" t="s">
        <v>716</v>
      </c>
      <c r="D30">
        <f>VLOOKUP(B30,'Model allocations'!$A$1:$L$319,3,FALSE)</f>
        <v>161270.32416485486</v>
      </c>
      <c r="E30" s="32">
        <f>VLOOKUP(B30,'Initial adjusted formula count'!$A$1:$P$319,12,FALSE)</f>
        <v>0.111858190709046</v>
      </c>
      <c r="F30">
        <f>VLOOKUP(B30,'Model allocations'!$A$1:$L$319,8,FALSE)</f>
        <v>157430.03440728586</v>
      </c>
      <c r="G30" s="31">
        <f t="shared" si="8"/>
        <v>0.85</v>
      </c>
      <c r="H30">
        <f t="shared" si="9"/>
        <v>137079.77554012663</v>
      </c>
      <c r="I30">
        <f t="shared" si="1"/>
        <v>0</v>
      </c>
      <c r="J30">
        <f t="shared" si="2"/>
        <v>157430.03440728586</v>
      </c>
      <c r="K30">
        <f t="shared" si="3"/>
        <v>157406.87740630744</v>
      </c>
      <c r="L30">
        <f t="shared" si="10"/>
        <v>157406.87740630744</v>
      </c>
      <c r="M30">
        <f t="shared" si="4"/>
        <v>0</v>
      </c>
      <c r="N30" s="30">
        <f t="shared" si="11"/>
        <v>157406.87740630744</v>
      </c>
      <c r="O30" s="30">
        <f t="shared" si="5"/>
        <v>157404.01176943627</v>
      </c>
      <c r="P30" s="30">
        <f t="shared" si="12"/>
        <v>157404.01176943627</v>
      </c>
      <c r="Q30">
        <f t="shared" si="13"/>
        <v>0</v>
      </c>
      <c r="R30" s="30">
        <f t="shared" si="14"/>
        <v>157404.01176943627</v>
      </c>
      <c r="S30" s="30">
        <f t="shared" si="6"/>
        <v>157404.01176943627</v>
      </c>
      <c r="T30" s="30">
        <f t="shared" si="15"/>
        <v>157404.01176943627</v>
      </c>
      <c r="U30">
        <f t="shared" si="16"/>
        <v>0</v>
      </c>
      <c r="V30" s="30">
        <f t="shared" si="17"/>
        <v>157404.01176943627</v>
      </c>
      <c r="W30" s="30">
        <f t="shared" si="7"/>
        <v>157404.01176943627</v>
      </c>
      <c r="X30" s="30">
        <f t="shared" si="18"/>
        <v>157404.01176943627</v>
      </c>
      <c r="Y30">
        <f t="shared" si="19"/>
        <v>0</v>
      </c>
    </row>
    <row r="31" spans="1:25" x14ac:dyDescent="0.25">
      <c r="A31" s="4" t="s">
        <v>8</v>
      </c>
      <c r="B31" s="7" t="s">
        <v>69</v>
      </c>
      <c r="C31" s="2" t="s">
        <v>717</v>
      </c>
      <c r="D31">
        <f>VLOOKUP(B31,'Model allocations'!$A$1:$L$319,3,FALSE)</f>
        <v>69046.989554330052</v>
      </c>
      <c r="E31" s="32">
        <f>VLOOKUP(B31,'Initial adjusted formula count'!$A$1:$P$319,12,FALSE)</f>
        <v>0.13928522931482101</v>
      </c>
      <c r="F31">
        <f>VLOOKUP(B31,'Model allocations'!$A$1:$L$319,8,FALSE)</f>
        <v>73185.513548353993</v>
      </c>
      <c r="G31" s="31">
        <f t="shared" si="8"/>
        <v>0.85</v>
      </c>
      <c r="H31">
        <f t="shared" si="9"/>
        <v>58689.941121180542</v>
      </c>
      <c r="I31">
        <f t="shared" si="1"/>
        <v>0</v>
      </c>
      <c r="J31">
        <f t="shared" si="2"/>
        <v>73185.513548353993</v>
      </c>
      <c r="K31">
        <f t="shared" si="3"/>
        <v>73174.748404236321</v>
      </c>
      <c r="L31">
        <f t="shared" si="10"/>
        <v>73174.748404236321</v>
      </c>
      <c r="M31">
        <f t="shared" si="4"/>
        <v>0</v>
      </c>
      <c r="N31" s="30">
        <f t="shared" si="11"/>
        <v>73174.748404236321</v>
      </c>
      <c r="O31" s="30">
        <f t="shared" si="5"/>
        <v>73173.416237176527</v>
      </c>
      <c r="P31" s="30">
        <f t="shared" si="12"/>
        <v>73173.416237176527</v>
      </c>
      <c r="Q31">
        <f t="shared" si="13"/>
        <v>0</v>
      </c>
      <c r="R31" s="30">
        <f t="shared" si="14"/>
        <v>73173.416237176527</v>
      </c>
      <c r="S31" s="30">
        <f t="shared" si="6"/>
        <v>73173.416237176541</v>
      </c>
      <c r="T31" s="30">
        <f t="shared" si="15"/>
        <v>73173.416237176541</v>
      </c>
      <c r="U31">
        <f t="shared" si="16"/>
        <v>0</v>
      </c>
      <c r="V31" s="30">
        <f t="shared" si="17"/>
        <v>73173.416237176541</v>
      </c>
      <c r="W31" s="30">
        <f t="shared" si="7"/>
        <v>73173.416237176556</v>
      </c>
      <c r="X31" s="30">
        <f t="shared" si="18"/>
        <v>73173.416237176556</v>
      </c>
      <c r="Y31">
        <f t="shared" si="19"/>
        <v>0</v>
      </c>
    </row>
    <row r="32" spans="1:25" x14ac:dyDescent="0.25">
      <c r="A32" s="4" t="s">
        <v>718</v>
      </c>
      <c r="B32" s="7" t="s">
        <v>338</v>
      </c>
      <c r="C32" s="2" t="s">
        <v>719</v>
      </c>
      <c r="D32">
        <f>VLOOKUP(B32,'Model allocations'!$A$1:$L$319,3,FALSE)</f>
        <v>10502.934939624969</v>
      </c>
      <c r="E32" s="32">
        <f>VLOOKUP(B32,'Initial adjusted formula count'!$A$1:$P$319,12,FALSE)</f>
        <v>0.29032258064516098</v>
      </c>
      <c r="F32">
        <f>VLOOKUP(B32,'Model allocations'!$A$1:$L$319,8,FALSE)</f>
        <v>23227.382125665132</v>
      </c>
      <c r="G32" s="31">
        <f t="shared" si="8"/>
        <v>0.9</v>
      </c>
      <c r="H32">
        <f t="shared" si="9"/>
        <v>9452.6414456624716</v>
      </c>
      <c r="I32">
        <f t="shared" si="1"/>
        <v>0</v>
      </c>
      <c r="J32">
        <f t="shared" si="2"/>
        <v>23227.382125665132</v>
      </c>
      <c r="K32">
        <f t="shared" si="3"/>
        <v>23223.965518963396</v>
      </c>
      <c r="L32">
        <f t="shared" si="10"/>
        <v>23223.965518963396</v>
      </c>
      <c r="M32">
        <f t="shared" si="4"/>
        <v>0</v>
      </c>
      <c r="N32" s="30">
        <f t="shared" si="11"/>
        <v>23223.965518963396</v>
      </c>
      <c r="O32" s="30">
        <f t="shared" si="5"/>
        <v>23223.542720080764</v>
      </c>
      <c r="P32" s="30">
        <f t="shared" si="12"/>
        <v>23223.542720080764</v>
      </c>
      <c r="Q32">
        <f t="shared" si="13"/>
        <v>0</v>
      </c>
      <c r="R32" s="30">
        <f t="shared" si="14"/>
        <v>23223.542720080764</v>
      </c>
      <c r="S32" s="30">
        <f t="shared" si="6"/>
        <v>23223.542720080768</v>
      </c>
      <c r="T32" s="30">
        <f t="shared" si="15"/>
        <v>23223.542720080768</v>
      </c>
      <c r="U32">
        <f t="shared" si="16"/>
        <v>0</v>
      </c>
      <c r="V32" s="30">
        <f t="shared" si="17"/>
        <v>23223.542720080768</v>
      </c>
      <c r="W32" s="30">
        <f t="shared" si="7"/>
        <v>23223.542720080772</v>
      </c>
      <c r="X32" s="30">
        <f t="shared" si="18"/>
        <v>23223.542720080772</v>
      </c>
      <c r="Y32">
        <f t="shared" si="19"/>
        <v>0</v>
      </c>
    </row>
    <row r="33" spans="1:25" x14ac:dyDescent="0.25">
      <c r="A33" s="4" t="s">
        <v>720</v>
      </c>
      <c r="B33" s="7" t="s">
        <v>111</v>
      </c>
      <c r="C33" s="2" t="s">
        <v>721</v>
      </c>
      <c r="D33">
        <f>VLOOKUP(B33,'Model allocations'!$A$1:$L$319,3,FALSE)</f>
        <v>764290.49637578626</v>
      </c>
      <c r="E33" s="32">
        <f>VLOOKUP(B33,'Initial adjusted formula count'!$A$1:$P$319,12,FALSE)</f>
        <v>7.9476139217796907E-2</v>
      </c>
      <c r="F33">
        <f>VLOOKUP(B33,'Model allocations'!$A$1:$L$319,8,FALSE)</f>
        <v>762202.24308664119</v>
      </c>
      <c r="G33" s="31">
        <f t="shared" si="8"/>
        <v>0.85</v>
      </c>
      <c r="H33">
        <f t="shared" si="9"/>
        <v>649646.92191941827</v>
      </c>
      <c r="I33">
        <f t="shared" si="1"/>
        <v>0</v>
      </c>
      <c r="J33">
        <f t="shared" si="2"/>
        <v>762202.24308664119</v>
      </c>
      <c r="K33">
        <f t="shared" si="3"/>
        <v>762090.12777042866</v>
      </c>
      <c r="L33">
        <f t="shared" si="10"/>
        <v>762090.12777042866</v>
      </c>
      <c r="M33">
        <f t="shared" si="4"/>
        <v>0</v>
      </c>
      <c r="N33" s="30">
        <f t="shared" si="11"/>
        <v>762090.12777042866</v>
      </c>
      <c r="O33" s="30">
        <f t="shared" si="5"/>
        <v>762076.25370339118</v>
      </c>
      <c r="P33" s="30">
        <f t="shared" si="12"/>
        <v>762076.25370339118</v>
      </c>
      <c r="Q33">
        <f t="shared" si="13"/>
        <v>0</v>
      </c>
      <c r="R33" s="30">
        <f t="shared" si="14"/>
        <v>762076.25370339118</v>
      </c>
      <c r="S33" s="30">
        <f t="shared" si="6"/>
        <v>762076.2537033913</v>
      </c>
      <c r="T33" s="30">
        <f t="shared" si="15"/>
        <v>762076.2537033913</v>
      </c>
      <c r="U33">
        <f t="shared" si="16"/>
        <v>0</v>
      </c>
      <c r="V33" s="30">
        <f t="shared" si="17"/>
        <v>762076.2537033913</v>
      </c>
      <c r="W33" s="30">
        <f t="shared" si="7"/>
        <v>762076.25370339141</v>
      </c>
      <c r="X33" s="30">
        <f t="shared" si="18"/>
        <v>762076.25370339141</v>
      </c>
      <c r="Y33">
        <f t="shared" si="19"/>
        <v>0</v>
      </c>
    </row>
    <row r="34" spans="1:25" x14ac:dyDescent="0.25">
      <c r="A34" s="4" t="s">
        <v>722</v>
      </c>
      <c r="B34" s="7" t="s">
        <v>270</v>
      </c>
      <c r="C34" s="2" t="s">
        <v>723</v>
      </c>
      <c r="D34">
        <f>VLOOKUP(B34,'Model allocations'!$A$1:$L$319,3,FALSE)</f>
        <v>1332256.9011878138</v>
      </c>
      <c r="E34" s="32">
        <f>VLOOKUP(B34,'Initial adjusted formula count'!$A$1:$P$319,12,FALSE)</f>
        <v>0.110699806099066</v>
      </c>
      <c r="F34">
        <f>VLOOKUP(B34,'Model allocations'!$A$1:$L$319,8,FALSE)</f>
        <v>1620755.1083241892</v>
      </c>
      <c r="G34" s="31">
        <f t="shared" si="8"/>
        <v>0.85</v>
      </c>
      <c r="H34">
        <f t="shared" si="9"/>
        <v>1132418.3660096417</v>
      </c>
      <c r="I34">
        <f t="shared" si="1"/>
        <v>0</v>
      </c>
      <c r="J34">
        <f t="shared" si="2"/>
        <v>1620755.1083241892</v>
      </c>
      <c r="K34">
        <f t="shared" si="3"/>
        <v>1620516.7051010013</v>
      </c>
      <c r="L34">
        <f t="shared" si="10"/>
        <v>1620516.7051010013</v>
      </c>
      <c r="M34">
        <f t="shared" si="4"/>
        <v>0</v>
      </c>
      <c r="N34" s="30">
        <f t="shared" si="11"/>
        <v>1620516.7051010013</v>
      </c>
      <c r="O34" s="30">
        <f t="shared" si="5"/>
        <v>1620487.2031345244</v>
      </c>
      <c r="P34" s="30">
        <f t="shared" si="12"/>
        <v>1620487.2031345244</v>
      </c>
      <c r="Q34">
        <f t="shared" si="13"/>
        <v>0</v>
      </c>
      <c r="R34" s="30">
        <f t="shared" si="14"/>
        <v>1620487.2031345244</v>
      </c>
      <c r="S34" s="30">
        <f t="shared" si="6"/>
        <v>1620487.2031345246</v>
      </c>
      <c r="T34" s="30">
        <f t="shared" si="15"/>
        <v>1620487.2031345246</v>
      </c>
      <c r="U34">
        <f t="shared" si="16"/>
        <v>0</v>
      </c>
      <c r="V34" s="30">
        <f t="shared" si="17"/>
        <v>1620487.2031345246</v>
      </c>
      <c r="W34" s="30">
        <f t="shared" si="7"/>
        <v>1620487.2031345249</v>
      </c>
      <c r="X34" s="30">
        <f t="shared" si="18"/>
        <v>1620487.2031345249</v>
      </c>
      <c r="Y34">
        <f t="shared" si="19"/>
        <v>0</v>
      </c>
    </row>
    <row r="35" spans="1:25" x14ac:dyDescent="0.25">
      <c r="A35" s="4" t="s">
        <v>724</v>
      </c>
      <c r="B35" s="7" t="s">
        <v>340</v>
      </c>
      <c r="C35" s="2" t="s">
        <v>725</v>
      </c>
      <c r="D35">
        <f>VLOOKUP(B35,'Model allocations'!$A$1:$L$319,3,FALSE)</f>
        <v>671379.91806371917</v>
      </c>
      <c r="E35" s="32">
        <f>VLOOKUP(B35,'Initial adjusted formula count'!$A$1:$P$319,12,FALSE)</f>
        <v>0.17945718296677601</v>
      </c>
      <c r="F35">
        <f>VLOOKUP(B35,'Model allocations'!$A$1:$L$319,8,FALSE)</f>
        <v>659829.70705130207</v>
      </c>
      <c r="G35" s="31">
        <f t="shared" si="8"/>
        <v>0.9</v>
      </c>
      <c r="H35">
        <f t="shared" si="9"/>
        <v>604241.92625734722</v>
      </c>
      <c r="I35">
        <f t="shared" si="1"/>
        <v>0</v>
      </c>
      <c r="J35">
        <f t="shared" si="2"/>
        <v>659829.70705130207</v>
      </c>
      <c r="K35">
        <f t="shared" si="3"/>
        <v>659732.65011277504</v>
      </c>
      <c r="L35">
        <f t="shared" si="10"/>
        <v>659732.65011277504</v>
      </c>
      <c r="M35">
        <f t="shared" si="4"/>
        <v>0</v>
      </c>
      <c r="N35" s="30">
        <f t="shared" si="11"/>
        <v>659732.65011277504</v>
      </c>
      <c r="O35" s="30">
        <f t="shared" si="5"/>
        <v>659720.63949266472</v>
      </c>
      <c r="P35" s="30">
        <f t="shared" si="12"/>
        <v>659720.63949266472</v>
      </c>
      <c r="Q35">
        <f t="shared" si="13"/>
        <v>0</v>
      </c>
      <c r="R35" s="30">
        <f t="shared" si="14"/>
        <v>659720.63949266472</v>
      </c>
      <c r="S35" s="30">
        <f t="shared" si="6"/>
        <v>659720.63949266472</v>
      </c>
      <c r="T35" s="30">
        <f t="shared" si="15"/>
        <v>659720.63949266472</v>
      </c>
      <c r="U35">
        <f t="shared" si="16"/>
        <v>0</v>
      </c>
      <c r="V35" s="30">
        <f t="shared" si="17"/>
        <v>659720.63949266472</v>
      </c>
      <c r="W35" s="30">
        <f t="shared" si="7"/>
        <v>659720.63949266472</v>
      </c>
      <c r="X35" s="30">
        <f t="shared" si="18"/>
        <v>659720.63949266472</v>
      </c>
      <c r="Y35">
        <f t="shared" si="19"/>
        <v>0</v>
      </c>
    </row>
    <row r="36" spans="1:25" x14ac:dyDescent="0.25">
      <c r="A36" s="4" t="s">
        <v>726</v>
      </c>
      <c r="B36" s="7" t="s">
        <v>342</v>
      </c>
      <c r="C36" s="2" t="s">
        <v>727</v>
      </c>
      <c r="D36">
        <f>VLOOKUP(B36,'Model allocations'!$A$1:$L$319,3,FALSE)</f>
        <v>290850.50602038391</v>
      </c>
      <c r="E36" s="32">
        <f>VLOOKUP(B36,'Initial adjusted formula count'!$A$1:$P$319,12,FALSE)</f>
        <v>9.2178770949720698E-2</v>
      </c>
      <c r="F36">
        <f>VLOOKUP(B36,'Model allocations'!$A$1:$L$319,8,FALSE)</f>
        <v>247222.93011732632</v>
      </c>
      <c r="G36" s="31">
        <f t="shared" si="8"/>
        <v>0.85</v>
      </c>
      <c r="H36">
        <f t="shared" si="9"/>
        <v>247222.93011732632</v>
      </c>
      <c r="I36">
        <f t="shared" si="1"/>
        <v>0</v>
      </c>
      <c r="J36">
        <f t="shared" si="2"/>
        <v>247222.93011732632</v>
      </c>
      <c r="K36">
        <f t="shared" si="3"/>
        <v>247186.56512727743</v>
      </c>
      <c r="L36">
        <f t="shared" si="10"/>
        <v>247186.56512727743</v>
      </c>
      <c r="M36">
        <f t="shared" si="4"/>
        <v>247222.93011732632</v>
      </c>
      <c r="N36" s="30">
        <f t="shared" si="11"/>
        <v>0</v>
      </c>
      <c r="O36" s="30">
        <f t="shared" si="5"/>
        <v>0</v>
      </c>
      <c r="P36" s="30">
        <f t="shared" si="12"/>
        <v>247222.93011732632</v>
      </c>
      <c r="Q36">
        <f t="shared" si="13"/>
        <v>0</v>
      </c>
      <c r="R36" s="30">
        <f t="shared" si="14"/>
        <v>0</v>
      </c>
      <c r="S36" s="30">
        <f t="shared" si="6"/>
        <v>0</v>
      </c>
      <c r="T36" s="30">
        <f t="shared" si="15"/>
        <v>247222.93011732632</v>
      </c>
      <c r="U36">
        <f t="shared" si="16"/>
        <v>0</v>
      </c>
      <c r="V36" s="30">
        <f t="shared" si="17"/>
        <v>0</v>
      </c>
      <c r="W36" s="30">
        <f t="shared" si="7"/>
        <v>0</v>
      </c>
      <c r="X36" s="30">
        <f t="shared" si="18"/>
        <v>247222.93011732632</v>
      </c>
      <c r="Y36">
        <f t="shared" si="19"/>
        <v>0</v>
      </c>
    </row>
    <row r="37" spans="1:25" x14ac:dyDescent="0.25">
      <c r="A37" s="4" t="s">
        <v>728</v>
      </c>
      <c r="B37" s="7" t="s">
        <v>272</v>
      </c>
      <c r="C37" s="2" t="s">
        <v>729</v>
      </c>
      <c r="D37">
        <f>VLOOKUP(B37,'Model allocations'!$A$1:$L$319,3,FALSE)</f>
        <v>651989.88432902726</v>
      </c>
      <c r="E37" s="32">
        <f>VLOOKUP(B37,'Initial adjusted formula count'!$A$1:$P$319,12,FALSE)</f>
        <v>0.141643967312931</v>
      </c>
      <c r="F37">
        <f>VLOOKUP(B37,'Model allocations'!$A$1:$L$319,8,FALSE)</f>
        <v>760481.69626251771</v>
      </c>
      <c r="G37" s="31">
        <f t="shared" si="8"/>
        <v>0.85</v>
      </c>
      <c r="H37">
        <f t="shared" si="9"/>
        <v>554191.40167967312</v>
      </c>
      <c r="I37">
        <f t="shared" si="1"/>
        <v>0</v>
      </c>
      <c r="J37">
        <f t="shared" si="2"/>
        <v>760481.69626251771</v>
      </c>
      <c r="K37">
        <f t="shared" si="3"/>
        <v>760369.83402828313</v>
      </c>
      <c r="L37">
        <f t="shared" si="10"/>
        <v>760369.83402828313</v>
      </c>
      <c r="M37">
        <f t="shared" si="4"/>
        <v>0</v>
      </c>
      <c r="N37" s="30">
        <f t="shared" si="11"/>
        <v>760369.83402828313</v>
      </c>
      <c r="O37" s="30">
        <f t="shared" si="5"/>
        <v>760355.99127968145</v>
      </c>
      <c r="P37" s="30">
        <f t="shared" si="12"/>
        <v>760355.99127968145</v>
      </c>
      <c r="Q37">
        <f t="shared" si="13"/>
        <v>0</v>
      </c>
      <c r="R37" s="30">
        <f t="shared" si="14"/>
        <v>760355.99127968145</v>
      </c>
      <c r="S37" s="30">
        <f t="shared" si="6"/>
        <v>760355.99127968156</v>
      </c>
      <c r="T37" s="30">
        <f t="shared" si="15"/>
        <v>760355.99127968156</v>
      </c>
      <c r="U37">
        <f t="shared" si="16"/>
        <v>0</v>
      </c>
      <c r="V37" s="30">
        <f t="shared" si="17"/>
        <v>760355.99127968156</v>
      </c>
      <c r="W37" s="30">
        <f t="shared" si="7"/>
        <v>760355.99127968168</v>
      </c>
      <c r="X37" s="30">
        <f t="shared" si="18"/>
        <v>760355.99127968168</v>
      </c>
      <c r="Y37">
        <f t="shared" si="19"/>
        <v>0</v>
      </c>
    </row>
    <row r="38" spans="1:25" x14ac:dyDescent="0.25">
      <c r="A38" s="4" t="s">
        <v>730</v>
      </c>
      <c r="B38" s="7" t="s">
        <v>344</v>
      </c>
      <c r="C38" s="2" t="s">
        <v>731</v>
      </c>
      <c r="D38">
        <f>VLOOKUP(B38,'Model allocations'!$A$1:$L$319,3,FALSE)</f>
        <v>172884.84204615967</v>
      </c>
      <c r="E38" s="32">
        <f>VLOOKUP(B38,'Initial adjusted formula count'!$A$1:$P$319,12,FALSE)</f>
        <v>0.171641791044776</v>
      </c>
      <c r="F38">
        <f>VLOOKUP(B38,'Model allocations'!$A$1:$L$319,8,FALSE)</f>
        <v>155596.35784154371</v>
      </c>
      <c r="G38" s="31">
        <f t="shared" si="8"/>
        <v>0.9</v>
      </c>
      <c r="H38">
        <f t="shared" si="9"/>
        <v>155596.35784154371</v>
      </c>
      <c r="I38">
        <f t="shared" si="1"/>
        <v>0</v>
      </c>
      <c r="J38">
        <f t="shared" si="2"/>
        <v>155596.35784154371</v>
      </c>
      <c r="K38">
        <f t="shared" si="3"/>
        <v>155573.47056324041</v>
      </c>
      <c r="L38">
        <f t="shared" si="10"/>
        <v>155573.47056324041</v>
      </c>
      <c r="M38">
        <f t="shared" si="4"/>
        <v>155596.35784154371</v>
      </c>
      <c r="N38" s="30">
        <f t="shared" si="11"/>
        <v>0</v>
      </c>
      <c r="O38" s="30">
        <f t="shared" si="5"/>
        <v>0</v>
      </c>
      <c r="P38" s="30">
        <f t="shared" si="12"/>
        <v>155596.35784154371</v>
      </c>
      <c r="Q38">
        <f t="shared" si="13"/>
        <v>0</v>
      </c>
      <c r="R38" s="30">
        <f t="shared" si="14"/>
        <v>0</v>
      </c>
      <c r="S38" s="30">
        <f t="shared" si="6"/>
        <v>0</v>
      </c>
      <c r="T38" s="30">
        <f t="shared" si="15"/>
        <v>155596.35784154371</v>
      </c>
      <c r="U38">
        <f t="shared" si="16"/>
        <v>0</v>
      </c>
      <c r="V38" s="30">
        <f t="shared" si="17"/>
        <v>0</v>
      </c>
      <c r="W38" s="30">
        <f t="shared" si="7"/>
        <v>0</v>
      </c>
      <c r="X38" s="30">
        <f t="shared" si="18"/>
        <v>155596.35784154371</v>
      </c>
      <c r="Y38">
        <f t="shared" si="19"/>
        <v>0</v>
      </c>
    </row>
    <row r="39" spans="1:25" x14ac:dyDescent="0.25">
      <c r="A39" s="4" t="s">
        <v>732</v>
      </c>
      <c r="B39" s="7" t="s">
        <v>113</v>
      </c>
      <c r="C39" s="2" t="s">
        <v>733</v>
      </c>
      <c r="D39">
        <f>VLOOKUP(B39,'Model allocations'!$A$1:$L$319,3,FALSE)</f>
        <v>168854.87710627841</v>
      </c>
      <c r="E39" s="32">
        <f>VLOOKUP(B39,'Initial adjusted formula count'!$A$1:$P$319,12,FALSE)</f>
        <v>0.15190972222222199</v>
      </c>
      <c r="F39">
        <f>VLOOKUP(B39,'Model allocations'!$A$1:$L$319,8,FALSE)</f>
        <v>151969.38939565056</v>
      </c>
      <c r="G39" s="31">
        <f t="shared" si="8"/>
        <v>0.9</v>
      </c>
      <c r="H39">
        <f t="shared" si="9"/>
        <v>151969.38939565056</v>
      </c>
      <c r="I39">
        <f t="shared" si="1"/>
        <v>0</v>
      </c>
      <c r="J39">
        <f t="shared" si="2"/>
        <v>151969.38939565056</v>
      </c>
      <c r="K39">
        <f t="shared" si="3"/>
        <v>151947.03562235582</v>
      </c>
      <c r="L39">
        <f t="shared" si="10"/>
        <v>151947.03562235582</v>
      </c>
      <c r="M39">
        <f t="shared" si="4"/>
        <v>151969.38939565056</v>
      </c>
      <c r="N39" s="30">
        <f t="shared" si="11"/>
        <v>0</v>
      </c>
      <c r="O39" s="30">
        <f t="shared" si="5"/>
        <v>0</v>
      </c>
      <c r="P39" s="30">
        <f t="shared" si="12"/>
        <v>151969.38939565056</v>
      </c>
      <c r="Q39">
        <f t="shared" si="13"/>
        <v>0</v>
      </c>
      <c r="R39" s="30">
        <f t="shared" si="14"/>
        <v>0</v>
      </c>
      <c r="S39" s="30">
        <f t="shared" si="6"/>
        <v>0</v>
      </c>
      <c r="T39" s="30">
        <f t="shared" si="15"/>
        <v>151969.38939565056</v>
      </c>
      <c r="U39">
        <f t="shared" si="16"/>
        <v>0</v>
      </c>
      <c r="V39" s="30">
        <f t="shared" si="17"/>
        <v>0</v>
      </c>
      <c r="W39" s="30">
        <f t="shared" si="7"/>
        <v>0</v>
      </c>
      <c r="X39" s="30">
        <f t="shared" si="18"/>
        <v>151969.38939565056</v>
      </c>
      <c r="Y39">
        <f t="shared" si="19"/>
        <v>0</v>
      </c>
    </row>
    <row r="40" spans="1:25" x14ac:dyDescent="0.25">
      <c r="A40" s="4" t="s">
        <v>734</v>
      </c>
      <c r="B40" s="7" t="s">
        <v>346</v>
      </c>
      <c r="C40" s="2" t="s">
        <v>735</v>
      </c>
      <c r="D40">
        <f>VLOOKUP(B40,'Model allocations'!$A$1:$L$319,3,FALSE)</f>
        <v>476671.66264451784</v>
      </c>
      <c r="E40" s="32">
        <f>VLOOKUP(B40,'Initial adjusted formula count'!$A$1:$P$319,12,FALSE)</f>
        <v>0.21323792486583201</v>
      </c>
      <c r="F40">
        <f>VLOOKUP(B40,'Model allocations'!$A$1:$L$319,8,FALSE)</f>
        <v>512722.95358875633</v>
      </c>
      <c r="G40" s="31">
        <f t="shared" si="8"/>
        <v>0.9</v>
      </c>
      <c r="H40">
        <f t="shared" si="9"/>
        <v>429004.49638006609</v>
      </c>
      <c r="I40">
        <f t="shared" si="1"/>
        <v>0</v>
      </c>
      <c r="J40">
        <f t="shared" si="2"/>
        <v>512722.95358875633</v>
      </c>
      <c r="K40">
        <f t="shared" si="3"/>
        <v>512647.53515934019</v>
      </c>
      <c r="L40">
        <f t="shared" si="10"/>
        <v>512647.53515934019</v>
      </c>
      <c r="M40">
        <f t="shared" si="4"/>
        <v>0</v>
      </c>
      <c r="N40" s="30">
        <f t="shared" si="11"/>
        <v>512647.53515934019</v>
      </c>
      <c r="O40" s="30">
        <f t="shared" si="5"/>
        <v>512638.20226548659</v>
      </c>
      <c r="P40" s="30">
        <f t="shared" si="12"/>
        <v>512638.20226548659</v>
      </c>
      <c r="Q40">
        <f t="shared" si="13"/>
        <v>0</v>
      </c>
      <c r="R40" s="30">
        <f t="shared" si="14"/>
        <v>512638.20226548659</v>
      </c>
      <c r="S40" s="30">
        <f t="shared" si="6"/>
        <v>512638.20226548665</v>
      </c>
      <c r="T40" s="30">
        <f t="shared" si="15"/>
        <v>512638.20226548665</v>
      </c>
      <c r="U40">
        <f t="shared" si="16"/>
        <v>0</v>
      </c>
      <c r="V40" s="30">
        <f t="shared" si="17"/>
        <v>512638.20226548665</v>
      </c>
      <c r="W40" s="30">
        <f t="shared" si="7"/>
        <v>512638.20226548676</v>
      </c>
      <c r="X40" s="30">
        <f t="shared" si="18"/>
        <v>512638.20226548676</v>
      </c>
      <c r="Y40">
        <f t="shared" si="19"/>
        <v>0</v>
      </c>
    </row>
    <row r="41" spans="1:25" x14ac:dyDescent="0.25">
      <c r="A41" s="4" t="s">
        <v>736</v>
      </c>
      <c r="B41" s="7" t="s">
        <v>348</v>
      </c>
      <c r="C41" s="2" t="s">
        <v>737</v>
      </c>
      <c r="D41">
        <f>VLOOKUP(B41,'Model allocations'!$A$1:$L$319,3,FALSE)</f>
        <v>128248.30540728933</v>
      </c>
      <c r="E41" s="32">
        <f>VLOOKUP(B41,'Initial adjusted formula count'!$A$1:$P$319,12,FALSE)</f>
        <v>0.145951035781544</v>
      </c>
      <c r="F41">
        <f>VLOOKUP(B41,'Model allocations'!$A$1:$L$319,8,FALSE)</f>
        <v>133342.37886955903</v>
      </c>
      <c r="G41" s="31">
        <f t="shared" si="8"/>
        <v>0.85</v>
      </c>
      <c r="H41">
        <f t="shared" si="9"/>
        <v>109011.05959619593</v>
      </c>
      <c r="I41">
        <f t="shared" si="1"/>
        <v>0</v>
      </c>
      <c r="J41">
        <f t="shared" si="2"/>
        <v>133342.37886955903</v>
      </c>
      <c r="K41">
        <f t="shared" si="3"/>
        <v>133322.7650162713</v>
      </c>
      <c r="L41">
        <f t="shared" si="10"/>
        <v>133322.7650162713</v>
      </c>
      <c r="M41">
        <f t="shared" si="4"/>
        <v>0</v>
      </c>
      <c r="N41" s="30">
        <f t="shared" si="11"/>
        <v>133322.7650162713</v>
      </c>
      <c r="O41" s="30">
        <f t="shared" si="5"/>
        <v>133320.33783750064</v>
      </c>
      <c r="P41" s="30">
        <f t="shared" si="12"/>
        <v>133320.33783750064</v>
      </c>
      <c r="Q41">
        <f t="shared" si="13"/>
        <v>0</v>
      </c>
      <c r="R41" s="30">
        <f t="shared" si="14"/>
        <v>133320.33783750064</v>
      </c>
      <c r="S41" s="30">
        <f t="shared" si="6"/>
        <v>133320.33783750067</v>
      </c>
      <c r="T41" s="30">
        <f t="shared" si="15"/>
        <v>133320.33783750067</v>
      </c>
      <c r="U41">
        <f t="shared" si="16"/>
        <v>0</v>
      </c>
      <c r="V41" s="30">
        <f t="shared" si="17"/>
        <v>133320.33783750067</v>
      </c>
      <c r="W41" s="30">
        <f t="shared" si="7"/>
        <v>133320.3378375007</v>
      </c>
      <c r="X41" s="30">
        <f t="shared" si="18"/>
        <v>133320.3378375007</v>
      </c>
      <c r="Y41">
        <f t="shared" si="19"/>
        <v>0</v>
      </c>
    </row>
    <row r="42" spans="1:25" x14ac:dyDescent="0.25">
      <c r="A42" s="4" t="s">
        <v>738</v>
      </c>
      <c r="B42" s="7" t="s">
        <v>350</v>
      </c>
      <c r="C42" s="2" t="s">
        <v>739</v>
      </c>
      <c r="D42">
        <f>VLOOKUP(B42,'Model allocations'!$A$1:$L$319,3,FALSE)</f>
        <v>1554434.371064496</v>
      </c>
      <c r="E42" s="32">
        <f>VLOOKUP(B42,'Initial adjusted formula count'!$A$1:$P$319,12,FALSE)</f>
        <v>0.14597953216374299</v>
      </c>
      <c r="F42">
        <f>VLOOKUP(B42,'Model allocations'!$A$1:$L$319,8,FALSE)</f>
        <v>1717966.0038871581</v>
      </c>
      <c r="G42" s="31">
        <f t="shared" si="8"/>
        <v>0.85</v>
      </c>
      <c r="H42">
        <f t="shared" si="9"/>
        <v>1321269.2154048216</v>
      </c>
      <c r="I42">
        <f t="shared" si="1"/>
        <v>0</v>
      </c>
      <c r="J42">
        <f t="shared" si="2"/>
        <v>1717966.0038871581</v>
      </c>
      <c r="K42">
        <f t="shared" si="3"/>
        <v>1717713.3015322187</v>
      </c>
      <c r="L42">
        <f t="shared" si="10"/>
        <v>1717713.3015322187</v>
      </c>
      <c r="M42">
        <f t="shared" si="4"/>
        <v>0</v>
      </c>
      <c r="N42" s="30">
        <f t="shared" si="11"/>
        <v>1717713.3015322187</v>
      </c>
      <c r="O42" s="30">
        <f t="shared" si="5"/>
        <v>1717682.0300741219</v>
      </c>
      <c r="P42" s="30">
        <f t="shared" si="12"/>
        <v>1717682.0300741219</v>
      </c>
      <c r="Q42">
        <f t="shared" si="13"/>
        <v>0</v>
      </c>
      <c r="R42" s="30">
        <f t="shared" si="14"/>
        <v>1717682.0300741219</v>
      </c>
      <c r="S42" s="30">
        <f t="shared" si="6"/>
        <v>1717682.0300741219</v>
      </c>
      <c r="T42" s="30">
        <f t="shared" si="15"/>
        <v>1717682.0300741219</v>
      </c>
      <c r="U42">
        <f t="shared" si="16"/>
        <v>0</v>
      </c>
      <c r="V42" s="30">
        <f t="shared" si="17"/>
        <v>1717682.0300741219</v>
      </c>
      <c r="W42" s="30">
        <f t="shared" si="7"/>
        <v>1717682.0300741219</v>
      </c>
      <c r="X42" s="30">
        <f t="shared" si="18"/>
        <v>1717682.0300741219</v>
      </c>
      <c r="Y42">
        <f t="shared" si="19"/>
        <v>0</v>
      </c>
    </row>
    <row r="43" spans="1:25" x14ac:dyDescent="0.25">
      <c r="A43" s="4" t="s">
        <v>740</v>
      </c>
      <c r="B43" s="7" t="s">
        <v>274</v>
      </c>
      <c r="C43" s="2" t="s">
        <v>741</v>
      </c>
      <c r="D43">
        <f>VLOOKUP(B43,'Model allocations'!$A$1:$L$319,3,FALSE)</f>
        <v>44671.657758277353</v>
      </c>
      <c r="E43" s="32">
        <f>VLOOKUP(B43,'Initial adjusted formula count'!$A$1:$P$319,12,FALSE)</f>
        <v>7.5376884422110602E-2</v>
      </c>
      <c r="F43">
        <f>VLOOKUP(B43,'Model allocations'!$A$1:$L$319,8,FALSE)</f>
        <v>38712.303542775211</v>
      </c>
      <c r="G43" s="31">
        <f t="shared" si="8"/>
        <v>0.85</v>
      </c>
      <c r="H43">
        <f t="shared" si="9"/>
        <v>37970.909094535753</v>
      </c>
      <c r="I43">
        <f t="shared" si="1"/>
        <v>0</v>
      </c>
      <c r="J43">
        <f t="shared" si="2"/>
        <v>38712.303542775211</v>
      </c>
      <c r="K43">
        <f t="shared" si="3"/>
        <v>38706.609198272316</v>
      </c>
      <c r="L43">
        <f t="shared" si="10"/>
        <v>38706.609198272316</v>
      </c>
      <c r="M43">
        <f t="shared" si="4"/>
        <v>0</v>
      </c>
      <c r="N43" s="30">
        <f t="shared" si="11"/>
        <v>38706.609198272316</v>
      </c>
      <c r="O43" s="30">
        <f t="shared" si="5"/>
        <v>38705.904533467925</v>
      </c>
      <c r="P43" s="30">
        <f t="shared" si="12"/>
        <v>38705.904533467925</v>
      </c>
      <c r="Q43">
        <f t="shared" si="13"/>
        <v>0</v>
      </c>
      <c r="R43" s="30">
        <f t="shared" si="14"/>
        <v>38705.904533467925</v>
      </c>
      <c r="S43" s="30">
        <f t="shared" si="6"/>
        <v>38705.904533467925</v>
      </c>
      <c r="T43" s="30">
        <f t="shared" si="15"/>
        <v>38705.904533467925</v>
      </c>
      <c r="U43">
        <f t="shared" si="16"/>
        <v>0</v>
      </c>
      <c r="V43" s="30">
        <f t="shared" si="17"/>
        <v>38705.904533467925</v>
      </c>
      <c r="W43" s="30">
        <f t="shared" si="7"/>
        <v>38705.904533467925</v>
      </c>
      <c r="X43" s="30">
        <f t="shared" si="18"/>
        <v>38705.904533467925</v>
      </c>
      <c r="Y43">
        <f t="shared" si="19"/>
        <v>0</v>
      </c>
    </row>
    <row r="44" spans="1:25" x14ac:dyDescent="0.25">
      <c r="A44" s="4" t="s">
        <v>742</v>
      </c>
      <c r="B44" s="7" t="s">
        <v>352</v>
      </c>
      <c r="C44" s="2" t="s">
        <v>743</v>
      </c>
      <c r="D44">
        <f>VLOOKUP(B44,'Model allocations'!$A$1:$L$319,3,FALSE)</f>
        <v>201979.51806971105</v>
      </c>
      <c r="E44" s="32">
        <f>VLOOKUP(B44,'Initial adjusted formula count'!$A$1:$P$319,12,FALSE)</f>
        <v>0.10515970515970501</v>
      </c>
      <c r="F44">
        <f>VLOOKUP(B44,'Model allocations'!$A$1:$L$319,8,FALSE)</f>
        <v>184098.51018119772</v>
      </c>
      <c r="G44" s="31">
        <f t="shared" si="8"/>
        <v>0.85</v>
      </c>
      <c r="H44">
        <f t="shared" si="9"/>
        <v>171682.59035925439</v>
      </c>
      <c r="I44">
        <f t="shared" si="1"/>
        <v>0</v>
      </c>
      <c r="J44">
        <f t="shared" si="2"/>
        <v>184098.51018119772</v>
      </c>
      <c r="K44">
        <f t="shared" si="3"/>
        <v>184071.43040956176</v>
      </c>
      <c r="L44">
        <f t="shared" si="10"/>
        <v>184071.43040956176</v>
      </c>
      <c r="M44">
        <f t="shared" si="4"/>
        <v>0</v>
      </c>
      <c r="N44" s="30">
        <f t="shared" si="11"/>
        <v>184071.43040956176</v>
      </c>
      <c r="O44" s="30">
        <f t="shared" si="5"/>
        <v>184068.07933693644</v>
      </c>
      <c r="P44" s="30">
        <f t="shared" si="12"/>
        <v>184068.07933693644</v>
      </c>
      <c r="Q44">
        <f t="shared" si="13"/>
        <v>0</v>
      </c>
      <c r="R44" s="30">
        <f t="shared" si="14"/>
        <v>184068.07933693644</v>
      </c>
      <c r="S44" s="30">
        <f t="shared" si="6"/>
        <v>184068.07933693647</v>
      </c>
      <c r="T44" s="30">
        <f t="shared" si="15"/>
        <v>184068.07933693647</v>
      </c>
      <c r="U44">
        <f t="shared" si="16"/>
        <v>0</v>
      </c>
      <c r="V44" s="30">
        <f t="shared" si="17"/>
        <v>184068.07933693647</v>
      </c>
      <c r="W44" s="30">
        <f t="shared" si="7"/>
        <v>184068.0793369365</v>
      </c>
      <c r="X44" s="30">
        <f t="shared" si="18"/>
        <v>184068.0793369365</v>
      </c>
      <c r="Y44">
        <f t="shared" si="19"/>
        <v>0</v>
      </c>
    </row>
    <row r="45" spans="1:25" x14ac:dyDescent="0.25">
      <c r="A45" s="4" t="s">
        <v>744</v>
      </c>
      <c r="B45" s="7" t="s">
        <v>354</v>
      </c>
      <c r="C45" s="2" t="s">
        <v>745</v>
      </c>
      <c r="D45">
        <f>VLOOKUP(B45,'Model allocations'!$A$1:$L$319,3,FALSE)</f>
        <v>16158.361445576884</v>
      </c>
      <c r="E45" s="32">
        <f>VLOOKUP(B45,'Initial adjusted formula count'!$A$1:$P$319,12,FALSE)</f>
        <v>7.0833333333333304E-2</v>
      </c>
      <c r="F45">
        <f>VLOOKUP(B45,'Model allocations'!$A$1:$L$319,8,FALSE)</f>
        <v>14624.648005048422</v>
      </c>
      <c r="G45" s="31">
        <f t="shared" si="8"/>
        <v>0.85</v>
      </c>
      <c r="H45">
        <f t="shared" si="9"/>
        <v>13734.607228740351</v>
      </c>
      <c r="I45">
        <f t="shared" si="1"/>
        <v>0</v>
      </c>
      <c r="J45">
        <f t="shared" si="2"/>
        <v>14624.648005048422</v>
      </c>
      <c r="K45">
        <f t="shared" si="3"/>
        <v>14622.496808236219</v>
      </c>
      <c r="L45">
        <f t="shared" si="10"/>
        <v>14622.496808236219</v>
      </c>
      <c r="M45">
        <f t="shared" si="4"/>
        <v>0</v>
      </c>
      <c r="N45" s="30">
        <f t="shared" si="11"/>
        <v>14622.496808236219</v>
      </c>
      <c r="O45" s="30">
        <f t="shared" si="5"/>
        <v>14622.230601532339</v>
      </c>
      <c r="P45" s="30">
        <f t="shared" si="12"/>
        <v>14622.230601532339</v>
      </c>
      <c r="Q45">
        <f t="shared" si="13"/>
        <v>0</v>
      </c>
      <c r="R45" s="30">
        <f t="shared" si="14"/>
        <v>14622.230601532339</v>
      </c>
      <c r="S45" s="30">
        <f t="shared" si="6"/>
        <v>14622.230601532343</v>
      </c>
      <c r="T45" s="30">
        <f t="shared" si="15"/>
        <v>14622.230601532343</v>
      </c>
      <c r="U45">
        <f t="shared" si="16"/>
        <v>0</v>
      </c>
      <c r="V45" s="30">
        <f t="shared" si="17"/>
        <v>14622.230601532343</v>
      </c>
      <c r="W45" s="30">
        <f t="shared" si="7"/>
        <v>14622.230601532345</v>
      </c>
      <c r="X45" s="30">
        <f t="shared" si="18"/>
        <v>14622.230601532345</v>
      </c>
      <c r="Y45">
        <f t="shared" si="19"/>
        <v>0</v>
      </c>
    </row>
    <row r="46" spans="1:25" x14ac:dyDescent="0.25">
      <c r="A46" s="4" t="s">
        <v>746</v>
      </c>
      <c r="B46" s="7" t="s">
        <v>356</v>
      </c>
      <c r="C46" s="2" t="s">
        <v>747</v>
      </c>
      <c r="D46">
        <f>VLOOKUP(B46,'Model allocations'!$A$1:$L$319,3,FALSE)</f>
        <v>34740.477107990286</v>
      </c>
      <c r="E46" s="32">
        <f>VLOOKUP(B46,'Initial adjusted formula count'!$A$1:$P$319,12,FALSE)</f>
        <v>0.20487804878048799</v>
      </c>
      <c r="F46">
        <f>VLOOKUP(B46,'Model allocations'!$A$1:$L$319,8,FALSE)</f>
        <v>36131.483306590191</v>
      </c>
      <c r="G46" s="31">
        <f t="shared" si="8"/>
        <v>0.9</v>
      </c>
      <c r="H46">
        <f t="shared" si="9"/>
        <v>31266.429397191259</v>
      </c>
      <c r="I46">
        <f t="shared" si="1"/>
        <v>0</v>
      </c>
      <c r="J46">
        <f t="shared" si="2"/>
        <v>36131.483306590191</v>
      </c>
      <c r="K46">
        <f t="shared" si="3"/>
        <v>36126.168585054162</v>
      </c>
      <c r="L46">
        <f t="shared" si="10"/>
        <v>36126.168585054162</v>
      </c>
      <c r="M46">
        <f t="shared" si="4"/>
        <v>0</v>
      </c>
      <c r="N46" s="30">
        <f t="shared" si="11"/>
        <v>36126.168585054162</v>
      </c>
      <c r="O46" s="30">
        <f t="shared" si="5"/>
        <v>36125.510897903405</v>
      </c>
      <c r="P46" s="30">
        <f t="shared" si="12"/>
        <v>36125.510897903405</v>
      </c>
      <c r="Q46">
        <f t="shared" si="13"/>
        <v>0</v>
      </c>
      <c r="R46" s="30">
        <f t="shared" si="14"/>
        <v>36125.510897903405</v>
      </c>
      <c r="S46" s="30">
        <f t="shared" si="6"/>
        <v>36125.510897903412</v>
      </c>
      <c r="T46" s="30">
        <f t="shared" si="15"/>
        <v>36125.510897903412</v>
      </c>
      <c r="U46">
        <f t="shared" si="16"/>
        <v>0</v>
      </c>
      <c r="V46" s="30">
        <f t="shared" si="17"/>
        <v>36125.510897903412</v>
      </c>
      <c r="W46" s="30">
        <f t="shared" si="7"/>
        <v>36125.510897903412</v>
      </c>
      <c r="X46" s="30">
        <f t="shared" si="18"/>
        <v>36125.510897903412</v>
      </c>
      <c r="Y46">
        <f t="shared" si="19"/>
        <v>0</v>
      </c>
    </row>
    <row r="47" spans="1:25" x14ac:dyDescent="0.25">
      <c r="A47" s="4" t="s">
        <v>748</v>
      </c>
      <c r="B47" s="7" t="s">
        <v>357</v>
      </c>
      <c r="C47" s="2" t="s">
        <v>749</v>
      </c>
      <c r="D47">
        <f>VLOOKUP(B47,'Model allocations'!$A$1:$L$319,3,FALSE)</f>
        <v>103669.92292009569</v>
      </c>
      <c r="E47" s="32">
        <f>VLOOKUP(B47,'Initial adjusted formula count'!$A$1:$P$319,12,FALSE)</f>
        <v>0.134920634920635</v>
      </c>
      <c r="F47">
        <f>VLOOKUP(B47,'Model allocations'!$A$1:$L$319,8,FALSE)</f>
        <v>88119.434482081328</v>
      </c>
      <c r="G47" s="31">
        <f t="shared" si="8"/>
        <v>0.85</v>
      </c>
      <c r="H47">
        <f t="shared" si="9"/>
        <v>88119.434482081328</v>
      </c>
      <c r="I47">
        <f t="shared" si="1"/>
        <v>0</v>
      </c>
      <c r="J47">
        <f t="shared" si="2"/>
        <v>88119.434482081328</v>
      </c>
      <c r="K47">
        <f t="shared" si="3"/>
        <v>88106.472648983836</v>
      </c>
      <c r="L47">
        <f t="shared" si="10"/>
        <v>88106.472648983836</v>
      </c>
      <c r="M47">
        <f t="shared" si="4"/>
        <v>88119.434482081328</v>
      </c>
      <c r="N47" s="30">
        <f t="shared" si="11"/>
        <v>0</v>
      </c>
      <c r="O47" s="30">
        <f t="shared" si="5"/>
        <v>0</v>
      </c>
      <c r="P47" s="30">
        <f t="shared" si="12"/>
        <v>88119.434482081328</v>
      </c>
      <c r="Q47">
        <f t="shared" si="13"/>
        <v>0</v>
      </c>
      <c r="R47" s="30">
        <f t="shared" si="14"/>
        <v>0</v>
      </c>
      <c r="S47" s="30">
        <f t="shared" si="6"/>
        <v>0</v>
      </c>
      <c r="T47" s="30">
        <f t="shared" si="15"/>
        <v>88119.434482081328</v>
      </c>
      <c r="U47">
        <f t="shared" si="16"/>
        <v>0</v>
      </c>
      <c r="V47" s="30">
        <f t="shared" si="17"/>
        <v>0</v>
      </c>
      <c r="W47" s="30">
        <f t="shared" si="7"/>
        <v>0</v>
      </c>
      <c r="X47" s="30">
        <f t="shared" si="18"/>
        <v>88119.434482081328</v>
      </c>
      <c r="Y47">
        <f t="shared" si="19"/>
        <v>0</v>
      </c>
    </row>
    <row r="48" spans="1:25" x14ac:dyDescent="0.25">
      <c r="A48" s="4" t="s">
        <v>750</v>
      </c>
      <c r="B48" s="7" t="s">
        <v>358</v>
      </c>
      <c r="C48" s="2" t="s">
        <v>751</v>
      </c>
      <c r="D48">
        <f>VLOOKUP(B48,'Model allocations'!$A$1:$L$319,3,FALSE)</f>
        <v>290850.50602038391</v>
      </c>
      <c r="E48" s="32">
        <f>VLOOKUP(B48,'Initial adjusted formula count'!$A$1:$P$319,12,FALSE)</f>
        <v>0.16166166166166199</v>
      </c>
      <c r="F48">
        <f>VLOOKUP(B48,'Model allocations'!$A$1:$L$319,8,FALSE)</f>
        <v>277868.31209591986</v>
      </c>
      <c r="G48" s="31">
        <f t="shared" si="8"/>
        <v>0.9</v>
      </c>
      <c r="H48">
        <f t="shared" si="9"/>
        <v>261765.45541834552</v>
      </c>
      <c r="I48">
        <f t="shared" si="1"/>
        <v>0</v>
      </c>
      <c r="J48">
        <f t="shared" si="2"/>
        <v>277868.31209591986</v>
      </c>
      <c r="K48">
        <f t="shared" si="3"/>
        <v>277827.439356488</v>
      </c>
      <c r="L48">
        <f t="shared" si="10"/>
        <v>277827.439356488</v>
      </c>
      <c r="M48">
        <f t="shared" si="4"/>
        <v>0</v>
      </c>
      <c r="N48" s="30">
        <f t="shared" si="11"/>
        <v>277827.439356488</v>
      </c>
      <c r="O48" s="30">
        <f t="shared" si="5"/>
        <v>277822.38142911426</v>
      </c>
      <c r="P48" s="30">
        <f t="shared" si="12"/>
        <v>277822.38142911426</v>
      </c>
      <c r="Q48">
        <f t="shared" si="13"/>
        <v>0</v>
      </c>
      <c r="R48" s="30">
        <f t="shared" si="14"/>
        <v>277822.38142911426</v>
      </c>
      <c r="S48" s="30">
        <f t="shared" si="6"/>
        <v>277822.38142911426</v>
      </c>
      <c r="T48" s="30">
        <f t="shared" si="15"/>
        <v>277822.38142911426</v>
      </c>
      <c r="U48">
        <f t="shared" si="16"/>
        <v>0</v>
      </c>
      <c r="V48" s="30">
        <f t="shared" si="17"/>
        <v>277822.38142911426</v>
      </c>
      <c r="W48" s="30">
        <f t="shared" si="7"/>
        <v>277822.38142911426</v>
      </c>
      <c r="X48" s="30">
        <f t="shared" si="18"/>
        <v>277822.38142911426</v>
      </c>
      <c r="Y48">
        <f t="shared" si="19"/>
        <v>0</v>
      </c>
    </row>
    <row r="49" spans="1:25" x14ac:dyDescent="0.25">
      <c r="A49" s="4" t="s">
        <v>752</v>
      </c>
      <c r="B49" s="7" t="s">
        <v>360</v>
      </c>
      <c r="C49" s="2" t="s">
        <v>753</v>
      </c>
      <c r="D49">
        <f>VLOOKUP(B49,'Model allocations'!$A$1:$L$319,3,FALSE)</f>
        <v>118763.95662499008</v>
      </c>
      <c r="E49" s="32">
        <f>VLOOKUP(B49,'Initial adjusted formula count'!$A$1:$P$319,12,FALSE)</f>
        <v>0.19553072625698301</v>
      </c>
      <c r="F49">
        <f>VLOOKUP(B49,'Model allocations'!$A$1:$L$319,8,FALSE)</f>
        <v>120438.27768863403</v>
      </c>
      <c r="G49" s="31">
        <f t="shared" si="8"/>
        <v>0.9</v>
      </c>
      <c r="H49">
        <f t="shared" si="9"/>
        <v>106887.56096249107</v>
      </c>
      <c r="I49">
        <f t="shared" si="1"/>
        <v>0</v>
      </c>
      <c r="J49">
        <f t="shared" si="2"/>
        <v>120438.27768863403</v>
      </c>
      <c r="K49">
        <f t="shared" si="3"/>
        <v>120420.56195018059</v>
      </c>
      <c r="L49">
        <f t="shared" si="10"/>
        <v>120420.56195018059</v>
      </c>
      <c r="M49">
        <f t="shared" si="4"/>
        <v>0</v>
      </c>
      <c r="N49" s="30">
        <f t="shared" si="11"/>
        <v>120420.56195018059</v>
      </c>
      <c r="O49" s="30">
        <f t="shared" si="5"/>
        <v>120418.36965967806</v>
      </c>
      <c r="P49" s="30">
        <f t="shared" si="12"/>
        <v>120418.36965967806</v>
      </c>
      <c r="Q49">
        <f t="shared" si="13"/>
        <v>0</v>
      </c>
      <c r="R49" s="30">
        <f t="shared" si="14"/>
        <v>120418.36965967806</v>
      </c>
      <c r="S49" s="30">
        <f t="shared" si="6"/>
        <v>120418.36965967809</v>
      </c>
      <c r="T49" s="30">
        <f t="shared" si="15"/>
        <v>120418.36965967809</v>
      </c>
      <c r="U49">
        <f t="shared" si="16"/>
        <v>0</v>
      </c>
      <c r="V49" s="30">
        <f t="shared" si="17"/>
        <v>120418.36965967809</v>
      </c>
      <c r="W49" s="30">
        <f t="shared" si="7"/>
        <v>120418.36965967811</v>
      </c>
      <c r="X49" s="30">
        <f t="shared" si="18"/>
        <v>120418.36965967811</v>
      </c>
      <c r="Y49">
        <f t="shared" si="19"/>
        <v>0</v>
      </c>
    </row>
    <row r="50" spans="1:25" x14ac:dyDescent="0.25">
      <c r="A50" s="4" t="s">
        <v>754</v>
      </c>
      <c r="B50" s="7" t="s">
        <v>115</v>
      </c>
      <c r="C50" s="2" t="s">
        <v>755</v>
      </c>
      <c r="D50">
        <f>VLOOKUP(B50,'Model allocations'!$A$1:$L$319,3,FALSE)</f>
        <v>38780.067469384521</v>
      </c>
      <c r="E50" s="32">
        <f>VLOOKUP(B50,'Initial adjusted formula count'!$A$1:$P$319,12,FALSE)</f>
        <v>0.10885608856088599</v>
      </c>
      <c r="F50">
        <f>VLOOKUP(B50,'Model allocations'!$A$1:$L$319,8,FALSE)</f>
        <v>50756.131311638623</v>
      </c>
      <c r="G50" s="31">
        <f t="shared" si="8"/>
        <v>0.85</v>
      </c>
      <c r="H50">
        <f t="shared" si="9"/>
        <v>32963.057348976843</v>
      </c>
      <c r="I50">
        <f t="shared" si="1"/>
        <v>0</v>
      </c>
      <c r="J50">
        <f t="shared" si="2"/>
        <v>50756.131311638623</v>
      </c>
      <c r="K50">
        <f t="shared" si="3"/>
        <v>50748.665393290386</v>
      </c>
      <c r="L50">
        <f t="shared" si="10"/>
        <v>50748.665393290386</v>
      </c>
      <c r="M50">
        <f t="shared" si="4"/>
        <v>0</v>
      </c>
      <c r="N50" s="30">
        <f t="shared" si="11"/>
        <v>50748.665393290386</v>
      </c>
      <c r="O50" s="30">
        <f t="shared" si="5"/>
        <v>50747.741499435746</v>
      </c>
      <c r="P50" s="30">
        <f t="shared" si="12"/>
        <v>50747.741499435746</v>
      </c>
      <c r="Q50">
        <f t="shared" si="13"/>
        <v>0</v>
      </c>
      <c r="R50" s="30">
        <f t="shared" si="14"/>
        <v>50747.741499435746</v>
      </c>
      <c r="S50" s="30">
        <f t="shared" si="6"/>
        <v>50747.741499435753</v>
      </c>
      <c r="T50" s="30">
        <f t="shared" si="15"/>
        <v>50747.741499435753</v>
      </c>
      <c r="U50">
        <f t="shared" si="16"/>
        <v>0</v>
      </c>
      <c r="V50" s="30">
        <f t="shared" si="17"/>
        <v>50747.741499435753</v>
      </c>
      <c r="W50" s="30">
        <f t="shared" si="7"/>
        <v>50747.74149943576</v>
      </c>
      <c r="X50" s="30">
        <f t="shared" si="18"/>
        <v>50747.74149943576</v>
      </c>
      <c r="Y50">
        <f t="shared" si="19"/>
        <v>0</v>
      </c>
    </row>
    <row r="51" spans="1:25" x14ac:dyDescent="0.25">
      <c r="A51" s="4" t="s">
        <v>756</v>
      </c>
      <c r="B51" s="7" t="s">
        <v>117</v>
      </c>
      <c r="C51" s="2" t="s">
        <v>757</v>
      </c>
      <c r="D51">
        <f>VLOOKUP(B51,'Model allocations'!$A$1:$L$319,3,FALSE)</f>
        <v>23429.624096086474</v>
      </c>
      <c r="E51" s="32">
        <f>VLOOKUP(B51,'Initial adjusted formula count'!$A$1:$P$319,12,FALSE)</f>
        <v>0.158730158730159</v>
      </c>
      <c r="F51">
        <f>VLOOKUP(B51,'Model allocations'!$A$1:$L$319,8,FALSE)</f>
        <v>43013.670603083585</v>
      </c>
      <c r="G51" s="31">
        <f t="shared" si="8"/>
        <v>0.9</v>
      </c>
      <c r="H51">
        <f t="shared" si="9"/>
        <v>21086.661686477826</v>
      </c>
      <c r="I51">
        <f t="shared" si="1"/>
        <v>0</v>
      </c>
      <c r="J51">
        <f t="shared" si="2"/>
        <v>43013.670603083585</v>
      </c>
      <c r="K51">
        <f t="shared" si="3"/>
        <v>43007.343553635932</v>
      </c>
      <c r="L51">
        <f t="shared" si="10"/>
        <v>43007.343553635932</v>
      </c>
      <c r="M51">
        <f t="shared" si="4"/>
        <v>0</v>
      </c>
      <c r="N51" s="30">
        <f t="shared" si="11"/>
        <v>43007.343553635932</v>
      </c>
      <c r="O51" s="30">
        <f t="shared" si="5"/>
        <v>43006.560592742171</v>
      </c>
      <c r="P51" s="30">
        <f t="shared" si="12"/>
        <v>43006.560592742171</v>
      </c>
      <c r="Q51">
        <f t="shared" si="13"/>
        <v>0</v>
      </c>
      <c r="R51" s="30">
        <f t="shared" si="14"/>
        <v>43006.560592742171</v>
      </c>
      <c r="S51" s="30">
        <f t="shared" si="6"/>
        <v>43006.560592742171</v>
      </c>
      <c r="T51" s="30">
        <f t="shared" si="15"/>
        <v>43006.560592742171</v>
      </c>
      <c r="U51">
        <f t="shared" si="16"/>
        <v>0</v>
      </c>
      <c r="V51" s="30">
        <f t="shared" si="17"/>
        <v>43006.560592742171</v>
      </c>
      <c r="W51" s="30">
        <f t="shared" si="7"/>
        <v>43006.560592742171</v>
      </c>
      <c r="X51" s="30">
        <f t="shared" si="18"/>
        <v>43006.560592742171</v>
      </c>
      <c r="Y51">
        <f t="shared" si="19"/>
        <v>0</v>
      </c>
    </row>
    <row r="52" spans="1:25" x14ac:dyDescent="0.25">
      <c r="A52" s="4" t="s">
        <v>758</v>
      </c>
      <c r="B52" s="7" t="s">
        <v>362</v>
      </c>
      <c r="C52" s="2" t="s">
        <v>759</v>
      </c>
      <c r="D52">
        <f>VLOOKUP(B52,'Model allocations'!$A$1:$L$319,3,FALSE)</f>
        <v>30718.156983781875</v>
      </c>
      <c r="E52" s="32">
        <f>VLOOKUP(B52,'Initial adjusted formula count'!$A$1:$P$319,12,FALSE)</f>
        <v>0.16194331983805699</v>
      </c>
      <c r="F52">
        <f>VLOOKUP(B52,'Model allocations'!$A$1:$L$319,8,FALSE)</f>
        <v>34410.936482466866</v>
      </c>
      <c r="G52" s="31">
        <f t="shared" si="8"/>
        <v>0.9</v>
      </c>
      <c r="H52">
        <f t="shared" si="9"/>
        <v>27646.341285403687</v>
      </c>
      <c r="I52">
        <f t="shared" si="1"/>
        <v>0</v>
      </c>
      <c r="J52">
        <f t="shared" si="2"/>
        <v>34410.936482466866</v>
      </c>
      <c r="K52">
        <f t="shared" si="3"/>
        <v>34405.874842908743</v>
      </c>
      <c r="L52">
        <f t="shared" si="10"/>
        <v>34405.874842908743</v>
      </c>
      <c r="M52">
        <f t="shared" si="4"/>
        <v>0</v>
      </c>
      <c r="N52" s="30">
        <f t="shared" si="11"/>
        <v>34405.874842908743</v>
      </c>
      <c r="O52" s="30">
        <f t="shared" si="5"/>
        <v>34405.248474193737</v>
      </c>
      <c r="P52" s="30">
        <f t="shared" si="12"/>
        <v>34405.248474193737</v>
      </c>
      <c r="Q52">
        <f t="shared" si="13"/>
        <v>0</v>
      </c>
      <c r="R52" s="30">
        <f t="shared" si="14"/>
        <v>34405.248474193737</v>
      </c>
      <c r="S52" s="30">
        <f t="shared" si="6"/>
        <v>34405.248474193737</v>
      </c>
      <c r="T52" s="30">
        <f t="shared" si="15"/>
        <v>34405.248474193737</v>
      </c>
      <c r="U52">
        <f t="shared" si="16"/>
        <v>0</v>
      </c>
      <c r="V52" s="30">
        <f t="shared" si="17"/>
        <v>34405.248474193737</v>
      </c>
      <c r="W52" s="30">
        <f t="shared" si="7"/>
        <v>34405.248474193737</v>
      </c>
      <c r="X52" s="30">
        <f t="shared" si="18"/>
        <v>34405.248474193737</v>
      </c>
      <c r="Y52">
        <f t="shared" si="19"/>
        <v>0</v>
      </c>
    </row>
    <row r="53" spans="1:25" x14ac:dyDescent="0.25">
      <c r="A53" s="4" t="s">
        <v>760</v>
      </c>
      <c r="B53" s="7" t="s">
        <v>364</v>
      </c>
      <c r="C53" s="2" t="s">
        <v>761</v>
      </c>
      <c r="D53">
        <f>VLOOKUP(B53,'Model allocations'!$A$1:$L$319,3,FALSE)</f>
        <v>99373.922890297821</v>
      </c>
      <c r="E53" s="32">
        <f>VLOOKUP(B53,'Initial adjusted formula count'!$A$1:$P$319,12,FALSE)</f>
        <v>8.7751371115173699E-2</v>
      </c>
      <c r="F53">
        <f>VLOOKUP(B53,'Model allocations'!$A$1:$L$319,8,FALSE)</f>
        <v>84467.834456753146</v>
      </c>
      <c r="G53" s="31">
        <f t="shared" si="8"/>
        <v>0.85</v>
      </c>
      <c r="H53">
        <f t="shared" si="9"/>
        <v>84467.834456753146</v>
      </c>
      <c r="I53">
        <f t="shared" si="1"/>
        <v>0</v>
      </c>
      <c r="J53">
        <f t="shared" si="2"/>
        <v>84467.834456753146</v>
      </c>
      <c r="K53">
        <f t="shared" si="3"/>
        <v>84455.409751819781</v>
      </c>
      <c r="L53">
        <f t="shared" si="10"/>
        <v>84455.409751819781</v>
      </c>
      <c r="M53">
        <f t="shared" si="4"/>
        <v>84467.834456753146</v>
      </c>
      <c r="N53" s="30">
        <f t="shared" si="11"/>
        <v>0</v>
      </c>
      <c r="O53" s="30">
        <f t="shared" si="5"/>
        <v>0</v>
      </c>
      <c r="P53" s="30">
        <f t="shared" si="12"/>
        <v>84467.834456753146</v>
      </c>
      <c r="Q53">
        <f t="shared" si="13"/>
        <v>0</v>
      </c>
      <c r="R53" s="30">
        <f t="shared" si="14"/>
        <v>0</v>
      </c>
      <c r="S53" s="30">
        <f t="shared" si="6"/>
        <v>0</v>
      </c>
      <c r="T53" s="30">
        <f t="shared" si="15"/>
        <v>84467.834456753146</v>
      </c>
      <c r="U53">
        <f t="shared" si="16"/>
        <v>0</v>
      </c>
      <c r="V53" s="30">
        <f t="shared" si="17"/>
        <v>0</v>
      </c>
      <c r="W53" s="30">
        <f t="shared" si="7"/>
        <v>0</v>
      </c>
      <c r="X53" s="30">
        <f t="shared" si="18"/>
        <v>84467.834456753146</v>
      </c>
      <c r="Y53">
        <f t="shared" si="19"/>
        <v>0</v>
      </c>
    </row>
    <row r="54" spans="1:25" x14ac:dyDescent="0.25">
      <c r="A54" s="4" t="s">
        <v>762</v>
      </c>
      <c r="B54" s="7" t="s">
        <v>366</v>
      </c>
      <c r="C54" s="2" t="s">
        <v>763</v>
      </c>
      <c r="D54">
        <f>VLOOKUP(B54,'Model allocations'!$A$1:$L$319,3,FALSE)</f>
        <v>48787.661091888862</v>
      </c>
      <c r="E54" s="32">
        <f>VLOOKUP(B54,'Initial adjusted formula count'!$A$1:$P$319,12,FALSE)</f>
        <v>0.20579710144927499</v>
      </c>
      <c r="F54">
        <f>VLOOKUP(B54,'Model allocations'!$A$1:$L$319,8,FALSE)</f>
        <v>61079.412256378688</v>
      </c>
      <c r="G54" s="31">
        <f t="shared" si="8"/>
        <v>0.9</v>
      </c>
      <c r="H54">
        <f t="shared" si="9"/>
        <v>43908.894982699974</v>
      </c>
      <c r="I54">
        <f t="shared" si="1"/>
        <v>0</v>
      </c>
      <c r="J54">
        <f t="shared" si="2"/>
        <v>61079.412256378688</v>
      </c>
      <c r="K54">
        <f t="shared" si="3"/>
        <v>61070.427846163017</v>
      </c>
      <c r="L54">
        <f t="shared" si="10"/>
        <v>61070.427846163017</v>
      </c>
      <c r="M54">
        <f t="shared" si="4"/>
        <v>0</v>
      </c>
      <c r="N54" s="30">
        <f t="shared" si="11"/>
        <v>61070.427846163017</v>
      </c>
      <c r="O54" s="30">
        <f t="shared" si="5"/>
        <v>61069.31604169387</v>
      </c>
      <c r="P54" s="30">
        <f t="shared" si="12"/>
        <v>61069.31604169387</v>
      </c>
      <c r="Q54">
        <f t="shared" si="13"/>
        <v>0</v>
      </c>
      <c r="R54" s="30">
        <f t="shared" si="14"/>
        <v>61069.31604169387</v>
      </c>
      <c r="S54" s="30">
        <f t="shared" si="6"/>
        <v>61069.316041693884</v>
      </c>
      <c r="T54" s="30">
        <f t="shared" si="15"/>
        <v>61069.316041693884</v>
      </c>
      <c r="U54">
        <f t="shared" si="16"/>
        <v>0</v>
      </c>
      <c r="V54" s="30">
        <f t="shared" si="17"/>
        <v>61069.316041693884</v>
      </c>
      <c r="W54" s="30">
        <f t="shared" si="7"/>
        <v>61069.316041693892</v>
      </c>
      <c r="X54" s="30">
        <f t="shared" si="18"/>
        <v>61069.316041693892</v>
      </c>
      <c r="Y54">
        <f t="shared" si="19"/>
        <v>0</v>
      </c>
    </row>
    <row r="55" spans="1:25" x14ac:dyDescent="0.25">
      <c r="A55" s="8" t="s">
        <v>764</v>
      </c>
      <c r="B55" s="7" t="s">
        <v>368</v>
      </c>
      <c r="C55" s="2" t="s">
        <v>765</v>
      </c>
      <c r="D55">
        <f>VLOOKUP(B55,'Model allocations'!$A$1:$L$319,3,FALSE)</f>
        <v>15350.443373298032</v>
      </c>
      <c r="E55" s="32">
        <f>VLOOKUP(B55,'Initial adjusted formula count'!$A$1:$P$319,12,FALSE)</f>
        <v>0.114035087719298</v>
      </c>
      <c r="F55">
        <f>VLOOKUP(B55,'Model allocations'!$A$1:$L$319,8,FALSE)</f>
        <v>13047.876867303326</v>
      </c>
      <c r="G55" s="31">
        <f t="shared" si="8"/>
        <v>0.85</v>
      </c>
      <c r="H55">
        <f t="shared" si="9"/>
        <v>13047.876867303326</v>
      </c>
      <c r="I55">
        <f t="shared" si="1"/>
        <v>0</v>
      </c>
      <c r="J55">
        <f t="shared" si="2"/>
        <v>13047.876867303326</v>
      </c>
      <c r="K55">
        <f t="shared" si="3"/>
        <v>13045.957603939634</v>
      </c>
      <c r="L55">
        <f t="shared" si="10"/>
        <v>13045.957603939634</v>
      </c>
      <c r="M55">
        <f t="shared" si="4"/>
        <v>13047.876867303326</v>
      </c>
      <c r="N55" s="30">
        <f t="shared" si="11"/>
        <v>0</v>
      </c>
      <c r="O55" s="30">
        <f t="shared" si="5"/>
        <v>0</v>
      </c>
      <c r="P55" s="30">
        <f t="shared" si="12"/>
        <v>13047.876867303326</v>
      </c>
      <c r="Q55">
        <f t="shared" si="13"/>
        <v>0</v>
      </c>
      <c r="R55" s="30">
        <f t="shared" si="14"/>
        <v>0</v>
      </c>
      <c r="S55" s="30">
        <f t="shared" si="6"/>
        <v>0</v>
      </c>
      <c r="T55" s="30">
        <f t="shared" si="15"/>
        <v>13047.876867303326</v>
      </c>
      <c r="U55">
        <f t="shared" si="16"/>
        <v>0</v>
      </c>
      <c r="V55" s="30">
        <f t="shared" si="17"/>
        <v>0</v>
      </c>
      <c r="W55" s="30">
        <f t="shared" si="7"/>
        <v>0</v>
      </c>
      <c r="X55" s="30">
        <f t="shared" si="18"/>
        <v>13047.876867303326</v>
      </c>
      <c r="Y55">
        <f t="shared" si="19"/>
        <v>0</v>
      </c>
    </row>
    <row r="56" spans="1:25" x14ac:dyDescent="0.25">
      <c r="A56" s="4" t="s">
        <v>766</v>
      </c>
      <c r="B56" s="7" t="s">
        <v>370</v>
      </c>
      <c r="C56" s="2" t="s">
        <v>767</v>
      </c>
      <c r="D56">
        <f>VLOOKUP(B56,'Model allocations'!$A$1:$L$319,3,FALSE)</f>
        <v>46651.465314043082</v>
      </c>
      <c r="E56" s="32">
        <f>VLOOKUP(B56,'Initial adjusted formula count'!$A$1:$P$319,12,FALSE)</f>
        <v>0.259493670886076</v>
      </c>
      <c r="F56">
        <f>VLOOKUP(B56,'Model allocations'!$A$1:$L$319,8,FALSE)</f>
        <v>41986.318782638773</v>
      </c>
      <c r="G56" s="31">
        <f t="shared" si="8"/>
        <v>0.9</v>
      </c>
      <c r="H56">
        <f t="shared" si="9"/>
        <v>41986.318782638773</v>
      </c>
      <c r="I56">
        <f t="shared" si="1"/>
        <v>0</v>
      </c>
      <c r="J56">
        <f t="shared" si="2"/>
        <v>41986.318782638773</v>
      </c>
      <c r="K56">
        <f t="shared" si="3"/>
        <v>41980.142850398202</v>
      </c>
      <c r="L56">
        <f t="shared" si="10"/>
        <v>41980.142850398202</v>
      </c>
      <c r="M56">
        <f t="shared" si="4"/>
        <v>41986.318782638773</v>
      </c>
      <c r="N56" s="30">
        <f t="shared" si="11"/>
        <v>0</v>
      </c>
      <c r="O56" s="30">
        <f t="shared" si="5"/>
        <v>0</v>
      </c>
      <c r="P56" s="30">
        <f t="shared" si="12"/>
        <v>41986.318782638773</v>
      </c>
      <c r="Q56">
        <f t="shared" si="13"/>
        <v>0</v>
      </c>
      <c r="R56" s="30">
        <f t="shared" si="14"/>
        <v>0</v>
      </c>
      <c r="S56" s="30">
        <f t="shared" si="6"/>
        <v>0</v>
      </c>
      <c r="T56" s="30">
        <f t="shared" si="15"/>
        <v>41986.318782638773</v>
      </c>
      <c r="U56">
        <f t="shared" si="16"/>
        <v>0</v>
      </c>
      <c r="V56" s="30">
        <f t="shared" si="17"/>
        <v>0</v>
      </c>
      <c r="W56" s="30">
        <f t="shared" si="7"/>
        <v>0</v>
      </c>
      <c r="X56" s="30">
        <f t="shared" si="18"/>
        <v>41986.318782638773</v>
      </c>
      <c r="Y56">
        <f t="shared" si="19"/>
        <v>0</v>
      </c>
    </row>
    <row r="57" spans="1:25" x14ac:dyDescent="0.25">
      <c r="A57" s="4" t="s">
        <v>768</v>
      </c>
      <c r="B57" s="7" t="s">
        <v>372</v>
      </c>
      <c r="C57" s="2" t="s">
        <v>769</v>
      </c>
      <c r="D57">
        <f>VLOOKUP(B57,'Model allocations'!$A$1:$L$319,3,FALSE)</f>
        <v>81640.064299575373</v>
      </c>
      <c r="E57" s="32">
        <f>VLOOKUP(B57,'Initial adjusted formula count'!$A$1:$P$319,12,FALSE)</f>
        <v>0.237341772151899</v>
      </c>
      <c r="F57">
        <f>VLOOKUP(B57,'Model allocations'!$A$1:$L$319,8,FALSE)</f>
        <v>73476.057869617842</v>
      </c>
      <c r="G57" s="31">
        <f t="shared" si="8"/>
        <v>0.9</v>
      </c>
      <c r="H57">
        <f t="shared" si="9"/>
        <v>73476.057869617842</v>
      </c>
      <c r="I57">
        <f t="shared" si="1"/>
        <v>0</v>
      </c>
      <c r="J57">
        <f t="shared" si="2"/>
        <v>73476.057869617842</v>
      </c>
      <c r="K57">
        <f t="shared" si="3"/>
        <v>73465.24998819684</v>
      </c>
      <c r="L57">
        <f t="shared" si="10"/>
        <v>73465.24998819684</v>
      </c>
      <c r="M57">
        <f t="shared" si="4"/>
        <v>73476.057869617842</v>
      </c>
      <c r="N57" s="30">
        <f t="shared" si="11"/>
        <v>0</v>
      </c>
      <c r="O57" s="30">
        <f t="shared" si="5"/>
        <v>0</v>
      </c>
      <c r="P57" s="30">
        <f t="shared" si="12"/>
        <v>73476.057869617842</v>
      </c>
      <c r="Q57">
        <f t="shared" si="13"/>
        <v>0</v>
      </c>
      <c r="R57" s="30">
        <f t="shared" si="14"/>
        <v>0</v>
      </c>
      <c r="S57" s="30">
        <f t="shared" si="6"/>
        <v>0</v>
      </c>
      <c r="T57" s="30">
        <f t="shared" si="15"/>
        <v>73476.057869617842</v>
      </c>
      <c r="U57">
        <f t="shared" si="16"/>
        <v>0</v>
      </c>
      <c r="V57" s="30">
        <f t="shared" si="17"/>
        <v>0</v>
      </c>
      <c r="W57" s="30">
        <f t="shared" si="7"/>
        <v>0</v>
      </c>
      <c r="X57" s="30">
        <f t="shared" si="18"/>
        <v>73476.057869617842</v>
      </c>
      <c r="Y57">
        <f t="shared" si="19"/>
        <v>0</v>
      </c>
    </row>
    <row r="58" spans="1:25" x14ac:dyDescent="0.25">
      <c r="A58" s="4" t="s">
        <v>770</v>
      </c>
      <c r="B58" s="7" t="s">
        <v>119</v>
      </c>
      <c r="C58" s="2" t="s">
        <v>771</v>
      </c>
      <c r="D58">
        <f>VLOOKUP(B58,'Model allocations'!$A$1:$L$319,3,FALSE)</f>
        <v>0</v>
      </c>
      <c r="E58" s="32">
        <f>VLOOKUP(B58,'Initial adjusted formula count'!$A$1:$P$319,12,FALSE)</f>
        <v>1.8018018018018001E-2</v>
      </c>
      <c r="F58">
        <f>VLOOKUP(B58,'Model allocations'!$A$1:$L$319,8,FALSE)</f>
        <v>0</v>
      </c>
      <c r="G58" s="31">
        <f t="shared" si="8"/>
        <v>0.85</v>
      </c>
      <c r="H58">
        <f t="shared" si="9"/>
        <v>0</v>
      </c>
      <c r="I58">
        <f t="shared" si="1"/>
        <v>0</v>
      </c>
      <c r="J58">
        <f t="shared" si="2"/>
        <v>0</v>
      </c>
      <c r="K58">
        <f t="shared" si="3"/>
        <v>0</v>
      </c>
      <c r="L58">
        <f t="shared" si="10"/>
        <v>0</v>
      </c>
      <c r="M58">
        <f t="shared" si="4"/>
        <v>0</v>
      </c>
      <c r="N58" s="30">
        <f t="shared" si="11"/>
        <v>0</v>
      </c>
      <c r="O58" s="30">
        <f t="shared" si="5"/>
        <v>0</v>
      </c>
      <c r="P58" s="30">
        <f t="shared" si="12"/>
        <v>0</v>
      </c>
      <c r="Q58">
        <f t="shared" si="13"/>
        <v>0</v>
      </c>
      <c r="R58" s="30">
        <f t="shared" si="14"/>
        <v>0</v>
      </c>
      <c r="S58" s="30">
        <f t="shared" si="6"/>
        <v>0</v>
      </c>
      <c r="T58" s="30">
        <f t="shared" si="15"/>
        <v>0</v>
      </c>
      <c r="U58">
        <f t="shared" si="16"/>
        <v>0</v>
      </c>
      <c r="V58" s="30">
        <f t="shared" si="17"/>
        <v>0</v>
      </c>
      <c r="W58" s="30">
        <f t="shared" si="7"/>
        <v>0</v>
      </c>
      <c r="X58" s="30">
        <f t="shared" si="18"/>
        <v>0</v>
      </c>
      <c r="Y58">
        <f t="shared" si="19"/>
        <v>0</v>
      </c>
    </row>
    <row r="59" spans="1:25" x14ac:dyDescent="0.25">
      <c r="A59" s="4" t="s">
        <v>772</v>
      </c>
      <c r="B59" s="7" t="s">
        <v>276</v>
      </c>
      <c r="C59" s="2" t="s">
        <v>773</v>
      </c>
      <c r="D59">
        <f>VLOOKUP(B59,'Model allocations'!$A$1:$L$319,3,FALSE)</f>
        <v>67057.199999144053</v>
      </c>
      <c r="E59" s="32">
        <f>VLOOKUP(B59,'Initial adjusted formula count'!$A$1:$P$319,12,FALSE)</f>
        <v>0.12896825396825401</v>
      </c>
      <c r="F59">
        <f>VLOOKUP(B59,'Model allocations'!$A$1:$L$319,8,FALSE)</f>
        <v>56998.619999272443</v>
      </c>
      <c r="G59" s="31">
        <f t="shared" si="8"/>
        <v>0.85</v>
      </c>
      <c r="H59">
        <f t="shared" si="9"/>
        <v>56998.619999272443</v>
      </c>
      <c r="I59">
        <f t="shared" si="1"/>
        <v>0</v>
      </c>
      <c r="J59">
        <f t="shared" si="2"/>
        <v>56998.619999272443</v>
      </c>
      <c r="K59">
        <f t="shared" si="3"/>
        <v>56990.235848788951</v>
      </c>
      <c r="L59">
        <f t="shared" si="10"/>
        <v>56990.235848788951</v>
      </c>
      <c r="M59">
        <f t="shared" si="4"/>
        <v>56998.619999272443</v>
      </c>
      <c r="N59" s="30">
        <f t="shared" si="11"/>
        <v>0</v>
      </c>
      <c r="O59" s="30">
        <f t="shared" si="5"/>
        <v>0</v>
      </c>
      <c r="P59" s="30">
        <f t="shared" si="12"/>
        <v>56998.619999272443</v>
      </c>
      <c r="Q59">
        <f t="shared" si="13"/>
        <v>0</v>
      </c>
      <c r="R59" s="30">
        <f t="shared" si="14"/>
        <v>0</v>
      </c>
      <c r="S59" s="30">
        <f t="shared" si="6"/>
        <v>0</v>
      </c>
      <c r="T59" s="30">
        <f t="shared" si="15"/>
        <v>56998.619999272443</v>
      </c>
      <c r="U59">
        <f t="shared" si="16"/>
        <v>0</v>
      </c>
      <c r="V59" s="30">
        <f t="shared" si="17"/>
        <v>0</v>
      </c>
      <c r="W59" s="30">
        <f t="shared" si="7"/>
        <v>0</v>
      </c>
      <c r="X59" s="30">
        <f t="shared" si="18"/>
        <v>56998.619999272443</v>
      </c>
      <c r="Y59">
        <f t="shared" si="19"/>
        <v>0</v>
      </c>
    </row>
    <row r="60" spans="1:25" x14ac:dyDescent="0.25">
      <c r="A60" s="4" t="s">
        <v>774</v>
      </c>
      <c r="B60" s="7" t="s">
        <v>374</v>
      </c>
      <c r="C60" s="2" t="s">
        <v>775</v>
      </c>
      <c r="D60">
        <f>VLOOKUP(B60,'Model allocations'!$A$1:$L$319,3,FALSE)</f>
        <v>72955.622836481969</v>
      </c>
      <c r="E60" s="32">
        <f>VLOOKUP(B60,'Initial adjusted formula count'!$A$1:$P$319,12,FALSE)</f>
        <v>0.13775510204081601</v>
      </c>
      <c r="F60">
        <f>VLOOKUP(B60,'Model allocations'!$A$1:$L$319,8,FALSE)</f>
        <v>69682.146376995384</v>
      </c>
      <c r="G60" s="31">
        <f t="shared" si="8"/>
        <v>0.85</v>
      </c>
      <c r="H60">
        <f t="shared" si="9"/>
        <v>62012.279411009673</v>
      </c>
      <c r="I60">
        <f t="shared" si="1"/>
        <v>0</v>
      </c>
      <c r="J60">
        <f t="shared" si="2"/>
        <v>69682.146376995384</v>
      </c>
      <c r="K60">
        <f t="shared" si="3"/>
        <v>69671.896556890177</v>
      </c>
      <c r="L60">
        <f t="shared" si="10"/>
        <v>69671.896556890177</v>
      </c>
      <c r="M60">
        <f t="shared" si="4"/>
        <v>0</v>
      </c>
      <c r="N60" s="30">
        <f t="shared" si="11"/>
        <v>69671.896556890177</v>
      </c>
      <c r="O60" s="30">
        <f t="shared" si="5"/>
        <v>69670.628160242282</v>
      </c>
      <c r="P60" s="30">
        <f t="shared" si="12"/>
        <v>69670.628160242282</v>
      </c>
      <c r="Q60">
        <f t="shared" si="13"/>
        <v>0</v>
      </c>
      <c r="R60" s="30">
        <f t="shared" si="14"/>
        <v>69670.628160242282</v>
      </c>
      <c r="S60" s="30">
        <f t="shared" si="6"/>
        <v>69670.628160242297</v>
      </c>
      <c r="T60" s="30">
        <f t="shared" si="15"/>
        <v>69670.628160242297</v>
      </c>
      <c r="U60">
        <f t="shared" si="16"/>
        <v>0</v>
      </c>
      <c r="V60" s="30">
        <f t="shared" si="17"/>
        <v>69670.628160242297</v>
      </c>
      <c r="W60" s="30">
        <f t="shared" si="7"/>
        <v>69670.628160242311</v>
      </c>
      <c r="X60" s="30">
        <f t="shared" si="18"/>
        <v>69670.628160242311</v>
      </c>
      <c r="Y60">
        <f t="shared" si="19"/>
        <v>0</v>
      </c>
    </row>
    <row r="61" spans="1:25" x14ac:dyDescent="0.25">
      <c r="A61" s="4" t="s">
        <v>776</v>
      </c>
      <c r="B61" s="7" t="s">
        <v>376</v>
      </c>
      <c r="C61" s="2" t="s">
        <v>777</v>
      </c>
      <c r="D61">
        <f>VLOOKUP(B61,'Model allocations'!$A$1:$L$319,3,FALSE)</f>
        <v>81599.725300163249</v>
      </c>
      <c r="E61" s="32">
        <f>VLOOKUP(B61,'Initial adjusted formula count'!$A$1:$P$319,12,FALSE)</f>
        <v>0.15049504950494999</v>
      </c>
      <c r="F61">
        <f>VLOOKUP(B61,'Model allocations'!$A$1:$L$319,8,FALSE)</f>
        <v>73439.752770146923</v>
      </c>
      <c r="G61" s="31">
        <f t="shared" si="8"/>
        <v>0.9</v>
      </c>
      <c r="H61">
        <f t="shared" si="9"/>
        <v>73439.752770146923</v>
      </c>
      <c r="I61">
        <f t="shared" si="1"/>
        <v>0</v>
      </c>
      <c r="J61">
        <f t="shared" si="2"/>
        <v>73439.752770146923</v>
      </c>
      <c r="K61">
        <f t="shared" si="3"/>
        <v>73428.950228985341</v>
      </c>
      <c r="L61">
        <f t="shared" si="10"/>
        <v>73428.950228985341</v>
      </c>
      <c r="M61">
        <f t="shared" si="4"/>
        <v>73439.752770146923</v>
      </c>
      <c r="N61" s="30">
        <f t="shared" si="11"/>
        <v>0</v>
      </c>
      <c r="O61" s="30">
        <f t="shared" si="5"/>
        <v>0</v>
      </c>
      <c r="P61" s="30">
        <f t="shared" si="12"/>
        <v>73439.752770146923</v>
      </c>
      <c r="Q61">
        <f t="shared" si="13"/>
        <v>0</v>
      </c>
      <c r="R61" s="30">
        <f t="shared" si="14"/>
        <v>0</v>
      </c>
      <c r="S61" s="30">
        <f t="shared" si="6"/>
        <v>0</v>
      </c>
      <c r="T61" s="30">
        <f t="shared" si="15"/>
        <v>73439.752770146923</v>
      </c>
      <c r="U61">
        <f t="shared" si="16"/>
        <v>0</v>
      </c>
      <c r="V61" s="30">
        <f t="shared" si="17"/>
        <v>0</v>
      </c>
      <c r="W61" s="30">
        <f t="shared" si="7"/>
        <v>0</v>
      </c>
      <c r="X61" s="30">
        <f t="shared" si="18"/>
        <v>73439.752770146923</v>
      </c>
      <c r="Y61">
        <f t="shared" si="19"/>
        <v>0</v>
      </c>
    </row>
    <row r="62" spans="1:25" x14ac:dyDescent="0.25">
      <c r="A62" s="4" t="s">
        <v>778</v>
      </c>
      <c r="B62" s="7" t="s">
        <v>378</v>
      </c>
      <c r="C62" s="2" t="s">
        <v>779</v>
      </c>
      <c r="D62">
        <f>VLOOKUP(B62,'Model allocations'!$A$1:$L$319,3,FALSE)</f>
        <v>289234.66987582622</v>
      </c>
      <c r="E62" s="32">
        <f>VLOOKUP(B62,'Initial adjusted formula count'!$A$1:$P$319,12,FALSE)</f>
        <v>0.143942591810891</v>
      </c>
      <c r="F62">
        <f>VLOOKUP(B62,'Model allocations'!$A$1:$L$319,8,FALSE)</f>
        <v>293353.23351302993</v>
      </c>
      <c r="G62" s="31">
        <f t="shared" si="8"/>
        <v>0.85</v>
      </c>
      <c r="H62">
        <f t="shared" si="9"/>
        <v>245849.46939445229</v>
      </c>
      <c r="I62">
        <f t="shared" si="1"/>
        <v>0</v>
      </c>
      <c r="J62">
        <f t="shared" si="2"/>
        <v>293353.23351302993</v>
      </c>
      <c r="K62">
        <f t="shared" si="3"/>
        <v>293310.08303579694</v>
      </c>
      <c r="L62">
        <f t="shared" si="10"/>
        <v>293310.08303579694</v>
      </c>
      <c r="M62">
        <f t="shared" si="4"/>
        <v>0</v>
      </c>
      <c r="N62" s="30">
        <f t="shared" si="11"/>
        <v>293310.08303579694</v>
      </c>
      <c r="O62" s="30">
        <f t="shared" si="5"/>
        <v>293304.74324250146</v>
      </c>
      <c r="P62" s="30">
        <f t="shared" si="12"/>
        <v>293304.74324250146</v>
      </c>
      <c r="Q62">
        <f t="shared" si="13"/>
        <v>0</v>
      </c>
      <c r="R62" s="30">
        <f t="shared" si="14"/>
        <v>293304.74324250146</v>
      </c>
      <c r="S62" s="30">
        <f t="shared" si="6"/>
        <v>293304.74324250146</v>
      </c>
      <c r="T62" s="30">
        <f t="shared" si="15"/>
        <v>293304.74324250146</v>
      </c>
      <c r="U62">
        <f t="shared" si="16"/>
        <v>0</v>
      </c>
      <c r="V62" s="30">
        <f t="shared" si="17"/>
        <v>293304.74324250146</v>
      </c>
      <c r="W62" s="30">
        <f t="shared" si="7"/>
        <v>293304.74324250146</v>
      </c>
      <c r="X62" s="30">
        <f t="shared" si="18"/>
        <v>293304.74324250146</v>
      </c>
      <c r="Y62">
        <f t="shared" si="19"/>
        <v>0</v>
      </c>
    </row>
    <row r="63" spans="1:25" x14ac:dyDescent="0.25">
      <c r="A63" s="4" t="s">
        <v>780</v>
      </c>
      <c r="B63" s="7" t="s">
        <v>278</v>
      </c>
      <c r="C63" s="2" t="s">
        <v>781</v>
      </c>
      <c r="D63">
        <f>VLOOKUP(B63,'Model allocations'!$A$1:$L$319,3,FALSE)</f>
        <v>84023.479516999752</v>
      </c>
      <c r="E63" s="32">
        <f>VLOOKUP(B63,'Initial adjusted formula count'!$A$1:$P$319,12,FALSE)</f>
        <v>4.0439560439560401E-2</v>
      </c>
      <c r="F63">
        <f>VLOOKUP(B63,'Model allocations'!$A$1:$L$319,8,FALSE)</f>
        <v>79145.153909673783</v>
      </c>
      <c r="G63" s="31">
        <f t="shared" si="8"/>
        <v>0.85</v>
      </c>
      <c r="H63">
        <f t="shared" si="9"/>
        <v>71419.957589449783</v>
      </c>
      <c r="I63">
        <f t="shared" si="1"/>
        <v>0</v>
      </c>
      <c r="J63">
        <f t="shared" si="2"/>
        <v>79145.153909673783</v>
      </c>
      <c r="K63">
        <f t="shared" si="3"/>
        <v>79133.512138690086</v>
      </c>
      <c r="L63">
        <f t="shared" si="10"/>
        <v>79133.512138690086</v>
      </c>
      <c r="M63">
        <f t="shared" si="4"/>
        <v>0</v>
      </c>
      <c r="N63" s="30">
        <f t="shared" si="11"/>
        <v>79133.512138690086</v>
      </c>
      <c r="O63" s="30">
        <f t="shared" si="5"/>
        <v>79132.071490645569</v>
      </c>
      <c r="P63" s="30">
        <f t="shared" si="12"/>
        <v>79132.071490645569</v>
      </c>
      <c r="Q63">
        <f t="shared" si="13"/>
        <v>0</v>
      </c>
      <c r="R63" s="30">
        <f t="shared" si="14"/>
        <v>79132.071490645569</v>
      </c>
      <c r="S63" s="30">
        <f t="shared" si="6"/>
        <v>79132.071490645583</v>
      </c>
      <c r="T63" s="30">
        <f t="shared" si="15"/>
        <v>79132.071490645583</v>
      </c>
      <c r="U63">
        <f t="shared" si="16"/>
        <v>0</v>
      </c>
      <c r="V63" s="30">
        <f t="shared" si="17"/>
        <v>79132.071490645583</v>
      </c>
      <c r="W63" s="30">
        <f t="shared" si="7"/>
        <v>79132.071490645583</v>
      </c>
      <c r="X63" s="30">
        <f t="shared" si="18"/>
        <v>79132.071490645583</v>
      </c>
      <c r="Y63">
        <f t="shared" si="19"/>
        <v>0</v>
      </c>
    </row>
    <row r="64" spans="1:25" x14ac:dyDescent="0.25">
      <c r="A64" s="4" t="s">
        <v>782</v>
      </c>
      <c r="B64" s="7" t="s">
        <v>380</v>
      </c>
      <c r="C64" s="2" t="s">
        <v>783</v>
      </c>
      <c r="D64">
        <f>VLOOKUP(B64,'Model allocations'!$A$1:$L$319,3,FALSE)</f>
        <v>8079.1807227884419</v>
      </c>
      <c r="E64" s="32">
        <f>VLOOKUP(B64,'Initial adjusted formula count'!$A$1:$P$319,12,FALSE)</f>
        <v>2.7027027027027001E-2</v>
      </c>
      <c r="F64">
        <f>VLOOKUP(B64,'Model allocations'!$A$1:$L$319,8,FALSE)</f>
        <v>0</v>
      </c>
      <c r="G64" s="31">
        <f t="shared" si="8"/>
        <v>0.85</v>
      </c>
      <c r="H64">
        <f t="shared" si="9"/>
        <v>0</v>
      </c>
      <c r="I64">
        <f t="shared" si="1"/>
        <v>0</v>
      </c>
      <c r="J64">
        <f t="shared" si="2"/>
        <v>0</v>
      </c>
      <c r="K64">
        <f t="shared" si="3"/>
        <v>0</v>
      </c>
      <c r="L64">
        <f t="shared" si="10"/>
        <v>0</v>
      </c>
      <c r="M64">
        <f t="shared" si="4"/>
        <v>0</v>
      </c>
      <c r="N64" s="30">
        <f t="shared" si="11"/>
        <v>0</v>
      </c>
      <c r="O64" s="30">
        <f t="shared" si="5"/>
        <v>0</v>
      </c>
      <c r="P64" s="30">
        <f t="shared" si="12"/>
        <v>0</v>
      </c>
      <c r="Q64">
        <f t="shared" si="13"/>
        <v>0</v>
      </c>
      <c r="R64" s="30">
        <f t="shared" si="14"/>
        <v>0</v>
      </c>
      <c r="S64" s="30">
        <f t="shared" si="6"/>
        <v>0</v>
      </c>
      <c r="T64" s="30">
        <f t="shared" si="15"/>
        <v>0</v>
      </c>
      <c r="U64">
        <f t="shared" si="16"/>
        <v>0</v>
      </c>
      <c r="V64" s="30">
        <f t="shared" si="17"/>
        <v>0</v>
      </c>
      <c r="W64" s="30">
        <f t="shared" si="7"/>
        <v>0</v>
      </c>
      <c r="X64" s="30">
        <f t="shared" si="18"/>
        <v>0</v>
      </c>
      <c r="Y64">
        <f t="shared" si="19"/>
        <v>0</v>
      </c>
    </row>
    <row r="65" spans="1:25" x14ac:dyDescent="0.25">
      <c r="A65" s="4" t="s">
        <v>784</v>
      </c>
      <c r="B65" s="7" t="s">
        <v>382</v>
      </c>
      <c r="C65" s="2" t="s">
        <v>785</v>
      </c>
      <c r="D65">
        <f>VLOOKUP(B65,'Model allocations'!$A$1:$L$319,3,FALSE)</f>
        <v>604966.99753942213</v>
      </c>
      <c r="E65" s="32">
        <f>VLOOKUP(B65,'Initial adjusted formula count'!$A$1:$P$319,12,FALSE)</f>
        <v>0.17653344731780299</v>
      </c>
      <c r="F65">
        <f>VLOOKUP(B65,'Model allocations'!$A$1:$L$319,8,FALSE)</f>
        <v>710585.83836294094</v>
      </c>
      <c r="G65" s="31">
        <f t="shared" si="8"/>
        <v>0.9</v>
      </c>
      <c r="H65">
        <f t="shared" si="9"/>
        <v>544470.29778547992</v>
      </c>
      <c r="I65">
        <f t="shared" si="1"/>
        <v>0</v>
      </c>
      <c r="J65">
        <f t="shared" si="2"/>
        <v>710585.83836294094</v>
      </c>
      <c r="K65">
        <f t="shared" si="3"/>
        <v>710481.31550606573</v>
      </c>
      <c r="L65">
        <f t="shared" si="10"/>
        <v>710481.31550606573</v>
      </c>
      <c r="M65">
        <f t="shared" si="4"/>
        <v>0</v>
      </c>
      <c r="N65" s="30">
        <f t="shared" si="11"/>
        <v>710481.31550606573</v>
      </c>
      <c r="O65" s="30">
        <f t="shared" si="5"/>
        <v>710468.38099210081</v>
      </c>
      <c r="P65" s="30">
        <f t="shared" si="12"/>
        <v>710468.38099210081</v>
      </c>
      <c r="Q65">
        <f t="shared" si="13"/>
        <v>0</v>
      </c>
      <c r="R65" s="30">
        <f t="shared" si="14"/>
        <v>710468.38099210081</v>
      </c>
      <c r="S65" s="30">
        <f t="shared" si="6"/>
        <v>710468.38099210092</v>
      </c>
      <c r="T65" s="30">
        <f t="shared" si="15"/>
        <v>710468.38099210092</v>
      </c>
      <c r="U65">
        <f t="shared" si="16"/>
        <v>0</v>
      </c>
      <c r="V65" s="30">
        <f t="shared" si="17"/>
        <v>710468.38099210092</v>
      </c>
      <c r="W65" s="30">
        <f t="shared" si="7"/>
        <v>710468.38099210104</v>
      </c>
      <c r="X65" s="30">
        <f t="shared" si="18"/>
        <v>710468.38099210104</v>
      </c>
      <c r="Y65">
        <f t="shared" si="19"/>
        <v>0</v>
      </c>
    </row>
    <row r="66" spans="1:25" x14ac:dyDescent="0.25">
      <c r="A66" s="4" t="s">
        <v>786</v>
      </c>
      <c r="B66" s="7" t="s">
        <v>384</v>
      </c>
      <c r="C66" s="2" t="s">
        <v>787</v>
      </c>
      <c r="D66">
        <f>VLOOKUP(B66,'Model allocations'!$A$1:$L$319,3,FALSE)</f>
        <v>369218.55903143174</v>
      </c>
      <c r="E66" s="32">
        <f>VLOOKUP(B66,'Initial adjusted formula count'!$A$1:$P$319,12,FALSE)</f>
        <v>0.11726659167604001</v>
      </c>
      <c r="F66">
        <f>VLOOKUP(B66,'Model allocations'!$A$1:$L$319,8,FALSE)</f>
        <v>358734.01282971707</v>
      </c>
      <c r="G66" s="31">
        <f t="shared" si="8"/>
        <v>0.85</v>
      </c>
      <c r="H66">
        <f t="shared" si="9"/>
        <v>313835.77517671697</v>
      </c>
      <c r="I66">
        <f t="shared" si="1"/>
        <v>0</v>
      </c>
      <c r="J66">
        <f t="shared" si="2"/>
        <v>358734.01282971707</v>
      </c>
      <c r="K66">
        <f t="shared" si="3"/>
        <v>358681.24523732357</v>
      </c>
      <c r="L66">
        <f t="shared" si="10"/>
        <v>358681.24523732357</v>
      </c>
      <c r="M66">
        <f t="shared" si="4"/>
        <v>0</v>
      </c>
      <c r="N66" s="30">
        <f t="shared" si="11"/>
        <v>358681.24523732357</v>
      </c>
      <c r="O66" s="30">
        <f t="shared" si="5"/>
        <v>358674.71534346958</v>
      </c>
      <c r="P66" s="30">
        <f t="shared" si="12"/>
        <v>358674.71534346958</v>
      </c>
      <c r="Q66">
        <f t="shared" si="13"/>
        <v>0</v>
      </c>
      <c r="R66" s="30">
        <f t="shared" si="14"/>
        <v>358674.71534346958</v>
      </c>
      <c r="S66" s="30">
        <f t="shared" si="6"/>
        <v>358674.71534346964</v>
      </c>
      <c r="T66" s="30">
        <f t="shared" si="15"/>
        <v>358674.71534346964</v>
      </c>
      <c r="U66">
        <f t="shared" si="16"/>
        <v>0</v>
      </c>
      <c r="V66" s="30">
        <f t="shared" si="17"/>
        <v>358674.71534346964</v>
      </c>
      <c r="W66" s="30">
        <f t="shared" si="7"/>
        <v>358674.7153434697</v>
      </c>
      <c r="X66" s="30">
        <f t="shared" si="18"/>
        <v>358674.7153434697</v>
      </c>
      <c r="Y66">
        <f t="shared" si="19"/>
        <v>0</v>
      </c>
    </row>
    <row r="67" spans="1:25" x14ac:dyDescent="0.25">
      <c r="A67" s="4" t="s">
        <v>788</v>
      </c>
      <c r="B67" s="7" t="s">
        <v>386</v>
      </c>
      <c r="C67" s="2" t="s">
        <v>789</v>
      </c>
      <c r="D67">
        <f>VLOOKUP(B67,'Model allocations'!$A$1:$L$319,3,FALSE)</f>
        <v>550192.20722189278</v>
      </c>
      <c r="E67" s="32">
        <f>VLOOKUP(B67,'Initial adjusted formula count'!$A$1:$P$319,12,FALSE)</f>
        <v>9.6442687747035599E-2</v>
      </c>
      <c r="F67">
        <f>VLOOKUP(B67,'Model allocations'!$A$1:$L$319,8,FALSE)</f>
        <v>524766.78135761968</v>
      </c>
      <c r="G67" s="31">
        <f t="shared" si="8"/>
        <v>0.85</v>
      </c>
      <c r="H67">
        <f t="shared" si="9"/>
        <v>467663.37613860884</v>
      </c>
      <c r="I67">
        <f t="shared" si="1"/>
        <v>0</v>
      </c>
      <c r="J67">
        <f t="shared" si="2"/>
        <v>524766.78135761968</v>
      </c>
      <c r="K67">
        <f t="shared" si="3"/>
        <v>524689.59135435824</v>
      </c>
      <c r="L67">
        <f t="shared" si="10"/>
        <v>524689.59135435824</v>
      </c>
      <c r="M67">
        <f t="shared" si="4"/>
        <v>0</v>
      </c>
      <c r="N67" s="30">
        <f t="shared" si="11"/>
        <v>524689.59135435824</v>
      </c>
      <c r="O67" s="30">
        <f t="shared" si="5"/>
        <v>524680.03923145437</v>
      </c>
      <c r="P67" s="30">
        <f t="shared" si="12"/>
        <v>524680.03923145437</v>
      </c>
      <c r="Q67">
        <f t="shared" si="13"/>
        <v>0</v>
      </c>
      <c r="R67" s="30">
        <f t="shared" si="14"/>
        <v>524680.03923145437</v>
      </c>
      <c r="S67" s="30">
        <f t="shared" si="6"/>
        <v>524680.03923145449</v>
      </c>
      <c r="T67" s="30">
        <f t="shared" si="15"/>
        <v>524680.03923145449</v>
      </c>
      <c r="U67">
        <f t="shared" si="16"/>
        <v>0</v>
      </c>
      <c r="V67" s="30">
        <f t="shared" si="17"/>
        <v>524680.03923145449</v>
      </c>
      <c r="W67" s="30">
        <f t="shared" si="7"/>
        <v>524680.03923145449</v>
      </c>
      <c r="X67" s="30">
        <f t="shared" si="18"/>
        <v>524680.03923145449</v>
      </c>
      <c r="Y67">
        <f t="shared" si="19"/>
        <v>0</v>
      </c>
    </row>
    <row r="68" spans="1:25" x14ac:dyDescent="0.25">
      <c r="A68" s="4" t="s">
        <v>790</v>
      </c>
      <c r="B68" s="7" t="s">
        <v>121</v>
      </c>
      <c r="C68" s="2" t="s">
        <v>791</v>
      </c>
      <c r="D68">
        <f>VLOOKUP(B68,'Model allocations'!$A$1:$L$319,3,FALSE)</f>
        <v>9695.0168673461303</v>
      </c>
      <c r="E68" s="32">
        <f>VLOOKUP(B68,'Initial adjusted formula count'!$A$1:$P$319,12,FALSE)</f>
        <v>4.6666666666666697E-2</v>
      </c>
      <c r="F68">
        <f>VLOOKUP(B68,'Model allocations'!$A$1:$L$319,8,FALSE)</f>
        <v>0</v>
      </c>
      <c r="G68" s="31">
        <f t="shared" si="8"/>
        <v>0.85</v>
      </c>
      <c r="H68">
        <f t="shared" si="9"/>
        <v>0</v>
      </c>
      <c r="I68">
        <f t="shared" ref="I68:I131" si="20">IF(F68&lt;H68,H68,0)</f>
        <v>0</v>
      </c>
      <c r="J68">
        <f t="shared" ref="J68:J131" si="21">IF(I68=0,F68,0)</f>
        <v>0</v>
      </c>
      <c r="K68">
        <f t="shared" ref="K68:K131" si="22">(J68/$J$3)*($F$3-$I$3)</f>
        <v>0</v>
      </c>
      <c r="L68">
        <f t="shared" si="10"/>
        <v>0</v>
      </c>
      <c r="M68">
        <f t="shared" ref="M68:M131" si="23">IF(L68&lt;H68,H68,0)</f>
        <v>0</v>
      </c>
      <c r="N68" s="30">
        <f t="shared" si="11"/>
        <v>0</v>
      </c>
      <c r="O68" s="30">
        <f t="shared" ref="O68:O131" si="24">((N68/$N$3)*($F$3-$I$3-$M$3))</f>
        <v>0</v>
      </c>
      <c r="P68" s="30">
        <f t="shared" si="12"/>
        <v>0</v>
      </c>
      <c r="Q68">
        <f t="shared" si="13"/>
        <v>0</v>
      </c>
      <c r="R68" s="30">
        <f t="shared" si="14"/>
        <v>0</v>
      </c>
      <c r="S68" s="30">
        <f t="shared" ref="S68:S131" si="25">((R68/$R$3)*($F$3-$I$3-$M$3-$Q$3))</f>
        <v>0</v>
      </c>
      <c r="T68" s="30">
        <f t="shared" si="15"/>
        <v>0</v>
      </c>
      <c r="U68">
        <f t="shared" si="16"/>
        <v>0</v>
      </c>
      <c r="V68" s="30">
        <f t="shared" si="17"/>
        <v>0</v>
      </c>
      <c r="W68" s="30">
        <f t="shared" ref="W68:W131" si="26">((V68/$V$3)*($F$3-$I$3-$M$3-$Q$3-$U$3))</f>
        <v>0</v>
      </c>
      <c r="X68" s="30">
        <f t="shared" si="18"/>
        <v>0</v>
      </c>
      <c r="Y68">
        <f t="shared" si="19"/>
        <v>0</v>
      </c>
    </row>
    <row r="69" spans="1:25" x14ac:dyDescent="0.25">
      <c r="A69" s="4" t="s">
        <v>792</v>
      </c>
      <c r="B69" s="7" t="s">
        <v>123</v>
      </c>
      <c r="C69" s="2" t="s">
        <v>793</v>
      </c>
      <c r="D69">
        <f>VLOOKUP(B69,'Model allocations'!$A$1:$L$319,3,FALSE)</f>
        <v>175318.22168450913</v>
      </c>
      <c r="E69" s="32">
        <f>VLOOKUP(B69,'Initial adjusted formula count'!$A$1:$P$319,12,FALSE)</f>
        <v>8.4845735027223201E-2</v>
      </c>
      <c r="F69">
        <f>VLOOKUP(B69,'Model allocations'!$A$1:$L$319,8,FALSE)</f>
        <v>160871.12805553249</v>
      </c>
      <c r="G69" s="31">
        <f t="shared" ref="G69:G132" si="27">IF(E69&lt;0.15,0.85,IF(AND(E69&gt;=0.15,E69&lt;0.3),0.9,0.95))</f>
        <v>0.85</v>
      </c>
      <c r="H69">
        <f t="shared" ref="H69:H132" si="28">IF(F69 = 0, 0, D69*G69)</f>
        <v>149020.48843183275</v>
      </c>
      <c r="I69">
        <f t="shared" si="20"/>
        <v>0</v>
      </c>
      <c r="J69">
        <f t="shared" si="21"/>
        <v>160871.12805553249</v>
      </c>
      <c r="K69">
        <f t="shared" si="22"/>
        <v>160847.46489059823</v>
      </c>
      <c r="L69">
        <f t="shared" ref="L69:L132" si="29">I69+K69</f>
        <v>160847.46489059823</v>
      </c>
      <c r="M69">
        <f t="shared" si="23"/>
        <v>0</v>
      </c>
      <c r="N69" s="30">
        <f t="shared" ref="N69:N132" si="30">IF($I69+$M69=0,L69,0)</f>
        <v>160847.46489059823</v>
      </c>
      <c r="O69" s="30">
        <f t="shared" si="24"/>
        <v>160844.53661685556</v>
      </c>
      <c r="P69" s="30">
        <f t="shared" ref="P69:P132" si="31">$I69+$M69+O69</f>
        <v>160844.53661685556</v>
      </c>
      <c r="Q69">
        <f t="shared" ref="Q69:Q132" si="32">IF(P69&lt;H69,H69,0)</f>
        <v>0</v>
      </c>
      <c r="R69" s="30">
        <f t="shared" ref="R69:R132" si="33">IF($I69+$M69+$Q69=0,P69,0)</f>
        <v>160844.53661685556</v>
      </c>
      <c r="S69" s="30">
        <f t="shared" si="25"/>
        <v>160844.53661685559</v>
      </c>
      <c r="T69" s="30">
        <f t="shared" ref="T69:T132" si="34">$I69+$M69+$Q69+S69</f>
        <v>160844.53661685559</v>
      </c>
      <c r="U69">
        <f t="shared" ref="U69:U132" si="35">IF(T69&lt;H69,H69,0)</f>
        <v>0</v>
      </c>
      <c r="V69" s="30">
        <f t="shared" ref="V69:V132" si="36">IF($I69+$M69+$Q69+U69=0,T69,0)</f>
        <v>160844.53661685559</v>
      </c>
      <c r="W69" s="30">
        <f t="shared" si="26"/>
        <v>160844.53661685562</v>
      </c>
      <c r="X69" s="30">
        <f t="shared" ref="X69:X132" si="37">$I69+$M69+$Q69+$U69+W69</f>
        <v>160844.53661685562</v>
      </c>
      <c r="Y69">
        <f t="shared" ref="Y69:Y132" si="38">IF(X69&lt;H69,H69,0)</f>
        <v>0</v>
      </c>
    </row>
    <row r="70" spans="1:25" x14ac:dyDescent="0.25">
      <c r="A70" s="4" t="s">
        <v>794</v>
      </c>
      <c r="B70" s="7" t="s">
        <v>125</v>
      </c>
      <c r="C70" s="2" t="s">
        <v>795</v>
      </c>
      <c r="D70">
        <f>VLOOKUP(B70,'Model allocations'!$A$1:$L$319,3,FALSE)</f>
        <v>1562513.551787284</v>
      </c>
      <c r="E70" s="32">
        <f>VLOOKUP(B70,'Initial adjusted formula count'!$A$1:$P$319,12,FALSE)</f>
        <v>8.7055136294280203E-2</v>
      </c>
      <c r="F70">
        <f>VLOOKUP(B70,'Model allocations'!$A$1:$L$319,8,FALSE)</f>
        <v>1816037.172862188</v>
      </c>
      <c r="G70" s="31">
        <f t="shared" si="27"/>
        <v>0.85</v>
      </c>
      <c r="H70">
        <f t="shared" si="28"/>
        <v>1328136.5190191914</v>
      </c>
      <c r="I70">
        <f t="shared" si="20"/>
        <v>0</v>
      </c>
      <c r="J70">
        <f t="shared" si="21"/>
        <v>1816037.172862188</v>
      </c>
      <c r="K70">
        <f t="shared" si="22"/>
        <v>1815770.0448345079</v>
      </c>
      <c r="L70">
        <f t="shared" si="29"/>
        <v>1815770.0448345079</v>
      </c>
      <c r="M70">
        <f t="shared" si="23"/>
        <v>0</v>
      </c>
      <c r="N70" s="30">
        <f t="shared" si="30"/>
        <v>1815770.0448345079</v>
      </c>
      <c r="O70" s="30">
        <f t="shared" si="24"/>
        <v>1815736.9882255732</v>
      </c>
      <c r="P70" s="30">
        <f t="shared" si="31"/>
        <v>1815736.9882255732</v>
      </c>
      <c r="Q70">
        <f t="shared" si="32"/>
        <v>0</v>
      </c>
      <c r="R70" s="30">
        <f t="shared" si="33"/>
        <v>1815736.9882255732</v>
      </c>
      <c r="S70" s="30">
        <f t="shared" si="25"/>
        <v>1815736.9882255732</v>
      </c>
      <c r="T70" s="30">
        <f t="shared" si="34"/>
        <v>1815736.9882255732</v>
      </c>
      <c r="U70">
        <f t="shared" si="35"/>
        <v>0</v>
      </c>
      <c r="V70" s="30">
        <f t="shared" si="36"/>
        <v>1815736.9882255732</v>
      </c>
      <c r="W70" s="30">
        <f t="shared" si="26"/>
        <v>1815736.9882255732</v>
      </c>
      <c r="X70" s="30">
        <f t="shared" si="37"/>
        <v>1815736.9882255732</v>
      </c>
      <c r="Y70">
        <f t="shared" si="38"/>
        <v>0</v>
      </c>
    </row>
    <row r="71" spans="1:25" x14ac:dyDescent="0.25">
      <c r="A71" s="4" t="s">
        <v>796</v>
      </c>
      <c r="B71" s="7" t="s">
        <v>388</v>
      </c>
      <c r="C71" s="2" t="s">
        <v>797</v>
      </c>
      <c r="D71">
        <f>VLOOKUP(B71,'Model allocations'!$A$1:$L$319,3,FALSE)</f>
        <v>366794.80481459515</v>
      </c>
      <c r="E71" s="32">
        <f>VLOOKUP(B71,'Initial adjusted formula count'!$A$1:$P$319,12,FALSE)</f>
        <v>0.112334180073384</v>
      </c>
      <c r="F71">
        <f>VLOOKUP(B71,'Model allocations'!$A$1:$L$319,8,FALSE)</f>
        <v>342388.81800054532</v>
      </c>
      <c r="G71" s="31">
        <f t="shared" si="27"/>
        <v>0.85</v>
      </c>
      <c r="H71">
        <f t="shared" si="28"/>
        <v>311775.58409240586</v>
      </c>
      <c r="I71">
        <f t="shared" si="20"/>
        <v>0</v>
      </c>
      <c r="J71">
        <f t="shared" si="21"/>
        <v>342388.81800054532</v>
      </c>
      <c r="K71">
        <f t="shared" si="22"/>
        <v>342338.45468694199</v>
      </c>
      <c r="L71">
        <f t="shared" si="29"/>
        <v>342338.45468694199</v>
      </c>
      <c r="M71">
        <f t="shared" si="23"/>
        <v>0</v>
      </c>
      <c r="N71" s="30">
        <f t="shared" si="30"/>
        <v>342338.45468694199</v>
      </c>
      <c r="O71" s="30">
        <f t="shared" si="24"/>
        <v>342332.22231822764</v>
      </c>
      <c r="P71" s="30">
        <f t="shared" si="31"/>
        <v>342332.22231822764</v>
      </c>
      <c r="Q71">
        <f t="shared" si="32"/>
        <v>0</v>
      </c>
      <c r="R71" s="30">
        <f t="shared" si="33"/>
        <v>342332.22231822764</v>
      </c>
      <c r="S71" s="30">
        <f t="shared" si="25"/>
        <v>342332.22231822769</v>
      </c>
      <c r="T71" s="30">
        <f t="shared" si="34"/>
        <v>342332.22231822769</v>
      </c>
      <c r="U71">
        <f t="shared" si="35"/>
        <v>0</v>
      </c>
      <c r="V71" s="30">
        <f t="shared" si="36"/>
        <v>342332.22231822769</v>
      </c>
      <c r="W71" s="30">
        <f t="shared" si="26"/>
        <v>342332.22231822775</v>
      </c>
      <c r="X71" s="30">
        <f t="shared" si="37"/>
        <v>342332.22231822775</v>
      </c>
      <c r="Y71">
        <f t="shared" si="38"/>
        <v>0</v>
      </c>
    </row>
    <row r="72" spans="1:25" x14ac:dyDescent="0.25">
      <c r="A72" s="4" t="s">
        <v>798</v>
      </c>
      <c r="B72" s="7" t="s">
        <v>390</v>
      </c>
      <c r="C72" s="2" t="s">
        <v>799</v>
      </c>
      <c r="D72">
        <f>VLOOKUP(B72,'Model allocations'!$A$1:$L$319,3,FALSE)</f>
        <v>235912.07710542248</v>
      </c>
      <c r="E72" s="32">
        <f>VLOOKUP(B72,'Initial adjusted formula count'!$A$1:$P$319,12,FALSE)</f>
        <v>0.20969773299748101</v>
      </c>
      <c r="F72">
        <f>VLOOKUP(B72,'Model allocations'!$A$1:$L$319,8,FALSE)</f>
        <v>286471.04621653655</v>
      </c>
      <c r="G72" s="31">
        <f t="shared" si="27"/>
        <v>0.9</v>
      </c>
      <c r="H72">
        <f t="shared" si="28"/>
        <v>212320.86939488022</v>
      </c>
      <c r="I72">
        <f t="shared" si="20"/>
        <v>0</v>
      </c>
      <c r="J72">
        <f t="shared" si="21"/>
        <v>286471.04621653655</v>
      </c>
      <c r="K72">
        <f t="shared" si="22"/>
        <v>286428.90806721512</v>
      </c>
      <c r="L72">
        <f t="shared" si="29"/>
        <v>286428.90806721512</v>
      </c>
      <c r="M72">
        <f t="shared" si="23"/>
        <v>0</v>
      </c>
      <c r="N72" s="30">
        <f t="shared" si="30"/>
        <v>286428.90806721512</v>
      </c>
      <c r="O72" s="30">
        <f t="shared" si="24"/>
        <v>286423.6935476627</v>
      </c>
      <c r="P72" s="30">
        <f t="shared" si="31"/>
        <v>286423.6935476627</v>
      </c>
      <c r="Q72">
        <f t="shared" si="32"/>
        <v>0</v>
      </c>
      <c r="R72" s="30">
        <f t="shared" si="33"/>
        <v>286423.6935476627</v>
      </c>
      <c r="S72" s="30">
        <f t="shared" si="25"/>
        <v>286423.69354766276</v>
      </c>
      <c r="T72" s="30">
        <f t="shared" si="34"/>
        <v>286423.69354766276</v>
      </c>
      <c r="U72">
        <f t="shared" si="35"/>
        <v>0</v>
      </c>
      <c r="V72" s="30">
        <f t="shared" si="36"/>
        <v>286423.69354766276</v>
      </c>
      <c r="W72" s="30">
        <f t="shared" si="26"/>
        <v>286423.69354766276</v>
      </c>
      <c r="X72" s="30">
        <f t="shared" si="37"/>
        <v>286423.69354766276</v>
      </c>
      <c r="Y72">
        <f t="shared" si="38"/>
        <v>0</v>
      </c>
    </row>
    <row r="73" spans="1:25" x14ac:dyDescent="0.25">
      <c r="A73" s="4" t="s">
        <v>800</v>
      </c>
      <c r="B73" s="7" t="s">
        <v>392</v>
      </c>
      <c r="C73" s="2" t="s">
        <v>801</v>
      </c>
      <c r="D73">
        <f>VLOOKUP(B73,'Model allocations'!$A$1:$L$319,3,FALSE)</f>
        <v>17888.809067025919</v>
      </c>
      <c r="E73" s="32">
        <f>VLOOKUP(B73,'Initial adjusted formula count'!$A$1:$P$319,12,FALSE)</f>
        <v>0.195402298850575</v>
      </c>
      <c r="F73">
        <f>VLOOKUP(B73,'Model allocations'!$A$1:$L$319,8,FALSE)</f>
        <v>16099.928160323327</v>
      </c>
      <c r="G73" s="31">
        <f t="shared" si="27"/>
        <v>0.9</v>
      </c>
      <c r="H73">
        <f t="shared" si="28"/>
        <v>16099.928160323327</v>
      </c>
      <c r="I73">
        <f t="shared" si="20"/>
        <v>0</v>
      </c>
      <c r="J73">
        <f t="shared" si="21"/>
        <v>16099.928160323327</v>
      </c>
      <c r="K73">
        <f t="shared" si="22"/>
        <v>16097.559958769127</v>
      </c>
      <c r="L73">
        <f t="shared" si="29"/>
        <v>16097.559958769127</v>
      </c>
      <c r="M73">
        <f t="shared" si="23"/>
        <v>16099.928160323327</v>
      </c>
      <c r="N73" s="30">
        <f t="shared" si="30"/>
        <v>0</v>
      </c>
      <c r="O73" s="30">
        <f t="shared" si="24"/>
        <v>0</v>
      </c>
      <c r="P73" s="30">
        <f t="shared" si="31"/>
        <v>16099.928160323327</v>
      </c>
      <c r="Q73">
        <f t="shared" si="32"/>
        <v>0</v>
      </c>
      <c r="R73" s="30">
        <f t="shared" si="33"/>
        <v>0</v>
      </c>
      <c r="S73" s="30">
        <f t="shared" si="25"/>
        <v>0</v>
      </c>
      <c r="T73" s="30">
        <f t="shared" si="34"/>
        <v>16099.928160323327</v>
      </c>
      <c r="U73">
        <f t="shared" si="35"/>
        <v>0</v>
      </c>
      <c r="V73" s="30">
        <f t="shared" si="36"/>
        <v>0</v>
      </c>
      <c r="W73" s="30">
        <f t="shared" si="26"/>
        <v>0</v>
      </c>
      <c r="X73" s="30">
        <f t="shared" si="37"/>
        <v>16099.928160323327</v>
      </c>
      <c r="Y73">
        <f t="shared" si="38"/>
        <v>0</v>
      </c>
    </row>
    <row r="74" spans="1:25" x14ac:dyDescent="0.25">
      <c r="A74" s="4" t="s">
        <v>802</v>
      </c>
      <c r="B74" s="7" t="s">
        <v>394</v>
      </c>
      <c r="C74" s="2" t="s">
        <v>803</v>
      </c>
      <c r="D74">
        <f>VLOOKUP(B74,'Model allocations'!$A$1:$L$319,3,FALSE)</f>
        <v>54130.510842682546</v>
      </c>
      <c r="E74" s="32">
        <f>VLOOKUP(B74,'Initial adjusted formula count'!$A$1:$P$319,12,FALSE)</f>
        <v>0.17733990147783299</v>
      </c>
      <c r="F74">
        <f>VLOOKUP(B74,'Model allocations'!$A$1:$L$319,8,FALSE)</f>
        <v>61939.685668440361</v>
      </c>
      <c r="G74" s="31">
        <f t="shared" si="27"/>
        <v>0.9</v>
      </c>
      <c r="H74">
        <f t="shared" si="28"/>
        <v>48717.45975841429</v>
      </c>
      <c r="I74">
        <f t="shared" si="20"/>
        <v>0</v>
      </c>
      <c r="J74">
        <f t="shared" si="21"/>
        <v>61939.685668440361</v>
      </c>
      <c r="K74">
        <f t="shared" si="22"/>
        <v>61930.57471723573</v>
      </c>
      <c r="L74">
        <f t="shared" si="29"/>
        <v>61930.57471723573</v>
      </c>
      <c r="M74">
        <f t="shared" si="23"/>
        <v>0</v>
      </c>
      <c r="N74" s="30">
        <f t="shared" si="30"/>
        <v>61930.57471723573</v>
      </c>
      <c r="O74" s="30">
        <f t="shared" si="24"/>
        <v>61929.447253548708</v>
      </c>
      <c r="P74" s="30">
        <f t="shared" si="31"/>
        <v>61929.447253548708</v>
      </c>
      <c r="Q74">
        <f t="shared" si="32"/>
        <v>0</v>
      </c>
      <c r="R74" s="30">
        <f t="shared" si="33"/>
        <v>61929.447253548708</v>
      </c>
      <c r="S74" s="30">
        <f t="shared" si="25"/>
        <v>61929.447253548722</v>
      </c>
      <c r="T74" s="30">
        <f t="shared" si="34"/>
        <v>61929.447253548722</v>
      </c>
      <c r="U74">
        <f t="shared" si="35"/>
        <v>0</v>
      </c>
      <c r="V74" s="30">
        <f t="shared" si="36"/>
        <v>61929.447253548722</v>
      </c>
      <c r="W74" s="30">
        <f t="shared" si="26"/>
        <v>61929.447253548729</v>
      </c>
      <c r="X74" s="30">
        <f t="shared" si="37"/>
        <v>61929.447253548729</v>
      </c>
      <c r="Y74">
        <f t="shared" si="38"/>
        <v>0</v>
      </c>
    </row>
    <row r="75" spans="1:25" x14ac:dyDescent="0.25">
      <c r="A75" s="4" t="s">
        <v>804</v>
      </c>
      <c r="B75" s="7" t="s">
        <v>127</v>
      </c>
      <c r="C75" s="2" t="s">
        <v>805</v>
      </c>
      <c r="D75">
        <f>VLOOKUP(B75,'Model allocations'!$A$1:$L$319,3,FALSE)</f>
        <v>286002.99758671084</v>
      </c>
      <c r="E75" s="32">
        <f>VLOOKUP(B75,'Initial adjusted formula count'!$A$1:$P$319,12,FALSE)</f>
        <v>6.3706563706563704E-2</v>
      </c>
      <c r="F75">
        <f>VLOOKUP(B75,'Model allocations'!$A$1:$L$319,8,FALSE)</f>
        <v>255501.20338231648</v>
      </c>
      <c r="G75" s="31">
        <f t="shared" si="27"/>
        <v>0.85</v>
      </c>
      <c r="H75">
        <f t="shared" si="28"/>
        <v>243102.54794870422</v>
      </c>
      <c r="I75">
        <f t="shared" si="20"/>
        <v>0</v>
      </c>
      <c r="J75">
        <f t="shared" si="21"/>
        <v>255501.20338231648</v>
      </c>
      <c r="K75">
        <f t="shared" si="22"/>
        <v>255463.62070859742</v>
      </c>
      <c r="L75">
        <f t="shared" si="29"/>
        <v>255463.62070859742</v>
      </c>
      <c r="M75">
        <f t="shared" si="23"/>
        <v>0</v>
      </c>
      <c r="N75" s="30">
        <f t="shared" si="30"/>
        <v>255463.62070859742</v>
      </c>
      <c r="O75" s="30">
        <f t="shared" si="24"/>
        <v>255458.96992088848</v>
      </c>
      <c r="P75" s="30">
        <f t="shared" si="31"/>
        <v>255458.96992088848</v>
      </c>
      <c r="Q75">
        <f t="shared" si="32"/>
        <v>0</v>
      </c>
      <c r="R75" s="30">
        <f t="shared" si="33"/>
        <v>255458.96992088848</v>
      </c>
      <c r="S75" s="30">
        <f t="shared" si="25"/>
        <v>255458.96992088851</v>
      </c>
      <c r="T75" s="30">
        <f t="shared" si="34"/>
        <v>255458.96992088851</v>
      </c>
      <c r="U75">
        <f t="shared" si="35"/>
        <v>0</v>
      </c>
      <c r="V75" s="30">
        <f t="shared" si="36"/>
        <v>255458.96992088851</v>
      </c>
      <c r="W75" s="30">
        <f t="shared" si="26"/>
        <v>255458.96992088857</v>
      </c>
      <c r="X75" s="30">
        <f t="shared" si="37"/>
        <v>255458.96992088857</v>
      </c>
      <c r="Y75">
        <f t="shared" si="38"/>
        <v>0</v>
      </c>
    </row>
    <row r="76" spans="1:25" x14ac:dyDescent="0.25">
      <c r="A76" s="4" t="s">
        <v>806</v>
      </c>
      <c r="B76" s="7" t="s">
        <v>396</v>
      </c>
      <c r="C76" s="2" t="s">
        <v>807</v>
      </c>
      <c r="D76">
        <f>VLOOKUP(B76,'Model allocations'!$A$1:$L$319,3,FALSE)</f>
        <v>283579.24336987437</v>
      </c>
      <c r="E76" s="32">
        <f>VLOOKUP(B76,'Initial adjusted formula count'!$A$1:$P$319,12,FALSE)</f>
        <v>0.16247848537005199</v>
      </c>
      <c r="F76">
        <f>VLOOKUP(B76,'Model allocations'!$A$1:$L$319,8,FALSE)</f>
        <v>406049.05049310898</v>
      </c>
      <c r="G76" s="31">
        <f t="shared" si="27"/>
        <v>0.9</v>
      </c>
      <c r="H76">
        <f t="shared" si="28"/>
        <v>255221.31903288694</v>
      </c>
      <c r="I76">
        <f t="shared" si="20"/>
        <v>0</v>
      </c>
      <c r="J76">
        <f t="shared" si="21"/>
        <v>406049.05049310898</v>
      </c>
      <c r="K76">
        <f t="shared" si="22"/>
        <v>405989.32314632309</v>
      </c>
      <c r="L76">
        <f t="shared" si="29"/>
        <v>405989.32314632309</v>
      </c>
      <c r="M76">
        <f t="shared" si="23"/>
        <v>0</v>
      </c>
      <c r="N76" s="30">
        <f t="shared" si="30"/>
        <v>405989.32314632309</v>
      </c>
      <c r="O76" s="30">
        <f t="shared" si="24"/>
        <v>405981.93199548597</v>
      </c>
      <c r="P76" s="30">
        <f t="shared" si="31"/>
        <v>405981.93199548597</v>
      </c>
      <c r="Q76">
        <f t="shared" si="32"/>
        <v>0</v>
      </c>
      <c r="R76" s="30">
        <f t="shared" si="33"/>
        <v>405981.93199548597</v>
      </c>
      <c r="S76" s="30">
        <f t="shared" si="25"/>
        <v>405981.93199548603</v>
      </c>
      <c r="T76" s="30">
        <f t="shared" si="34"/>
        <v>405981.93199548603</v>
      </c>
      <c r="U76">
        <f t="shared" si="35"/>
        <v>0</v>
      </c>
      <c r="V76" s="30">
        <f t="shared" si="36"/>
        <v>405981.93199548603</v>
      </c>
      <c r="W76" s="30">
        <f t="shared" si="26"/>
        <v>405981.93199548608</v>
      </c>
      <c r="X76" s="30">
        <f t="shared" si="37"/>
        <v>405981.93199548608</v>
      </c>
      <c r="Y76">
        <f t="shared" si="38"/>
        <v>0</v>
      </c>
    </row>
    <row r="77" spans="1:25" x14ac:dyDescent="0.25">
      <c r="A77" s="4" t="s">
        <v>808</v>
      </c>
      <c r="B77" s="7" t="s">
        <v>398</v>
      </c>
      <c r="C77" s="2" t="s">
        <v>809</v>
      </c>
      <c r="D77">
        <f>VLOOKUP(B77,'Model allocations'!$A$1:$L$319,3,FALSE)</f>
        <v>30453.039857778123</v>
      </c>
      <c r="E77" s="32">
        <f>VLOOKUP(B77,'Initial adjusted formula count'!$A$1:$P$319,12,FALSE)</f>
        <v>0.171875</v>
      </c>
      <c r="F77">
        <f>VLOOKUP(B77,'Model allocations'!$A$1:$L$319,8,FALSE)</f>
        <v>27407.73587200031</v>
      </c>
      <c r="G77" s="31">
        <f t="shared" si="27"/>
        <v>0.9</v>
      </c>
      <c r="H77">
        <f t="shared" si="28"/>
        <v>27407.73587200031</v>
      </c>
      <c r="I77">
        <f t="shared" si="20"/>
        <v>0</v>
      </c>
      <c r="J77">
        <f t="shared" si="21"/>
        <v>27407.73587200031</v>
      </c>
      <c r="K77">
        <f t="shared" si="22"/>
        <v>27403.704360676606</v>
      </c>
      <c r="L77">
        <f t="shared" si="29"/>
        <v>27403.704360676606</v>
      </c>
      <c r="M77">
        <f t="shared" si="23"/>
        <v>27407.73587200031</v>
      </c>
      <c r="N77" s="30">
        <f t="shared" si="30"/>
        <v>0</v>
      </c>
      <c r="O77" s="30">
        <f t="shared" si="24"/>
        <v>0</v>
      </c>
      <c r="P77" s="30">
        <f t="shared" si="31"/>
        <v>27407.73587200031</v>
      </c>
      <c r="Q77">
        <f t="shared" si="32"/>
        <v>0</v>
      </c>
      <c r="R77" s="30">
        <f t="shared" si="33"/>
        <v>0</v>
      </c>
      <c r="S77" s="30">
        <f t="shared" si="25"/>
        <v>0</v>
      </c>
      <c r="T77" s="30">
        <f t="shared" si="34"/>
        <v>27407.73587200031</v>
      </c>
      <c r="U77">
        <f t="shared" si="35"/>
        <v>0</v>
      </c>
      <c r="V77" s="30">
        <f t="shared" si="36"/>
        <v>0</v>
      </c>
      <c r="W77" s="30">
        <f t="shared" si="26"/>
        <v>0</v>
      </c>
      <c r="X77" s="30">
        <f t="shared" si="37"/>
        <v>27407.73587200031</v>
      </c>
      <c r="Y77">
        <f t="shared" si="38"/>
        <v>0</v>
      </c>
    </row>
    <row r="78" spans="1:25" x14ac:dyDescent="0.25">
      <c r="A78" s="4" t="s">
        <v>810</v>
      </c>
      <c r="B78" s="7" t="s">
        <v>129</v>
      </c>
      <c r="C78" s="2" t="s">
        <v>811</v>
      </c>
      <c r="D78">
        <f>VLOOKUP(B78,'Model allocations'!$A$1:$L$319,3,FALSE)</f>
        <v>1560089.7975704484</v>
      </c>
      <c r="E78" s="32">
        <f>VLOOKUP(B78,'Initial adjusted formula count'!$A$1:$P$319,12,FALSE)</f>
        <v>0.103100469236504</v>
      </c>
      <c r="F78">
        <f>VLOOKUP(B78,'Model allocations'!$A$1:$L$319,8,FALSE)</f>
        <v>2022502.7917569897</v>
      </c>
      <c r="G78" s="31">
        <f t="shared" si="27"/>
        <v>0.85</v>
      </c>
      <c r="H78">
        <f t="shared" si="28"/>
        <v>1326076.327934881</v>
      </c>
      <c r="I78">
        <f t="shared" si="20"/>
        <v>0</v>
      </c>
      <c r="J78">
        <f t="shared" si="21"/>
        <v>2022502.7917569897</v>
      </c>
      <c r="K78">
        <f t="shared" si="22"/>
        <v>2022205.2938919608</v>
      </c>
      <c r="L78">
        <f t="shared" si="29"/>
        <v>2022205.2938919608</v>
      </c>
      <c r="M78">
        <f t="shared" si="23"/>
        <v>0</v>
      </c>
      <c r="N78" s="30">
        <f t="shared" si="30"/>
        <v>2022205.2938919608</v>
      </c>
      <c r="O78" s="30">
        <f t="shared" si="24"/>
        <v>2022168.4790707361</v>
      </c>
      <c r="P78" s="30">
        <f t="shared" si="31"/>
        <v>2022168.4790707361</v>
      </c>
      <c r="Q78">
        <f t="shared" si="32"/>
        <v>0</v>
      </c>
      <c r="R78" s="30">
        <f t="shared" si="33"/>
        <v>2022168.4790707361</v>
      </c>
      <c r="S78" s="30">
        <f t="shared" si="25"/>
        <v>2022168.4790707363</v>
      </c>
      <c r="T78" s="30">
        <f t="shared" si="34"/>
        <v>2022168.4790707363</v>
      </c>
      <c r="U78">
        <f t="shared" si="35"/>
        <v>0</v>
      </c>
      <c r="V78" s="30">
        <f t="shared" si="36"/>
        <v>2022168.4790707363</v>
      </c>
      <c r="W78" s="30">
        <f t="shared" si="26"/>
        <v>2022168.4790707368</v>
      </c>
      <c r="X78" s="30">
        <f t="shared" si="37"/>
        <v>2022168.4790707368</v>
      </c>
      <c r="Y78">
        <f t="shared" si="38"/>
        <v>0</v>
      </c>
    </row>
    <row r="79" spans="1:25" x14ac:dyDescent="0.25">
      <c r="A79" s="4" t="s">
        <v>812</v>
      </c>
      <c r="B79" s="7" t="s">
        <v>280</v>
      </c>
      <c r="C79" s="2" t="s">
        <v>813</v>
      </c>
      <c r="D79">
        <f>VLOOKUP(B79,'Model allocations'!$A$1:$L$319,3,FALSE)</f>
        <v>2445568.0047880611</v>
      </c>
      <c r="E79" s="32">
        <f>VLOOKUP(B79,'Initial adjusted formula count'!$A$1:$P$319,12,FALSE)</f>
        <v>9.9718521298555102E-2</v>
      </c>
      <c r="F79">
        <f>VLOOKUP(B79,'Model allocations'!$A$1:$L$319,8,FALSE)</f>
        <v>2285746.4558478608</v>
      </c>
      <c r="G79" s="31">
        <f t="shared" si="27"/>
        <v>0.85</v>
      </c>
      <c r="H79">
        <f t="shared" si="28"/>
        <v>2078732.804069852</v>
      </c>
      <c r="I79">
        <f t="shared" si="20"/>
        <v>0</v>
      </c>
      <c r="J79">
        <f t="shared" si="21"/>
        <v>2285746.4558478608</v>
      </c>
      <c r="K79">
        <f t="shared" si="22"/>
        <v>2285410.236440212</v>
      </c>
      <c r="L79">
        <f t="shared" si="29"/>
        <v>2285410.236440212</v>
      </c>
      <c r="M79">
        <f t="shared" si="23"/>
        <v>0</v>
      </c>
      <c r="N79" s="30">
        <f t="shared" si="30"/>
        <v>2285410.236440212</v>
      </c>
      <c r="O79" s="30">
        <f t="shared" si="24"/>
        <v>2285368.6298983172</v>
      </c>
      <c r="P79" s="30">
        <f t="shared" si="31"/>
        <v>2285368.6298983172</v>
      </c>
      <c r="Q79">
        <f t="shared" si="32"/>
        <v>0</v>
      </c>
      <c r="R79" s="30">
        <f t="shared" si="33"/>
        <v>2285368.6298983172</v>
      </c>
      <c r="S79" s="30">
        <f t="shared" si="25"/>
        <v>2285368.6298983172</v>
      </c>
      <c r="T79" s="30">
        <f t="shared" si="34"/>
        <v>2285368.6298983172</v>
      </c>
      <c r="U79">
        <f t="shared" si="35"/>
        <v>0</v>
      </c>
      <c r="V79" s="30">
        <f t="shared" si="36"/>
        <v>2285368.6298983172</v>
      </c>
      <c r="W79" s="30">
        <f t="shared" si="26"/>
        <v>2285368.6298983172</v>
      </c>
      <c r="X79" s="30">
        <f t="shared" si="37"/>
        <v>2285368.6298983172</v>
      </c>
      <c r="Y79">
        <f t="shared" si="38"/>
        <v>0</v>
      </c>
    </row>
    <row r="80" spans="1:25" x14ac:dyDescent="0.25">
      <c r="A80" s="4" t="s">
        <v>814</v>
      </c>
      <c r="B80" s="7" t="s">
        <v>400</v>
      </c>
      <c r="C80" s="2" t="s">
        <v>815</v>
      </c>
      <c r="D80">
        <f>VLOOKUP(B80,'Model allocations'!$A$1:$L$319,3,FALSE)</f>
        <v>15449.426012431477</v>
      </c>
      <c r="E80" s="32">
        <f>VLOOKUP(B80,'Initial adjusted formula count'!$A$1:$P$319,12,FALSE)</f>
        <v>0.25</v>
      </c>
      <c r="F80">
        <f>VLOOKUP(B80,'Model allocations'!$A$1:$L$319,8,FALSE)</f>
        <v>13904.48341118833</v>
      </c>
      <c r="G80" s="31">
        <f t="shared" si="27"/>
        <v>0.9</v>
      </c>
      <c r="H80">
        <f t="shared" si="28"/>
        <v>13904.48341118833</v>
      </c>
      <c r="I80">
        <f t="shared" si="20"/>
        <v>0</v>
      </c>
      <c r="J80">
        <f t="shared" si="21"/>
        <v>13904.48341118833</v>
      </c>
      <c r="K80">
        <f t="shared" si="22"/>
        <v>13902.438146209701</v>
      </c>
      <c r="L80">
        <f t="shared" si="29"/>
        <v>13902.438146209701</v>
      </c>
      <c r="M80">
        <f t="shared" si="23"/>
        <v>13904.48341118833</v>
      </c>
      <c r="N80" s="30">
        <f t="shared" si="30"/>
        <v>0</v>
      </c>
      <c r="O80" s="30">
        <f t="shared" si="24"/>
        <v>0</v>
      </c>
      <c r="P80" s="30">
        <f t="shared" si="31"/>
        <v>13904.48341118833</v>
      </c>
      <c r="Q80">
        <f t="shared" si="32"/>
        <v>0</v>
      </c>
      <c r="R80" s="30">
        <f t="shared" si="33"/>
        <v>0</v>
      </c>
      <c r="S80" s="30">
        <f t="shared" si="25"/>
        <v>0</v>
      </c>
      <c r="T80" s="30">
        <f t="shared" si="34"/>
        <v>13904.48341118833</v>
      </c>
      <c r="U80">
        <f t="shared" si="35"/>
        <v>0</v>
      </c>
      <c r="V80" s="30">
        <f t="shared" si="36"/>
        <v>0</v>
      </c>
      <c r="W80" s="30">
        <f t="shared" si="26"/>
        <v>0</v>
      </c>
      <c r="X80" s="30">
        <f t="shared" si="37"/>
        <v>13904.48341118833</v>
      </c>
      <c r="Y80">
        <f t="shared" si="38"/>
        <v>0</v>
      </c>
    </row>
    <row r="81" spans="1:25" x14ac:dyDescent="0.25">
      <c r="A81" s="4" t="s">
        <v>816</v>
      </c>
      <c r="B81" s="7" t="s">
        <v>402</v>
      </c>
      <c r="C81" s="2" t="s">
        <v>817</v>
      </c>
      <c r="D81">
        <f>VLOOKUP(B81,'Model allocations'!$A$1:$L$319,3,FALSE)</f>
        <v>3300345.3252590783</v>
      </c>
      <c r="E81" s="32">
        <f>VLOOKUP(B81,'Initial adjusted formula count'!$A$1:$P$319,12,FALSE)</f>
        <v>0.17725043637270399</v>
      </c>
      <c r="F81">
        <f>VLOOKUP(B81,'Model allocations'!$A$1:$L$319,8,FALSE)</f>
        <v>3669066.1024430296</v>
      </c>
      <c r="G81" s="31">
        <f t="shared" si="27"/>
        <v>0.9</v>
      </c>
      <c r="H81">
        <f t="shared" si="28"/>
        <v>2970310.7927331706</v>
      </c>
      <c r="I81">
        <f t="shared" si="20"/>
        <v>0</v>
      </c>
      <c r="J81">
        <f t="shared" si="21"/>
        <v>3669066.1024430296</v>
      </c>
      <c r="K81">
        <f t="shared" si="22"/>
        <v>3668526.4051251444</v>
      </c>
      <c r="L81">
        <f t="shared" si="29"/>
        <v>3668526.4051251444</v>
      </c>
      <c r="M81">
        <f t="shared" si="23"/>
        <v>0</v>
      </c>
      <c r="N81" s="30">
        <f t="shared" si="30"/>
        <v>3668526.4051251444</v>
      </c>
      <c r="O81" s="30">
        <f t="shared" si="24"/>
        <v>3668459.6185609065</v>
      </c>
      <c r="P81" s="30">
        <f t="shared" si="31"/>
        <v>3668459.6185609065</v>
      </c>
      <c r="Q81">
        <f t="shared" si="32"/>
        <v>0</v>
      </c>
      <c r="R81" s="30">
        <f t="shared" si="33"/>
        <v>3668459.6185609065</v>
      </c>
      <c r="S81" s="30">
        <f t="shared" si="25"/>
        <v>3668459.618560907</v>
      </c>
      <c r="T81" s="30">
        <f t="shared" si="34"/>
        <v>3668459.618560907</v>
      </c>
      <c r="U81">
        <f t="shared" si="35"/>
        <v>0</v>
      </c>
      <c r="V81" s="30">
        <f t="shared" si="36"/>
        <v>3668459.618560907</v>
      </c>
      <c r="W81" s="30">
        <f t="shared" si="26"/>
        <v>3668459.618560907</v>
      </c>
      <c r="X81" s="30">
        <f t="shared" si="37"/>
        <v>3668459.618560907</v>
      </c>
      <c r="Y81">
        <f t="shared" si="38"/>
        <v>0</v>
      </c>
    </row>
    <row r="82" spans="1:25" x14ac:dyDescent="0.25">
      <c r="A82" s="4" t="s">
        <v>818</v>
      </c>
      <c r="B82" s="7" t="s">
        <v>131</v>
      </c>
      <c r="C82" s="2" t="s">
        <v>819</v>
      </c>
      <c r="D82">
        <f>VLOOKUP(B82,'Model allocations'!$A$1:$L$319,3,FALSE)</f>
        <v>832963.53251948825</v>
      </c>
      <c r="E82" s="32">
        <f>VLOOKUP(B82,'Initial adjusted formula count'!$A$1:$P$319,12,FALSE)</f>
        <v>0.127856101118133</v>
      </c>
      <c r="F82">
        <f>VLOOKUP(B82,'Model allocations'!$A$1:$L$319,8,FALSE)</f>
        <v>708019.00264156493</v>
      </c>
      <c r="G82" s="31">
        <f t="shared" si="27"/>
        <v>0.85</v>
      </c>
      <c r="H82">
        <f t="shared" si="28"/>
        <v>708019.00264156493</v>
      </c>
      <c r="I82">
        <f t="shared" si="20"/>
        <v>0</v>
      </c>
      <c r="J82">
        <f t="shared" si="21"/>
        <v>708019.00264156493</v>
      </c>
      <c r="K82">
        <f t="shared" si="22"/>
        <v>707914.85735061939</v>
      </c>
      <c r="L82">
        <f t="shared" si="29"/>
        <v>707914.85735061939</v>
      </c>
      <c r="M82">
        <f t="shared" si="23"/>
        <v>708019.00264156493</v>
      </c>
      <c r="N82" s="30">
        <f t="shared" si="30"/>
        <v>0</v>
      </c>
      <c r="O82" s="30">
        <f t="shared" si="24"/>
        <v>0</v>
      </c>
      <c r="P82" s="30">
        <f t="shared" si="31"/>
        <v>708019.00264156493</v>
      </c>
      <c r="Q82">
        <f t="shared" si="32"/>
        <v>0</v>
      </c>
      <c r="R82" s="30">
        <f t="shared" si="33"/>
        <v>0</v>
      </c>
      <c r="S82" s="30">
        <f t="shared" si="25"/>
        <v>0</v>
      </c>
      <c r="T82" s="30">
        <f t="shared" si="34"/>
        <v>708019.00264156493</v>
      </c>
      <c r="U82">
        <f t="shared" si="35"/>
        <v>0</v>
      </c>
      <c r="V82" s="30">
        <f t="shared" si="36"/>
        <v>0</v>
      </c>
      <c r="W82" s="30">
        <f t="shared" si="26"/>
        <v>0</v>
      </c>
      <c r="X82" s="30">
        <f t="shared" si="37"/>
        <v>708019.00264156493</v>
      </c>
      <c r="Y82">
        <f t="shared" si="38"/>
        <v>0</v>
      </c>
    </row>
    <row r="83" spans="1:25" x14ac:dyDescent="0.25">
      <c r="A83" s="4" t="s">
        <v>820</v>
      </c>
      <c r="B83" s="7" t="s">
        <v>133</v>
      </c>
      <c r="C83" s="2" t="s">
        <v>821</v>
      </c>
      <c r="D83">
        <f>VLOOKUP(B83,'Model allocations'!$A$1:$L$319,3,FALSE)</f>
        <v>329630.57348976831</v>
      </c>
      <c r="E83" s="32">
        <f>VLOOKUP(B83,'Initial adjusted formula count'!$A$1:$P$319,12,FALSE)</f>
        <v>8.8828740157480296E-2</v>
      </c>
      <c r="F83">
        <f>VLOOKUP(B83,'Model allocations'!$A$1:$L$319,8,FALSE)</f>
        <v>310558.70175426325</v>
      </c>
      <c r="G83" s="31">
        <f t="shared" si="27"/>
        <v>0.85</v>
      </c>
      <c r="H83">
        <f t="shared" si="28"/>
        <v>280185.98746630305</v>
      </c>
      <c r="I83">
        <f t="shared" si="20"/>
        <v>0</v>
      </c>
      <c r="J83">
        <f t="shared" si="21"/>
        <v>310558.70175426325</v>
      </c>
      <c r="K83">
        <f t="shared" si="22"/>
        <v>310513.02045725117</v>
      </c>
      <c r="L83">
        <f t="shared" si="29"/>
        <v>310513.02045725117</v>
      </c>
      <c r="M83">
        <f t="shared" si="23"/>
        <v>0</v>
      </c>
      <c r="N83" s="30">
        <f t="shared" si="30"/>
        <v>310513.02045725117</v>
      </c>
      <c r="O83" s="30">
        <f t="shared" si="24"/>
        <v>310507.36747959821</v>
      </c>
      <c r="P83" s="30">
        <f t="shared" si="31"/>
        <v>310507.36747959821</v>
      </c>
      <c r="Q83">
        <f t="shared" si="32"/>
        <v>0</v>
      </c>
      <c r="R83" s="30">
        <f t="shared" si="33"/>
        <v>310507.36747959821</v>
      </c>
      <c r="S83" s="30">
        <f t="shared" si="25"/>
        <v>310507.36747959821</v>
      </c>
      <c r="T83" s="30">
        <f t="shared" si="34"/>
        <v>310507.36747959821</v>
      </c>
      <c r="U83">
        <f t="shared" si="35"/>
        <v>0</v>
      </c>
      <c r="V83" s="30">
        <f t="shared" si="36"/>
        <v>310507.36747959821</v>
      </c>
      <c r="W83" s="30">
        <f t="shared" si="26"/>
        <v>310507.36747959821</v>
      </c>
      <c r="X83" s="30">
        <f t="shared" si="37"/>
        <v>310507.36747959821</v>
      </c>
      <c r="Y83">
        <f t="shared" si="38"/>
        <v>0</v>
      </c>
    </row>
    <row r="84" spans="1:25" x14ac:dyDescent="0.25">
      <c r="A84" s="4" t="s">
        <v>822</v>
      </c>
      <c r="B84" s="7" t="s">
        <v>404</v>
      </c>
      <c r="C84" s="2" t="s">
        <v>823</v>
      </c>
      <c r="D84">
        <f>VLOOKUP(B84,'Model allocations'!$A$1:$L$319,3,FALSE)</f>
        <v>145137.89208813399</v>
      </c>
      <c r="E84" s="32">
        <f>VLOOKUP(B84,'Initial adjusted formula count'!$A$1:$P$319,12,FALSE)</f>
        <v>0.141436464088398</v>
      </c>
      <c r="F84">
        <f>VLOOKUP(B84,'Model allocations'!$A$1:$L$319,8,FALSE)</f>
        <v>123367.20827491388</v>
      </c>
      <c r="G84" s="31">
        <f t="shared" si="27"/>
        <v>0.85</v>
      </c>
      <c r="H84">
        <f t="shared" si="28"/>
        <v>123367.20827491388</v>
      </c>
      <c r="I84">
        <f t="shared" si="20"/>
        <v>0</v>
      </c>
      <c r="J84">
        <f t="shared" si="21"/>
        <v>123367.20827491388</v>
      </c>
      <c r="K84">
        <f t="shared" si="22"/>
        <v>123349.0617085774</v>
      </c>
      <c r="L84">
        <f t="shared" si="29"/>
        <v>123349.0617085774</v>
      </c>
      <c r="M84">
        <f t="shared" si="23"/>
        <v>123367.20827491388</v>
      </c>
      <c r="N84" s="30">
        <f t="shared" si="30"/>
        <v>0</v>
      </c>
      <c r="O84" s="30">
        <f t="shared" si="24"/>
        <v>0</v>
      </c>
      <c r="P84" s="30">
        <f t="shared" si="31"/>
        <v>123367.20827491388</v>
      </c>
      <c r="Q84">
        <f t="shared" si="32"/>
        <v>0</v>
      </c>
      <c r="R84" s="30">
        <f t="shared" si="33"/>
        <v>0</v>
      </c>
      <c r="S84" s="30">
        <f t="shared" si="25"/>
        <v>0</v>
      </c>
      <c r="T84" s="30">
        <f t="shared" si="34"/>
        <v>123367.20827491388</v>
      </c>
      <c r="U84">
        <f t="shared" si="35"/>
        <v>0</v>
      </c>
      <c r="V84" s="30">
        <f t="shared" si="36"/>
        <v>0</v>
      </c>
      <c r="W84" s="30">
        <f t="shared" si="26"/>
        <v>0</v>
      </c>
      <c r="X84" s="30">
        <f t="shared" si="37"/>
        <v>123367.20827491388</v>
      </c>
      <c r="Y84">
        <f t="shared" si="38"/>
        <v>0</v>
      </c>
    </row>
    <row r="85" spans="1:25" x14ac:dyDescent="0.25">
      <c r="A85" s="4" t="s">
        <v>824</v>
      </c>
      <c r="B85" s="7" t="s">
        <v>406</v>
      </c>
      <c r="C85" s="2" t="s">
        <v>825</v>
      </c>
      <c r="D85">
        <f>VLOOKUP(B85,'Model allocations'!$A$1:$L$319,3,FALSE)</f>
        <v>1033327.2144446415</v>
      </c>
      <c r="E85" s="32">
        <f>VLOOKUP(B85,'Initial adjusted formula count'!$A$1:$P$319,12,FALSE)</f>
        <v>0.135009712928988</v>
      </c>
      <c r="F85">
        <f>VLOOKUP(B85,'Model allocations'!$A$1:$L$319,8,FALSE)</f>
        <v>1076202.0384891508</v>
      </c>
      <c r="G85" s="31">
        <f t="shared" si="27"/>
        <v>0.85</v>
      </c>
      <c r="H85">
        <f t="shared" si="28"/>
        <v>878328.13227794529</v>
      </c>
      <c r="I85">
        <f t="shared" si="20"/>
        <v>0</v>
      </c>
      <c r="J85">
        <f t="shared" si="21"/>
        <v>1076202.0384891508</v>
      </c>
      <c r="K85">
        <f t="shared" si="22"/>
        <v>1076043.7357119704</v>
      </c>
      <c r="L85">
        <f t="shared" si="29"/>
        <v>1076043.7357119704</v>
      </c>
      <c r="M85">
        <f t="shared" si="23"/>
        <v>0</v>
      </c>
      <c r="N85" s="30">
        <f t="shared" si="30"/>
        <v>1076043.7357119704</v>
      </c>
      <c r="O85" s="30">
        <f t="shared" si="24"/>
        <v>1076024.1460304086</v>
      </c>
      <c r="P85" s="30">
        <f t="shared" si="31"/>
        <v>1076024.1460304086</v>
      </c>
      <c r="Q85">
        <f t="shared" si="32"/>
        <v>0</v>
      </c>
      <c r="R85" s="30">
        <f t="shared" si="33"/>
        <v>1076024.1460304086</v>
      </c>
      <c r="S85" s="30">
        <f t="shared" si="25"/>
        <v>1076024.1460304086</v>
      </c>
      <c r="T85" s="30">
        <f t="shared" si="34"/>
        <v>1076024.1460304086</v>
      </c>
      <c r="U85">
        <f t="shared" si="35"/>
        <v>0</v>
      </c>
      <c r="V85" s="30">
        <f t="shared" si="36"/>
        <v>1076024.1460304086</v>
      </c>
      <c r="W85" s="30">
        <f t="shared" si="26"/>
        <v>1076024.1460304086</v>
      </c>
      <c r="X85" s="30">
        <f t="shared" si="37"/>
        <v>1076024.1460304086</v>
      </c>
      <c r="Y85">
        <f t="shared" si="38"/>
        <v>0</v>
      </c>
    </row>
    <row r="86" spans="1:25" x14ac:dyDescent="0.25">
      <c r="A86" s="4" t="s">
        <v>826</v>
      </c>
      <c r="B86" s="7" t="s">
        <v>135</v>
      </c>
      <c r="C86" s="2" t="s">
        <v>827</v>
      </c>
      <c r="D86">
        <f>VLOOKUP(B86,'Model allocations'!$A$1:$L$319,3,FALSE)</f>
        <v>46859.248192172949</v>
      </c>
      <c r="E86" s="32">
        <f>VLOOKUP(B86,'Initial adjusted formula count'!$A$1:$P$319,12,FALSE)</f>
        <v>5.0301810865191199E-2</v>
      </c>
      <c r="F86">
        <f>VLOOKUP(B86,'Model allocations'!$A$1:$L$319,8,FALSE)</f>
        <v>43013.670603083585</v>
      </c>
      <c r="G86" s="31">
        <f t="shared" si="27"/>
        <v>0.85</v>
      </c>
      <c r="H86">
        <f t="shared" si="28"/>
        <v>39830.360963347004</v>
      </c>
      <c r="I86">
        <f t="shared" si="20"/>
        <v>0</v>
      </c>
      <c r="J86">
        <f t="shared" si="21"/>
        <v>43013.670603083585</v>
      </c>
      <c r="K86">
        <f t="shared" si="22"/>
        <v>43007.343553635932</v>
      </c>
      <c r="L86">
        <f t="shared" si="29"/>
        <v>43007.343553635932</v>
      </c>
      <c r="M86">
        <f t="shared" si="23"/>
        <v>0</v>
      </c>
      <c r="N86" s="30">
        <f t="shared" si="30"/>
        <v>43007.343553635932</v>
      </c>
      <c r="O86" s="30">
        <f t="shared" si="24"/>
        <v>43006.560592742171</v>
      </c>
      <c r="P86" s="30">
        <f t="shared" si="31"/>
        <v>43006.560592742171</v>
      </c>
      <c r="Q86">
        <f t="shared" si="32"/>
        <v>0</v>
      </c>
      <c r="R86" s="30">
        <f t="shared" si="33"/>
        <v>43006.560592742171</v>
      </c>
      <c r="S86" s="30">
        <f t="shared" si="25"/>
        <v>43006.560592742171</v>
      </c>
      <c r="T86" s="30">
        <f t="shared" si="34"/>
        <v>43006.560592742171</v>
      </c>
      <c r="U86">
        <f t="shared" si="35"/>
        <v>0</v>
      </c>
      <c r="V86" s="30">
        <f t="shared" si="36"/>
        <v>43006.560592742171</v>
      </c>
      <c r="W86" s="30">
        <f t="shared" si="26"/>
        <v>43006.560592742171</v>
      </c>
      <c r="X86" s="30">
        <f t="shared" si="37"/>
        <v>43006.560592742171</v>
      </c>
      <c r="Y86">
        <f t="shared" si="38"/>
        <v>0</v>
      </c>
    </row>
    <row r="87" spans="1:25" x14ac:dyDescent="0.25">
      <c r="A87" s="4" t="s">
        <v>828</v>
      </c>
      <c r="B87" s="7" t="s">
        <v>408</v>
      </c>
      <c r="C87" s="2" t="s">
        <v>829</v>
      </c>
      <c r="D87">
        <f>VLOOKUP(B87,'Model allocations'!$A$1:$L$319,3,FALSE)</f>
        <v>22639.6816965209</v>
      </c>
      <c r="E87" s="32">
        <f>VLOOKUP(B87,'Initial adjusted formula count'!$A$1:$P$319,12,FALSE)</f>
        <v>0.27559055118110198</v>
      </c>
      <c r="F87">
        <f>VLOOKUP(B87,'Model allocations'!$A$1:$L$319,8,FALSE)</f>
        <v>30109.569422158507</v>
      </c>
      <c r="G87" s="31">
        <f t="shared" si="27"/>
        <v>0.9</v>
      </c>
      <c r="H87">
        <f t="shared" si="28"/>
        <v>20375.713526868811</v>
      </c>
      <c r="I87">
        <f t="shared" si="20"/>
        <v>0</v>
      </c>
      <c r="J87">
        <f t="shared" si="21"/>
        <v>30109.569422158507</v>
      </c>
      <c r="K87">
        <f t="shared" si="22"/>
        <v>30105.140487545148</v>
      </c>
      <c r="L87">
        <f t="shared" si="29"/>
        <v>30105.140487545148</v>
      </c>
      <c r="M87">
        <f t="shared" si="23"/>
        <v>0</v>
      </c>
      <c r="N87" s="30">
        <f t="shared" si="30"/>
        <v>30105.140487545148</v>
      </c>
      <c r="O87" s="30">
        <f t="shared" si="24"/>
        <v>30104.592414919516</v>
      </c>
      <c r="P87" s="30">
        <f t="shared" si="31"/>
        <v>30104.592414919516</v>
      </c>
      <c r="Q87">
        <f t="shared" si="32"/>
        <v>0</v>
      </c>
      <c r="R87" s="30">
        <f t="shared" si="33"/>
        <v>30104.592414919516</v>
      </c>
      <c r="S87" s="30">
        <f t="shared" si="25"/>
        <v>30104.592414919523</v>
      </c>
      <c r="T87" s="30">
        <f t="shared" si="34"/>
        <v>30104.592414919523</v>
      </c>
      <c r="U87">
        <f t="shared" si="35"/>
        <v>0</v>
      </c>
      <c r="V87" s="30">
        <f t="shared" si="36"/>
        <v>30104.592414919523</v>
      </c>
      <c r="W87" s="30">
        <f t="shared" si="26"/>
        <v>30104.592414919527</v>
      </c>
      <c r="X87" s="30">
        <f t="shared" si="37"/>
        <v>30104.592414919527</v>
      </c>
      <c r="Y87">
        <f t="shared" si="38"/>
        <v>0</v>
      </c>
    </row>
    <row r="88" spans="1:25" x14ac:dyDescent="0.25">
      <c r="A88" s="4" t="s">
        <v>830</v>
      </c>
      <c r="B88" s="7" t="s">
        <v>137</v>
      </c>
      <c r="C88" s="2" t="s">
        <v>831</v>
      </c>
      <c r="D88">
        <f>VLOOKUP(B88,'Model allocations'!$A$1:$L$319,3,FALSE)</f>
        <v>12926.689156461511</v>
      </c>
      <c r="E88" s="32">
        <f>VLOOKUP(B88,'Initial adjusted formula count'!$A$1:$P$319,12,FALSE)</f>
        <v>0.21666666666666701</v>
      </c>
      <c r="F88">
        <f>VLOOKUP(B88,'Model allocations'!$A$1:$L$319,8,FALSE)</f>
        <v>11634.02024081536</v>
      </c>
      <c r="G88" s="31">
        <f t="shared" si="27"/>
        <v>0.9</v>
      </c>
      <c r="H88">
        <f t="shared" si="28"/>
        <v>11634.02024081536</v>
      </c>
      <c r="I88">
        <f t="shared" si="20"/>
        <v>0</v>
      </c>
      <c r="J88">
        <f t="shared" si="21"/>
        <v>11634.02024081536</v>
      </c>
      <c r="K88">
        <f t="shared" si="22"/>
        <v>11632.308947166001</v>
      </c>
      <c r="L88">
        <f t="shared" si="29"/>
        <v>11632.308947166001</v>
      </c>
      <c r="M88">
        <f t="shared" si="23"/>
        <v>11634.02024081536</v>
      </c>
      <c r="N88" s="30">
        <f t="shared" si="30"/>
        <v>0</v>
      </c>
      <c r="O88" s="30">
        <f t="shared" si="24"/>
        <v>0</v>
      </c>
      <c r="P88" s="30">
        <f t="shared" si="31"/>
        <v>11634.02024081536</v>
      </c>
      <c r="Q88">
        <f t="shared" si="32"/>
        <v>0</v>
      </c>
      <c r="R88" s="30">
        <f t="shared" si="33"/>
        <v>0</v>
      </c>
      <c r="S88" s="30">
        <f t="shared" si="25"/>
        <v>0</v>
      </c>
      <c r="T88" s="30">
        <f t="shared" si="34"/>
        <v>11634.02024081536</v>
      </c>
      <c r="U88">
        <f t="shared" si="35"/>
        <v>0</v>
      </c>
      <c r="V88" s="30">
        <f t="shared" si="36"/>
        <v>0</v>
      </c>
      <c r="W88" s="30">
        <f t="shared" si="26"/>
        <v>0</v>
      </c>
      <c r="X88" s="30">
        <f t="shared" si="37"/>
        <v>11634.02024081536</v>
      </c>
      <c r="Y88">
        <f t="shared" si="38"/>
        <v>0</v>
      </c>
    </row>
    <row r="89" spans="1:25" x14ac:dyDescent="0.25">
      <c r="A89" s="4" t="s">
        <v>832</v>
      </c>
      <c r="B89" s="7" t="s">
        <v>410</v>
      </c>
      <c r="C89" s="2" t="s">
        <v>833</v>
      </c>
      <c r="D89">
        <f>VLOOKUP(B89,'Model allocations'!$A$1:$L$319,3,FALSE)</f>
        <v>201979.51806971105</v>
      </c>
      <c r="E89" s="32">
        <f>VLOOKUP(B89,'Initial adjusted formula count'!$A$1:$P$319,12,FALSE)</f>
        <v>0.21327014218009499</v>
      </c>
      <c r="F89">
        <f>VLOOKUP(B89,'Model allocations'!$A$1:$L$319,8,FALSE)</f>
        <v>193561.51771387612</v>
      </c>
      <c r="G89" s="31">
        <f t="shared" si="27"/>
        <v>0.9</v>
      </c>
      <c r="H89">
        <f t="shared" si="28"/>
        <v>181781.56626273994</v>
      </c>
      <c r="I89">
        <f t="shared" si="20"/>
        <v>0</v>
      </c>
      <c r="J89">
        <f t="shared" si="21"/>
        <v>193561.51771387612</v>
      </c>
      <c r="K89">
        <f t="shared" si="22"/>
        <v>193533.04599136167</v>
      </c>
      <c r="L89">
        <f t="shared" si="29"/>
        <v>193533.04599136167</v>
      </c>
      <c r="M89">
        <f t="shared" si="23"/>
        <v>0</v>
      </c>
      <c r="N89" s="30">
        <f t="shared" si="30"/>
        <v>193533.04599136167</v>
      </c>
      <c r="O89" s="30">
        <f t="shared" si="24"/>
        <v>193529.52266733974</v>
      </c>
      <c r="P89" s="30">
        <f t="shared" si="31"/>
        <v>193529.52266733974</v>
      </c>
      <c r="Q89">
        <f t="shared" si="32"/>
        <v>0</v>
      </c>
      <c r="R89" s="30">
        <f t="shared" si="33"/>
        <v>193529.52266733974</v>
      </c>
      <c r="S89" s="30">
        <f t="shared" si="25"/>
        <v>193529.52266733977</v>
      </c>
      <c r="T89" s="30">
        <f t="shared" si="34"/>
        <v>193529.52266733977</v>
      </c>
      <c r="U89">
        <f t="shared" si="35"/>
        <v>0</v>
      </c>
      <c r="V89" s="30">
        <f t="shared" si="36"/>
        <v>193529.52266733977</v>
      </c>
      <c r="W89" s="30">
        <f t="shared" si="26"/>
        <v>193529.5226673398</v>
      </c>
      <c r="X89" s="30">
        <f t="shared" si="37"/>
        <v>193529.5226673398</v>
      </c>
      <c r="Y89">
        <f t="shared" si="38"/>
        <v>0</v>
      </c>
    </row>
    <row r="90" spans="1:25" x14ac:dyDescent="0.25">
      <c r="A90" s="4" t="s">
        <v>834</v>
      </c>
      <c r="B90" s="7" t="s">
        <v>412</v>
      </c>
      <c r="C90" s="2" t="s">
        <v>835</v>
      </c>
      <c r="D90">
        <f>VLOOKUP(B90,'Model allocations'!$A$1:$L$319,3,FALSE)</f>
        <v>80635.162082427429</v>
      </c>
      <c r="E90" s="32">
        <f>VLOOKUP(B90,'Initial adjusted formula count'!$A$1:$P$319,12,FALSE)</f>
        <v>0.15611192930780601</v>
      </c>
      <c r="F90">
        <f>VLOOKUP(B90,'Model allocations'!$A$1:$L$319,8,FALSE)</f>
        <v>91188.98167853721</v>
      </c>
      <c r="G90" s="31">
        <f t="shared" si="27"/>
        <v>0.9</v>
      </c>
      <c r="H90">
        <f t="shared" si="28"/>
        <v>72571.645874184687</v>
      </c>
      <c r="I90">
        <f t="shared" si="20"/>
        <v>0</v>
      </c>
      <c r="J90">
        <f t="shared" si="21"/>
        <v>91188.98167853721</v>
      </c>
      <c r="K90">
        <f t="shared" si="22"/>
        <v>91175.568333708172</v>
      </c>
      <c r="L90">
        <f t="shared" si="29"/>
        <v>91175.568333708172</v>
      </c>
      <c r="M90">
        <f t="shared" si="23"/>
        <v>0</v>
      </c>
      <c r="N90" s="30">
        <f t="shared" si="30"/>
        <v>91175.568333708172</v>
      </c>
      <c r="O90" s="30">
        <f t="shared" si="24"/>
        <v>91173.908456613397</v>
      </c>
      <c r="P90" s="30">
        <f t="shared" si="31"/>
        <v>91173.908456613397</v>
      </c>
      <c r="Q90">
        <f t="shared" si="32"/>
        <v>0</v>
      </c>
      <c r="R90" s="30">
        <f t="shared" si="33"/>
        <v>91173.908456613397</v>
      </c>
      <c r="S90" s="30">
        <f t="shared" si="25"/>
        <v>91173.908456613412</v>
      </c>
      <c r="T90" s="30">
        <f t="shared" si="34"/>
        <v>91173.908456613412</v>
      </c>
      <c r="U90">
        <f t="shared" si="35"/>
        <v>0</v>
      </c>
      <c r="V90" s="30">
        <f t="shared" si="36"/>
        <v>91173.908456613412</v>
      </c>
      <c r="W90" s="30">
        <f t="shared" si="26"/>
        <v>91173.908456613426</v>
      </c>
      <c r="X90" s="30">
        <f t="shared" si="37"/>
        <v>91173.908456613426</v>
      </c>
      <c r="Y90">
        <f t="shared" si="38"/>
        <v>0</v>
      </c>
    </row>
    <row r="91" spans="1:25" x14ac:dyDescent="0.25">
      <c r="A91" s="4" t="s">
        <v>836</v>
      </c>
      <c r="B91" s="7" t="s">
        <v>414</v>
      </c>
      <c r="C91" s="2" t="s">
        <v>837</v>
      </c>
      <c r="D91">
        <f>VLOOKUP(B91,'Model allocations'!$A$1:$L$319,3,FALSE)</f>
        <v>520026.62805948005</v>
      </c>
      <c r="E91" s="32">
        <f>VLOOKUP(B91,'Initial adjusted formula count'!$A$1:$P$319,12,FALSE)</f>
        <v>0.17711682743837101</v>
      </c>
      <c r="F91">
        <f>VLOOKUP(B91,'Model allocations'!$A$1:$L$319,8,FALSE)</f>
        <v>568640.72537276486</v>
      </c>
      <c r="G91" s="31">
        <f t="shared" si="27"/>
        <v>0.9</v>
      </c>
      <c r="H91">
        <f t="shared" si="28"/>
        <v>468023.96525353205</v>
      </c>
      <c r="I91">
        <f t="shared" si="20"/>
        <v>0</v>
      </c>
      <c r="J91">
        <f t="shared" si="21"/>
        <v>568640.72537276486</v>
      </c>
      <c r="K91">
        <f t="shared" si="22"/>
        <v>568557.08177906682</v>
      </c>
      <c r="L91">
        <f t="shared" si="29"/>
        <v>568557.08177906682</v>
      </c>
      <c r="M91">
        <f t="shared" si="23"/>
        <v>0</v>
      </c>
      <c r="N91" s="30">
        <f t="shared" si="30"/>
        <v>568557.08177906682</v>
      </c>
      <c r="O91" s="30">
        <f t="shared" si="24"/>
        <v>568546.73103605129</v>
      </c>
      <c r="P91" s="30">
        <f t="shared" si="31"/>
        <v>568546.73103605129</v>
      </c>
      <c r="Q91">
        <f t="shared" si="32"/>
        <v>0</v>
      </c>
      <c r="R91" s="30">
        <f t="shared" si="33"/>
        <v>568546.73103605129</v>
      </c>
      <c r="S91" s="30">
        <f t="shared" si="25"/>
        <v>568546.73103605141</v>
      </c>
      <c r="T91" s="30">
        <f t="shared" si="34"/>
        <v>568546.73103605141</v>
      </c>
      <c r="U91">
        <f t="shared" si="35"/>
        <v>0</v>
      </c>
      <c r="V91" s="30">
        <f t="shared" si="36"/>
        <v>568546.73103605141</v>
      </c>
      <c r="W91" s="30">
        <f t="shared" si="26"/>
        <v>568546.73103605153</v>
      </c>
      <c r="X91" s="30">
        <f t="shared" si="37"/>
        <v>568546.73103605153</v>
      </c>
      <c r="Y91">
        <f t="shared" si="38"/>
        <v>0</v>
      </c>
    </row>
    <row r="92" spans="1:25" x14ac:dyDescent="0.25">
      <c r="A92" s="4" t="s">
        <v>838</v>
      </c>
      <c r="B92" s="7" t="s">
        <v>416</v>
      </c>
      <c r="C92" s="2" t="s">
        <v>839</v>
      </c>
      <c r="D92">
        <f>VLOOKUP(B92,'Model allocations'!$A$1:$L$319,3,FALSE)</f>
        <v>327932.35911930294</v>
      </c>
      <c r="E92" s="32">
        <f>VLOOKUP(B92,'Initial adjusted formula count'!$A$1:$P$319,12,FALSE)</f>
        <v>0.23440453686200399</v>
      </c>
      <c r="F92">
        <f>VLOOKUP(B92,'Model allocations'!$A$1:$L$319,8,FALSE)</f>
        <v>320021.7092869418</v>
      </c>
      <c r="G92" s="31">
        <f t="shared" si="27"/>
        <v>0.9</v>
      </c>
      <c r="H92">
        <f t="shared" si="28"/>
        <v>295139.12320737267</v>
      </c>
      <c r="I92">
        <f t="shared" si="20"/>
        <v>0</v>
      </c>
      <c r="J92">
        <f t="shared" si="21"/>
        <v>320021.7092869418</v>
      </c>
      <c r="K92">
        <f t="shared" si="22"/>
        <v>319974.63603905123</v>
      </c>
      <c r="L92">
        <f t="shared" si="29"/>
        <v>319974.63603905123</v>
      </c>
      <c r="M92">
        <f t="shared" si="23"/>
        <v>0</v>
      </c>
      <c r="N92" s="30">
        <f t="shared" si="30"/>
        <v>319974.63603905123</v>
      </c>
      <c r="O92" s="30">
        <f t="shared" si="24"/>
        <v>319968.81081000163</v>
      </c>
      <c r="P92" s="30">
        <f t="shared" si="31"/>
        <v>319968.81081000163</v>
      </c>
      <c r="Q92">
        <f t="shared" si="32"/>
        <v>0</v>
      </c>
      <c r="R92" s="30">
        <f t="shared" si="33"/>
        <v>319968.81081000163</v>
      </c>
      <c r="S92" s="30">
        <f t="shared" si="25"/>
        <v>319968.81081000168</v>
      </c>
      <c r="T92" s="30">
        <f t="shared" si="34"/>
        <v>319968.81081000168</v>
      </c>
      <c r="U92">
        <f t="shared" si="35"/>
        <v>0</v>
      </c>
      <c r="V92" s="30">
        <f t="shared" si="36"/>
        <v>319968.81081000168</v>
      </c>
      <c r="W92" s="30">
        <f t="shared" si="26"/>
        <v>319968.81081000168</v>
      </c>
      <c r="X92" s="30">
        <f t="shared" si="37"/>
        <v>319968.81081000168</v>
      </c>
      <c r="Y92">
        <f t="shared" si="38"/>
        <v>0</v>
      </c>
    </row>
    <row r="93" spans="1:25" x14ac:dyDescent="0.25">
      <c r="A93" s="4" t="s">
        <v>840</v>
      </c>
      <c r="B93" s="7" t="s">
        <v>139</v>
      </c>
      <c r="C93" s="2" t="s">
        <v>841</v>
      </c>
      <c r="D93">
        <f>VLOOKUP(B93,'Model allocations'!$A$1:$L$319,3,FALSE)</f>
        <v>173702.38553995147</v>
      </c>
      <c r="E93" s="32">
        <f>VLOOKUP(B93,'Initial adjusted formula count'!$A$1:$P$319,12,FALSE)</f>
        <v>7.8627591136526107E-2</v>
      </c>
      <c r="F93">
        <f>VLOOKUP(B93,'Model allocations'!$A$1:$L$319,8,FALSE)</f>
        <v>189260.15065356772</v>
      </c>
      <c r="G93" s="31">
        <f t="shared" si="27"/>
        <v>0.85</v>
      </c>
      <c r="H93">
        <f t="shared" si="28"/>
        <v>147647.02770895875</v>
      </c>
      <c r="I93">
        <f t="shared" si="20"/>
        <v>0</v>
      </c>
      <c r="J93">
        <f t="shared" si="21"/>
        <v>189260.15065356772</v>
      </c>
      <c r="K93">
        <f t="shared" si="22"/>
        <v>189232.31163599802</v>
      </c>
      <c r="L93">
        <f t="shared" si="29"/>
        <v>189232.31163599802</v>
      </c>
      <c r="M93">
        <f t="shared" si="23"/>
        <v>0</v>
      </c>
      <c r="N93" s="30">
        <f t="shared" si="30"/>
        <v>189232.31163599802</v>
      </c>
      <c r="O93" s="30">
        <f t="shared" si="24"/>
        <v>189228.86660806547</v>
      </c>
      <c r="P93" s="30">
        <f t="shared" si="31"/>
        <v>189228.86660806547</v>
      </c>
      <c r="Q93">
        <f t="shared" si="32"/>
        <v>0</v>
      </c>
      <c r="R93" s="30">
        <f t="shared" si="33"/>
        <v>189228.86660806547</v>
      </c>
      <c r="S93" s="30">
        <f t="shared" si="25"/>
        <v>189228.86660806549</v>
      </c>
      <c r="T93" s="30">
        <f t="shared" si="34"/>
        <v>189228.86660806549</v>
      </c>
      <c r="U93">
        <f t="shared" si="35"/>
        <v>0</v>
      </c>
      <c r="V93" s="30">
        <f t="shared" si="36"/>
        <v>189228.86660806549</v>
      </c>
      <c r="W93" s="30">
        <f t="shared" si="26"/>
        <v>189228.86660806552</v>
      </c>
      <c r="X93" s="30">
        <f t="shared" si="37"/>
        <v>189228.86660806552</v>
      </c>
      <c r="Y93">
        <f t="shared" si="38"/>
        <v>0</v>
      </c>
    </row>
    <row r="94" spans="1:25" x14ac:dyDescent="0.25">
      <c r="A94" s="4" t="s">
        <v>842</v>
      </c>
      <c r="B94" s="7" t="s">
        <v>418</v>
      </c>
      <c r="C94" s="2" t="s">
        <v>843</v>
      </c>
      <c r="D94">
        <f>VLOOKUP(B94,'Model allocations'!$A$1:$L$319,3,FALSE)</f>
        <v>38780.067469384521</v>
      </c>
      <c r="E94" s="32">
        <f>VLOOKUP(B94,'Initial adjusted formula count'!$A$1:$P$319,12,FALSE)</f>
        <v>8.2840236686390595E-2</v>
      </c>
      <c r="F94">
        <f>VLOOKUP(B94,'Model allocations'!$A$1:$L$319,8,FALSE)</f>
        <v>32963.057348976843</v>
      </c>
      <c r="G94" s="31">
        <f t="shared" si="27"/>
        <v>0.85</v>
      </c>
      <c r="H94">
        <f t="shared" si="28"/>
        <v>32963.057348976843</v>
      </c>
      <c r="I94">
        <f t="shared" si="20"/>
        <v>0</v>
      </c>
      <c r="J94">
        <f t="shared" si="21"/>
        <v>32963.057348976843</v>
      </c>
      <c r="K94">
        <f t="shared" si="22"/>
        <v>32958.208683636993</v>
      </c>
      <c r="L94">
        <f t="shared" si="29"/>
        <v>32958.208683636993</v>
      </c>
      <c r="M94">
        <f t="shared" si="23"/>
        <v>32963.057348976843</v>
      </c>
      <c r="N94" s="30">
        <f t="shared" si="30"/>
        <v>0</v>
      </c>
      <c r="O94" s="30">
        <f t="shared" si="24"/>
        <v>0</v>
      </c>
      <c r="P94" s="30">
        <f t="shared" si="31"/>
        <v>32963.057348976843</v>
      </c>
      <c r="Q94">
        <f t="shared" si="32"/>
        <v>0</v>
      </c>
      <c r="R94" s="30">
        <f t="shared" si="33"/>
        <v>0</v>
      </c>
      <c r="S94" s="30">
        <f t="shared" si="25"/>
        <v>0</v>
      </c>
      <c r="T94" s="30">
        <f t="shared" si="34"/>
        <v>32963.057348976843</v>
      </c>
      <c r="U94">
        <f t="shared" si="35"/>
        <v>0</v>
      </c>
      <c r="V94" s="30">
        <f t="shared" si="36"/>
        <v>0</v>
      </c>
      <c r="W94" s="30">
        <f t="shared" si="26"/>
        <v>0</v>
      </c>
      <c r="X94" s="30">
        <f t="shared" si="37"/>
        <v>32963.057348976843</v>
      </c>
      <c r="Y94">
        <f t="shared" si="38"/>
        <v>0</v>
      </c>
    </row>
    <row r="95" spans="1:25" x14ac:dyDescent="0.25">
      <c r="A95" s="4" t="s">
        <v>844</v>
      </c>
      <c r="B95" s="7" t="s">
        <v>420</v>
      </c>
      <c r="C95" s="2" t="s">
        <v>845</v>
      </c>
      <c r="D95">
        <f>VLOOKUP(B95,'Model allocations'!$A$1:$L$319,3,FALSE)</f>
        <v>35548.395180269152</v>
      </c>
      <c r="E95" s="32">
        <f>VLOOKUP(B95,'Initial adjusted formula count'!$A$1:$P$319,12,FALSE)</f>
        <v>0.22994652406417099</v>
      </c>
      <c r="F95">
        <f>VLOOKUP(B95,'Model allocations'!$A$1:$L$319,8,FALSE)</f>
        <v>36991.756718651865</v>
      </c>
      <c r="G95" s="31">
        <f t="shared" si="27"/>
        <v>0.9</v>
      </c>
      <c r="H95">
        <f t="shared" si="28"/>
        <v>31993.555662242237</v>
      </c>
      <c r="I95">
        <f t="shared" si="20"/>
        <v>0</v>
      </c>
      <c r="J95">
        <f t="shared" si="21"/>
        <v>36991.756718651865</v>
      </c>
      <c r="K95">
        <f t="shared" si="22"/>
        <v>36986.315456126875</v>
      </c>
      <c r="L95">
        <f t="shared" si="29"/>
        <v>36986.315456126875</v>
      </c>
      <c r="M95">
        <f t="shared" si="23"/>
        <v>0</v>
      </c>
      <c r="N95" s="30">
        <f t="shared" si="30"/>
        <v>36986.315456126875</v>
      </c>
      <c r="O95" s="30">
        <f t="shared" si="24"/>
        <v>36985.642109758242</v>
      </c>
      <c r="P95" s="30">
        <f t="shared" si="31"/>
        <v>36985.642109758242</v>
      </c>
      <c r="Q95">
        <f t="shared" si="32"/>
        <v>0</v>
      </c>
      <c r="R95" s="30">
        <f t="shared" si="33"/>
        <v>36985.642109758242</v>
      </c>
      <c r="S95" s="30">
        <f t="shared" si="25"/>
        <v>36985.64210975825</v>
      </c>
      <c r="T95" s="30">
        <f t="shared" si="34"/>
        <v>36985.64210975825</v>
      </c>
      <c r="U95">
        <f t="shared" si="35"/>
        <v>0</v>
      </c>
      <c r="V95" s="30">
        <f t="shared" si="36"/>
        <v>36985.64210975825</v>
      </c>
      <c r="W95" s="30">
        <f t="shared" si="26"/>
        <v>36985.64210975825</v>
      </c>
      <c r="X95" s="30">
        <f t="shared" si="37"/>
        <v>36985.64210975825</v>
      </c>
      <c r="Y95">
        <f t="shared" si="38"/>
        <v>0</v>
      </c>
    </row>
    <row r="96" spans="1:25" x14ac:dyDescent="0.25">
      <c r="A96" s="4" t="s">
        <v>846</v>
      </c>
      <c r="B96" s="7" t="s">
        <v>141</v>
      </c>
      <c r="C96" s="2" t="s">
        <v>847</v>
      </c>
      <c r="D96">
        <f>VLOOKUP(B96,'Model allocations'!$A$1:$L$319,3,FALSE)</f>
        <v>14542.525301019188</v>
      </c>
      <c r="E96" s="32">
        <f>VLOOKUP(B96,'Initial adjusted formula count'!$A$1:$P$319,12,FALSE)</f>
        <v>7.8048780487804906E-2</v>
      </c>
      <c r="F96">
        <f>VLOOKUP(B96,'Model allocations'!$A$1:$L$319,8,FALSE)</f>
        <v>13764.374592986747</v>
      </c>
      <c r="G96" s="31">
        <f t="shared" si="27"/>
        <v>0.85</v>
      </c>
      <c r="H96">
        <f t="shared" si="28"/>
        <v>12361.146505866309</v>
      </c>
      <c r="I96">
        <f t="shared" si="20"/>
        <v>0</v>
      </c>
      <c r="J96">
        <f t="shared" si="21"/>
        <v>13764.374592986747</v>
      </c>
      <c r="K96">
        <f t="shared" si="22"/>
        <v>13762.349937163497</v>
      </c>
      <c r="L96">
        <f t="shared" si="29"/>
        <v>13762.349937163497</v>
      </c>
      <c r="M96">
        <f t="shared" si="23"/>
        <v>0</v>
      </c>
      <c r="N96" s="30">
        <f t="shared" si="30"/>
        <v>13762.349937163497</v>
      </c>
      <c r="O96" s="30">
        <f t="shared" si="24"/>
        <v>13762.099389677493</v>
      </c>
      <c r="P96" s="30">
        <f t="shared" si="31"/>
        <v>13762.099389677493</v>
      </c>
      <c r="Q96">
        <f t="shared" si="32"/>
        <v>0</v>
      </c>
      <c r="R96" s="30">
        <f t="shared" si="33"/>
        <v>13762.099389677493</v>
      </c>
      <c r="S96" s="30">
        <f t="shared" si="25"/>
        <v>13762.099389677496</v>
      </c>
      <c r="T96" s="30">
        <f t="shared" si="34"/>
        <v>13762.099389677496</v>
      </c>
      <c r="U96">
        <f t="shared" si="35"/>
        <v>0</v>
      </c>
      <c r="V96" s="30">
        <f t="shared" si="36"/>
        <v>13762.099389677496</v>
      </c>
      <c r="W96" s="30">
        <f t="shared" si="26"/>
        <v>13762.099389677498</v>
      </c>
      <c r="X96" s="30">
        <f t="shared" si="37"/>
        <v>13762.099389677498</v>
      </c>
      <c r="Y96">
        <f t="shared" si="38"/>
        <v>0</v>
      </c>
    </row>
    <row r="97" spans="1:25" x14ac:dyDescent="0.25">
      <c r="A97" s="4" t="s">
        <v>848</v>
      </c>
      <c r="B97" s="7" t="s">
        <v>143</v>
      </c>
      <c r="C97" s="2" t="s">
        <v>849</v>
      </c>
      <c r="D97">
        <f>VLOOKUP(B97,'Model allocations'!$A$1:$L$319,3,FALSE)</f>
        <v>57362.183131797916</v>
      </c>
      <c r="E97" s="32">
        <f>VLOOKUP(B97,'Initial adjusted formula count'!$A$1:$P$319,12,FALSE)</f>
        <v>5.2396878483835001E-2</v>
      </c>
      <c r="F97">
        <f>VLOOKUP(B97,'Model allocations'!$A$1:$L$319,8,FALSE)</f>
        <v>48757.855662028225</v>
      </c>
      <c r="G97" s="31">
        <f t="shared" si="27"/>
        <v>0.85</v>
      </c>
      <c r="H97">
        <f t="shared" si="28"/>
        <v>48757.855662028225</v>
      </c>
      <c r="I97">
        <f t="shared" si="20"/>
        <v>0</v>
      </c>
      <c r="J97">
        <f t="shared" si="21"/>
        <v>48757.855662028225</v>
      </c>
      <c r="K97">
        <f t="shared" si="22"/>
        <v>48750.683677879693</v>
      </c>
      <c r="L97">
        <f t="shared" si="29"/>
        <v>48750.683677879693</v>
      </c>
      <c r="M97">
        <f t="shared" si="23"/>
        <v>48757.855662028225</v>
      </c>
      <c r="N97" s="30">
        <f t="shared" si="30"/>
        <v>0</v>
      </c>
      <c r="O97" s="30">
        <f t="shared" si="24"/>
        <v>0</v>
      </c>
      <c r="P97" s="30">
        <f t="shared" si="31"/>
        <v>48757.855662028225</v>
      </c>
      <c r="Q97">
        <f t="shared" si="32"/>
        <v>0</v>
      </c>
      <c r="R97" s="30">
        <f t="shared" si="33"/>
        <v>0</v>
      </c>
      <c r="S97" s="30">
        <f t="shared" si="25"/>
        <v>0</v>
      </c>
      <c r="T97" s="30">
        <f t="shared" si="34"/>
        <v>48757.855662028225</v>
      </c>
      <c r="U97">
        <f t="shared" si="35"/>
        <v>0</v>
      </c>
      <c r="V97" s="30">
        <f t="shared" si="36"/>
        <v>0</v>
      </c>
      <c r="W97" s="30">
        <f t="shared" si="26"/>
        <v>0</v>
      </c>
      <c r="X97" s="30">
        <f t="shared" si="37"/>
        <v>48757.855662028225</v>
      </c>
      <c r="Y97">
        <f t="shared" si="38"/>
        <v>0</v>
      </c>
    </row>
    <row r="98" spans="1:25" x14ac:dyDescent="0.25">
      <c r="A98" s="4" t="s">
        <v>850</v>
      </c>
      <c r="B98" s="7" t="s">
        <v>422</v>
      </c>
      <c r="C98" s="2" t="s">
        <v>851</v>
      </c>
      <c r="D98">
        <f>VLOOKUP(B98,'Model allocations'!$A$1:$L$319,3,FALSE)</f>
        <v>24574.525587025502</v>
      </c>
      <c r="E98" s="32">
        <f>VLOOKUP(B98,'Initial adjusted formula count'!$A$1:$P$319,12,FALSE)</f>
        <v>8.2758620689655199E-2</v>
      </c>
      <c r="F98">
        <f>VLOOKUP(B98,'Model allocations'!$A$1:$L$319,8,FALSE)</f>
        <v>20888.346748971675</v>
      </c>
      <c r="G98" s="31">
        <f t="shared" si="27"/>
        <v>0.85</v>
      </c>
      <c r="H98">
        <f t="shared" si="28"/>
        <v>20888.346748971675</v>
      </c>
      <c r="I98">
        <f t="shared" si="20"/>
        <v>0</v>
      </c>
      <c r="J98">
        <f t="shared" si="21"/>
        <v>20888.346748971675</v>
      </c>
      <c r="K98">
        <f t="shared" si="22"/>
        <v>20885.274200153879</v>
      </c>
      <c r="L98">
        <f t="shared" si="29"/>
        <v>20885.274200153879</v>
      </c>
      <c r="M98">
        <f t="shared" si="23"/>
        <v>20888.346748971675</v>
      </c>
      <c r="N98" s="30">
        <f t="shared" si="30"/>
        <v>0</v>
      </c>
      <c r="O98" s="30">
        <f t="shared" si="24"/>
        <v>0</v>
      </c>
      <c r="P98" s="30">
        <f t="shared" si="31"/>
        <v>20888.346748971675</v>
      </c>
      <c r="Q98">
        <f t="shared" si="32"/>
        <v>0</v>
      </c>
      <c r="R98" s="30">
        <f t="shared" si="33"/>
        <v>0</v>
      </c>
      <c r="S98" s="30">
        <f t="shared" si="25"/>
        <v>0</v>
      </c>
      <c r="T98" s="30">
        <f t="shared" si="34"/>
        <v>20888.346748971675</v>
      </c>
      <c r="U98">
        <f t="shared" si="35"/>
        <v>0</v>
      </c>
      <c r="V98" s="30">
        <f t="shared" si="36"/>
        <v>0</v>
      </c>
      <c r="W98" s="30">
        <f t="shared" si="26"/>
        <v>0</v>
      </c>
      <c r="X98" s="30">
        <f t="shared" si="37"/>
        <v>20888.346748971675</v>
      </c>
      <c r="Y98">
        <f t="shared" si="38"/>
        <v>0</v>
      </c>
    </row>
    <row r="99" spans="1:25" x14ac:dyDescent="0.25">
      <c r="A99" s="4" t="s">
        <v>852</v>
      </c>
      <c r="B99" s="7" t="s">
        <v>424</v>
      </c>
      <c r="C99" s="2" t="s">
        <v>853</v>
      </c>
      <c r="D99">
        <f>VLOOKUP(B99,'Model allocations'!$A$1:$L$319,3,FALSE)</f>
        <v>183397.40240729757</v>
      </c>
      <c r="E99" s="32">
        <f>VLOOKUP(B99,'Initial adjusted formula count'!$A$1:$P$319,12,FALSE)</f>
        <v>0.18553459119496901</v>
      </c>
      <c r="F99">
        <f>VLOOKUP(B99,'Model allocations'!$A$1:$L$319,8,FALSE)</f>
        <v>203024.52524655449</v>
      </c>
      <c r="G99" s="31">
        <f t="shared" si="27"/>
        <v>0.9</v>
      </c>
      <c r="H99">
        <f t="shared" si="28"/>
        <v>165057.66216656781</v>
      </c>
      <c r="I99">
        <f t="shared" si="20"/>
        <v>0</v>
      </c>
      <c r="J99">
        <f t="shared" si="21"/>
        <v>203024.52524655449</v>
      </c>
      <c r="K99">
        <f t="shared" si="22"/>
        <v>202994.66157316155</v>
      </c>
      <c r="L99">
        <f t="shared" si="29"/>
        <v>202994.66157316155</v>
      </c>
      <c r="M99">
        <f t="shared" si="23"/>
        <v>0</v>
      </c>
      <c r="N99" s="30">
        <f t="shared" si="30"/>
        <v>202994.66157316155</v>
      </c>
      <c r="O99" s="30">
        <f t="shared" si="24"/>
        <v>202990.96599774298</v>
      </c>
      <c r="P99" s="30">
        <f t="shared" si="31"/>
        <v>202990.96599774298</v>
      </c>
      <c r="Q99">
        <f t="shared" si="32"/>
        <v>0</v>
      </c>
      <c r="R99" s="30">
        <f t="shared" si="33"/>
        <v>202990.96599774298</v>
      </c>
      <c r="S99" s="30">
        <f t="shared" si="25"/>
        <v>202990.96599774301</v>
      </c>
      <c r="T99" s="30">
        <f t="shared" si="34"/>
        <v>202990.96599774301</v>
      </c>
      <c r="U99">
        <f t="shared" si="35"/>
        <v>0</v>
      </c>
      <c r="V99" s="30">
        <f t="shared" si="36"/>
        <v>202990.96599774301</v>
      </c>
      <c r="W99" s="30">
        <f t="shared" si="26"/>
        <v>202990.96599774304</v>
      </c>
      <c r="X99" s="30">
        <f t="shared" si="37"/>
        <v>202990.96599774304</v>
      </c>
      <c r="Y99">
        <f t="shared" si="38"/>
        <v>0</v>
      </c>
    </row>
    <row r="100" spans="1:25" x14ac:dyDescent="0.25">
      <c r="A100" s="4" t="s">
        <v>18</v>
      </c>
      <c r="B100" s="7" t="s">
        <v>60</v>
      </c>
      <c r="C100" s="2" t="s">
        <v>854</v>
      </c>
      <c r="D100">
        <f>VLOOKUP(B100,'Model allocations'!$A$1:$L$319,3,FALSE)</f>
        <v>2754417.3490333105</v>
      </c>
      <c r="E100" s="32">
        <f>VLOOKUP(B100,'Initial adjusted formula count'!$A$1:$P$319,12,FALSE)</f>
        <v>0.155171309594964</v>
      </c>
      <c r="F100">
        <f>VLOOKUP(B100,'Model allocations'!$A$1:$L$319,8,FALSE)</f>
        <v>2596370.3321759012</v>
      </c>
      <c r="G100" s="31">
        <f t="shared" si="27"/>
        <v>0.9</v>
      </c>
      <c r="H100">
        <f t="shared" si="28"/>
        <v>2478975.6141299796</v>
      </c>
      <c r="I100">
        <f t="shared" si="20"/>
        <v>0</v>
      </c>
      <c r="J100">
        <f t="shared" si="21"/>
        <v>2596370.3321759012</v>
      </c>
      <c r="K100">
        <f t="shared" si="22"/>
        <v>2595988.4218844571</v>
      </c>
      <c r="L100">
        <f t="shared" si="29"/>
        <v>2595988.4218844571</v>
      </c>
      <c r="M100">
        <f t="shared" si="23"/>
        <v>0</v>
      </c>
      <c r="N100" s="30">
        <f t="shared" si="30"/>
        <v>2595988.4218844571</v>
      </c>
      <c r="O100" s="30">
        <f t="shared" si="24"/>
        <v>2595941.1611785628</v>
      </c>
      <c r="P100" s="30">
        <f t="shared" si="31"/>
        <v>2595941.1611785628</v>
      </c>
      <c r="Q100">
        <f t="shared" si="32"/>
        <v>0</v>
      </c>
      <c r="R100" s="30">
        <f t="shared" si="33"/>
        <v>2595941.1611785628</v>
      </c>
      <c r="S100" s="30">
        <f t="shared" si="25"/>
        <v>2595941.1611785633</v>
      </c>
      <c r="T100" s="30">
        <f t="shared" si="34"/>
        <v>2595941.1611785633</v>
      </c>
      <c r="U100">
        <f t="shared" si="35"/>
        <v>0</v>
      </c>
      <c r="V100" s="30">
        <f t="shared" si="36"/>
        <v>2595941.1611785633</v>
      </c>
      <c r="W100" s="30">
        <f t="shared" si="26"/>
        <v>2595941.1611785637</v>
      </c>
      <c r="X100" s="30">
        <f t="shared" si="37"/>
        <v>2595941.1611785637</v>
      </c>
      <c r="Y100">
        <f t="shared" si="38"/>
        <v>0</v>
      </c>
    </row>
    <row r="101" spans="1:25" x14ac:dyDescent="0.25">
      <c r="A101" s="4" t="s">
        <v>855</v>
      </c>
      <c r="B101" s="7" t="s">
        <v>145</v>
      </c>
      <c r="C101" s="2" t="s">
        <v>856</v>
      </c>
      <c r="D101">
        <f>VLOOKUP(B101,'Model allocations'!$A$1:$L$319,3,FALSE)</f>
        <v>119571.87469726894</v>
      </c>
      <c r="E101" s="32">
        <f>VLOOKUP(B101,'Initial adjusted formula count'!$A$1:$P$319,12,FALSE)</f>
        <v>4.4700460829493097E-2</v>
      </c>
      <c r="F101">
        <f>VLOOKUP(B101,'Model allocations'!$A$1:$L$319,8,FALSE)</f>
        <v>101636.0934926786</v>
      </c>
      <c r="G101" s="31">
        <f t="shared" si="27"/>
        <v>0.85</v>
      </c>
      <c r="H101">
        <f t="shared" si="28"/>
        <v>101636.0934926786</v>
      </c>
      <c r="I101">
        <f t="shared" si="20"/>
        <v>0</v>
      </c>
      <c r="J101">
        <f t="shared" si="21"/>
        <v>101636.0934926786</v>
      </c>
      <c r="K101">
        <f t="shared" si="22"/>
        <v>101621.14344121407</v>
      </c>
      <c r="L101">
        <f t="shared" si="29"/>
        <v>101621.14344121407</v>
      </c>
      <c r="M101">
        <f t="shared" si="23"/>
        <v>101636.0934926786</v>
      </c>
      <c r="N101" s="30">
        <f t="shared" si="30"/>
        <v>0</v>
      </c>
      <c r="O101" s="30">
        <f t="shared" si="24"/>
        <v>0</v>
      </c>
      <c r="P101" s="30">
        <f t="shared" si="31"/>
        <v>101636.0934926786</v>
      </c>
      <c r="Q101">
        <f t="shared" si="32"/>
        <v>0</v>
      </c>
      <c r="R101" s="30">
        <f t="shared" si="33"/>
        <v>0</v>
      </c>
      <c r="S101" s="30">
        <f t="shared" si="25"/>
        <v>0</v>
      </c>
      <c r="T101" s="30">
        <f t="shared" si="34"/>
        <v>101636.0934926786</v>
      </c>
      <c r="U101">
        <f t="shared" si="35"/>
        <v>0</v>
      </c>
      <c r="V101" s="30">
        <f t="shared" si="36"/>
        <v>0</v>
      </c>
      <c r="W101" s="30">
        <f t="shared" si="26"/>
        <v>0</v>
      </c>
      <c r="X101" s="30">
        <f t="shared" si="37"/>
        <v>101636.0934926786</v>
      </c>
      <c r="Y101">
        <f t="shared" si="38"/>
        <v>0</v>
      </c>
    </row>
    <row r="102" spans="1:25" x14ac:dyDescent="0.25">
      <c r="A102" s="4" t="s">
        <v>857</v>
      </c>
      <c r="B102" s="7" t="s">
        <v>426</v>
      </c>
      <c r="C102" s="2" t="s">
        <v>858</v>
      </c>
      <c r="D102">
        <f>VLOOKUP(B102,'Model allocations'!$A$1:$L$319,3,FALSE)</f>
        <v>113108.53011903817</v>
      </c>
      <c r="E102" s="32">
        <f>VLOOKUP(B102,'Initial adjusted formula count'!$A$1:$P$319,12,FALSE)</f>
        <v>0.168345323741007</v>
      </c>
      <c r="F102">
        <f>VLOOKUP(B102,'Model allocations'!$A$1:$L$319,8,FALSE)</f>
        <v>101797.67710713435</v>
      </c>
      <c r="G102" s="31">
        <f t="shared" si="27"/>
        <v>0.9</v>
      </c>
      <c r="H102">
        <f t="shared" si="28"/>
        <v>101797.67710713435</v>
      </c>
      <c r="I102">
        <f t="shared" si="20"/>
        <v>0</v>
      </c>
      <c r="J102">
        <f t="shared" si="21"/>
        <v>101797.67710713435</v>
      </c>
      <c r="K102">
        <f t="shared" si="22"/>
        <v>101782.70328770246</v>
      </c>
      <c r="L102">
        <f t="shared" si="29"/>
        <v>101782.70328770246</v>
      </c>
      <c r="M102">
        <f t="shared" si="23"/>
        <v>101797.67710713435</v>
      </c>
      <c r="N102" s="30">
        <f t="shared" si="30"/>
        <v>0</v>
      </c>
      <c r="O102" s="30">
        <f t="shared" si="24"/>
        <v>0</v>
      </c>
      <c r="P102" s="30">
        <f t="shared" si="31"/>
        <v>101797.67710713435</v>
      </c>
      <c r="Q102">
        <f t="shared" si="32"/>
        <v>0</v>
      </c>
      <c r="R102" s="30">
        <f t="shared" si="33"/>
        <v>0</v>
      </c>
      <c r="S102" s="30">
        <f t="shared" si="25"/>
        <v>0</v>
      </c>
      <c r="T102" s="30">
        <f t="shared" si="34"/>
        <v>101797.67710713435</v>
      </c>
      <c r="U102">
        <f t="shared" si="35"/>
        <v>0</v>
      </c>
      <c r="V102" s="30">
        <f t="shared" si="36"/>
        <v>0</v>
      </c>
      <c r="W102" s="30">
        <f t="shared" si="26"/>
        <v>0</v>
      </c>
      <c r="X102" s="30">
        <f t="shared" si="37"/>
        <v>101797.67710713435</v>
      </c>
      <c r="Y102">
        <f t="shared" si="38"/>
        <v>0</v>
      </c>
    </row>
    <row r="103" spans="1:25" x14ac:dyDescent="0.25">
      <c r="A103" s="4" t="s">
        <v>859</v>
      </c>
      <c r="B103" s="7" t="s">
        <v>428</v>
      </c>
      <c r="C103" s="2" t="s">
        <v>860</v>
      </c>
      <c r="D103">
        <f>VLOOKUP(B103,'Model allocations'!$A$1:$L$319,3,FALSE)</f>
        <v>335285.99999572022</v>
      </c>
      <c r="E103" s="32">
        <f>VLOOKUP(B103,'Initial adjusted formula count'!$A$1:$P$319,12,FALSE)</f>
        <v>0.27312775330396499</v>
      </c>
      <c r="F103">
        <f>VLOOKUP(B103,'Model allocations'!$A$1:$L$319,8,FALSE)</f>
        <v>426695.61238258908</v>
      </c>
      <c r="G103" s="31">
        <f t="shared" si="27"/>
        <v>0.9</v>
      </c>
      <c r="H103">
        <f t="shared" si="28"/>
        <v>301757.39999614819</v>
      </c>
      <c r="I103">
        <f t="shared" si="20"/>
        <v>0</v>
      </c>
      <c r="J103">
        <f t="shared" si="21"/>
        <v>426695.61238258908</v>
      </c>
      <c r="K103">
        <f t="shared" si="22"/>
        <v>426632.84805206832</v>
      </c>
      <c r="L103">
        <f t="shared" si="29"/>
        <v>426632.84805206832</v>
      </c>
      <c r="M103">
        <f t="shared" si="23"/>
        <v>0</v>
      </c>
      <c r="N103" s="30">
        <f t="shared" si="30"/>
        <v>426632.84805206832</v>
      </c>
      <c r="O103" s="30">
        <f t="shared" si="24"/>
        <v>426625.08108000219</v>
      </c>
      <c r="P103" s="30">
        <f t="shared" si="31"/>
        <v>426625.08108000219</v>
      </c>
      <c r="Q103">
        <f t="shared" si="32"/>
        <v>0</v>
      </c>
      <c r="R103" s="30">
        <f t="shared" si="33"/>
        <v>426625.08108000219</v>
      </c>
      <c r="S103" s="30">
        <f t="shared" si="25"/>
        <v>426625.0810800023</v>
      </c>
      <c r="T103" s="30">
        <f t="shared" si="34"/>
        <v>426625.0810800023</v>
      </c>
      <c r="U103">
        <f t="shared" si="35"/>
        <v>0</v>
      </c>
      <c r="V103" s="30">
        <f t="shared" si="36"/>
        <v>426625.0810800023</v>
      </c>
      <c r="W103" s="30">
        <f t="shared" si="26"/>
        <v>426625.08108000236</v>
      </c>
      <c r="X103" s="30">
        <f t="shared" si="37"/>
        <v>426625.08108000236</v>
      </c>
      <c r="Y103">
        <f t="shared" si="38"/>
        <v>0</v>
      </c>
    </row>
    <row r="104" spans="1:25" x14ac:dyDescent="0.25">
      <c r="A104" s="4" t="s">
        <v>38</v>
      </c>
      <c r="B104" s="7" t="s">
        <v>83</v>
      </c>
      <c r="C104" s="2" t="s">
        <v>861</v>
      </c>
      <c r="D104">
        <f>VLOOKUP(B104,'Model allocations'!$A$1:$L$319,3,FALSE)</f>
        <v>44370.107615102235</v>
      </c>
      <c r="E104" s="32">
        <f>VLOOKUP(B104,'Initial adjusted formula count'!$A$1:$P$319,12,FALSE)</f>
        <v>0.150401917830186</v>
      </c>
      <c r="F104">
        <f>VLOOKUP(B104,'Model allocations'!$A$1:$L$319,8,FALSE)</f>
        <v>47435.404242576602</v>
      </c>
      <c r="G104" s="31">
        <f t="shared" si="27"/>
        <v>0.9</v>
      </c>
      <c r="H104">
        <f t="shared" si="28"/>
        <v>39933.096853592011</v>
      </c>
      <c r="I104">
        <f t="shared" si="20"/>
        <v>0</v>
      </c>
      <c r="J104">
        <f t="shared" si="21"/>
        <v>47435.404242576602</v>
      </c>
      <c r="K104">
        <f t="shared" si="22"/>
        <v>47428.426782992137</v>
      </c>
      <c r="L104">
        <f t="shared" si="29"/>
        <v>47428.426782992137</v>
      </c>
      <c r="M104">
        <f t="shared" si="23"/>
        <v>0</v>
      </c>
      <c r="N104" s="30">
        <f t="shared" si="30"/>
        <v>47428.426782992137</v>
      </c>
      <c r="O104" s="30">
        <f t="shared" si="24"/>
        <v>47427.563335023595</v>
      </c>
      <c r="P104" s="30">
        <f t="shared" si="31"/>
        <v>47427.563335023595</v>
      </c>
      <c r="Q104">
        <f t="shared" si="32"/>
        <v>0</v>
      </c>
      <c r="R104" s="30">
        <f t="shared" si="33"/>
        <v>47427.563335023595</v>
      </c>
      <c r="S104" s="30">
        <f t="shared" si="25"/>
        <v>47427.563335023602</v>
      </c>
      <c r="T104" s="30">
        <f t="shared" si="34"/>
        <v>47427.563335023602</v>
      </c>
      <c r="U104">
        <f t="shared" si="35"/>
        <v>0</v>
      </c>
      <c r="V104" s="30">
        <f t="shared" si="36"/>
        <v>47427.563335023602</v>
      </c>
      <c r="W104" s="30">
        <f t="shared" si="26"/>
        <v>47427.563335023609</v>
      </c>
      <c r="X104" s="30">
        <f t="shared" si="37"/>
        <v>47427.563335023609</v>
      </c>
      <c r="Y104">
        <f t="shared" si="38"/>
        <v>0</v>
      </c>
    </row>
    <row r="105" spans="1:25" x14ac:dyDescent="0.25">
      <c r="A105" s="4" t="s">
        <v>43</v>
      </c>
      <c r="B105" s="7" t="s">
        <v>78</v>
      </c>
      <c r="C105" s="2" t="s">
        <v>862</v>
      </c>
      <c r="D105">
        <f>VLOOKUP(B105,'Model allocations'!$A$1:$L$319,3,FALSE)</f>
        <v>84397.936852825325</v>
      </c>
      <c r="E105" s="32">
        <f>VLOOKUP(B105,'Initial adjusted formula count'!$A$1:$P$319,12,FALSE)</f>
        <v>0.181661214923031</v>
      </c>
      <c r="F105">
        <f>VLOOKUP(B105,'Model allocations'!$A$1:$L$319,8,FALSE)</f>
        <v>64245.317579215407</v>
      </c>
      <c r="G105" s="31">
        <f t="shared" si="27"/>
        <v>0.9</v>
      </c>
      <c r="H105">
        <f t="shared" si="28"/>
        <v>75958.143167542788</v>
      </c>
      <c r="I105">
        <f t="shared" si="20"/>
        <v>75958.143167542788</v>
      </c>
      <c r="J105">
        <f t="shared" si="21"/>
        <v>0</v>
      </c>
      <c r="K105">
        <f t="shared" si="22"/>
        <v>0</v>
      </c>
      <c r="L105">
        <f t="shared" si="29"/>
        <v>75958.143167542788</v>
      </c>
      <c r="M105">
        <f t="shared" si="23"/>
        <v>0</v>
      </c>
      <c r="N105" s="30">
        <f t="shared" si="30"/>
        <v>0</v>
      </c>
      <c r="O105" s="30">
        <f t="shared" si="24"/>
        <v>0</v>
      </c>
      <c r="P105" s="30">
        <f t="shared" si="31"/>
        <v>75958.143167542788</v>
      </c>
      <c r="Q105">
        <f t="shared" si="32"/>
        <v>0</v>
      </c>
      <c r="R105" s="30">
        <f t="shared" si="33"/>
        <v>0</v>
      </c>
      <c r="S105" s="30">
        <f t="shared" si="25"/>
        <v>0</v>
      </c>
      <c r="T105" s="30">
        <f t="shared" si="34"/>
        <v>75958.143167542788</v>
      </c>
      <c r="U105">
        <f t="shared" si="35"/>
        <v>0</v>
      </c>
      <c r="V105" s="30">
        <f t="shared" si="36"/>
        <v>0</v>
      </c>
      <c r="W105" s="30">
        <f t="shared" si="26"/>
        <v>0</v>
      </c>
      <c r="X105" s="30">
        <f t="shared" si="37"/>
        <v>75958.143167542788</v>
      </c>
      <c r="Y105">
        <f t="shared" si="38"/>
        <v>0</v>
      </c>
    </row>
    <row r="106" spans="1:25" x14ac:dyDescent="0.25">
      <c r="A106" s="4" t="s">
        <v>47</v>
      </c>
      <c r="B106" s="7" t="s">
        <v>79</v>
      </c>
      <c r="C106" s="2" t="s">
        <v>863</v>
      </c>
      <c r="D106">
        <f>VLOOKUP(B106,'Model allocations'!$A$1:$L$319,3,FALSE)</f>
        <v>42125.626879061223</v>
      </c>
      <c r="E106" s="32">
        <f>VLOOKUP(B106,'Initial adjusted formula count'!$A$1:$P$319,12,FALSE)</f>
        <v>0.15137770493984801</v>
      </c>
      <c r="F106">
        <f>VLOOKUP(B106,'Model allocations'!$A$1:$L$319,8,FALSE)</f>
        <v>46029.419607059906</v>
      </c>
      <c r="G106" s="31">
        <f t="shared" si="27"/>
        <v>0.9</v>
      </c>
      <c r="H106">
        <f t="shared" si="28"/>
        <v>37913.064191155099</v>
      </c>
      <c r="I106">
        <f t="shared" si="20"/>
        <v>0</v>
      </c>
      <c r="J106">
        <f t="shared" si="21"/>
        <v>46029.419607059906</v>
      </c>
      <c r="K106">
        <f t="shared" si="22"/>
        <v>46022.648959267761</v>
      </c>
      <c r="L106">
        <f t="shared" si="29"/>
        <v>46022.648959267761</v>
      </c>
      <c r="M106">
        <f t="shared" si="23"/>
        <v>0</v>
      </c>
      <c r="N106" s="30">
        <f t="shared" si="30"/>
        <v>46022.648959267761</v>
      </c>
      <c r="O106" s="30">
        <f t="shared" si="24"/>
        <v>46021.811103883425</v>
      </c>
      <c r="P106" s="30">
        <f t="shared" si="31"/>
        <v>46021.811103883425</v>
      </c>
      <c r="Q106">
        <f t="shared" si="32"/>
        <v>0</v>
      </c>
      <c r="R106" s="30">
        <f t="shared" si="33"/>
        <v>46021.811103883425</v>
      </c>
      <c r="S106" s="30">
        <f t="shared" si="25"/>
        <v>46021.811103883432</v>
      </c>
      <c r="T106" s="30">
        <f t="shared" si="34"/>
        <v>46021.811103883432</v>
      </c>
      <c r="U106">
        <f t="shared" si="35"/>
        <v>0</v>
      </c>
      <c r="V106" s="30">
        <f t="shared" si="36"/>
        <v>46021.811103883432</v>
      </c>
      <c r="W106" s="30">
        <f t="shared" si="26"/>
        <v>46021.81110388344</v>
      </c>
      <c r="X106" s="30">
        <f t="shared" si="37"/>
        <v>46021.81110388344</v>
      </c>
      <c r="Y106">
        <f t="shared" si="38"/>
        <v>0</v>
      </c>
    </row>
    <row r="107" spans="1:25" x14ac:dyDescent="0.25">
      <c r="A107" s="4" t="s">
        <v>864</v>
      </c>
      <c r="B107" s="7" t="s">
        <v>430</v>
      </c>
      <c r="C107" s="2" t="s">
        <v>865</v>
      </c>
      <c r="D107">
        <f>VLOOKUP(B107,'Model allocations'!$A$1:$L$319,3,FALSE)</f>
        <v>40477.006669537383</v>
      </c>
      <c r="E107" s="32">
        <f>VLOOKUP(B107,'Initial adjusted formula count'!$A$1:$P$319,12,FALSE)</f>
        <v>0.238095238095238</v>
      </c>
      <c r="F107">
        <f>VLOOKUP(B107,'Model allocations'!$A$1:$L$319,8,FALSE)</f>
        <v>38712.303542775211</v>
      </c>
      <c r="G107" s="31">
        <f t="shared" si="27"/>
        <v>0.9</v>
      </c>
      <c r="H107">
        <f t="shared" si="28"/>
        <v>36429.306002583646</v>
      </c>
      <c r="I107">
        <f t="shared" si="20"/>
        <v>0</v>
      </c>
      <c r="J107">
        <f t="shared" si="21"/>
        <v>38712.303542775211</v>
      </c>
      <c r="K107">
        <f t="shared" si="22"/>
        <v>38706.609198272316</v>
      </c>
      <c r="L107">
        <f t="shared" si="29"/>
        <v>38706.609198272316</v>
      </c>
      <c r="M107">
        <f t="shared" si="23"/>
        <v>0</v>
      </c>
      <c r="N107" s="30">
        <f t="shared" si="30"/>
        <v>38706.609198272316</v>
      </c>
      <c r="O107" s="30">
        <f t="shared" si="24"/>
        <v>38705.904533467925</v>
      </c>
      <c r="P107" s="30">
        <f t="shared" si="31"/>
        <v>38705.904533467925</v>
      </c>
      <c r="Q107">
        <f t="shared" si="32"/>
        <v>0</v>
      </c>
      <c r="R107" s="30">
        <f t="shared" si="33"/>
        <v>38705.904533467925</v>
      </c>
      <c r="S107" s="30">
        <f t="shared" si="25"/>
        <v>38705.904533467925</v>
      </c>
      <c r="T107" s="30">
        <f t="shared" si="34"/>
        <v>38705.904533467925</v>
      </c>
      <c r="U107">
        <f t="shared" si="35"/>
        <v>0</v>
      </c>
      <c r="V107" s="30">
        <f t="shared" si="36"/>
        <v>38705.904533467925</v>
      </c>
      <c r="W107" s="30">
        <f t="shared" si="26"/>
        <v>38705.904533467925</v>
      </c>
      <c r="X107" s="30">
        <f t="shared" si="37"/>
        <v>38705.904533467925</v>
      </c>
      <c r="Y107">
        <f t="shared" si="38"/>
        <v>0</v>
      </c>
    </row>
    <row r="108" spans="1:25" x14ac:dyDescent="0.25">
      <c r="A108" s="4" t="s">
        <v>866</v>
      </c>
      <c r="B108" s="7" t="s">
        <v>432</v>
      </c>
      <c r="C108" s="2" t="s">
        <v>867</v>
      </c>
      <c r="D108">
        <f>VLOOKUP(B108,'Model allocations'!$A$1:$L$319,3,FALSE)</f>
        <v>0</v>
      </c>
      <c r="E108" s="32">
        <f>VLOOKUP(B108,'Initial adjusted formula count'!$A$1:$P$319,12,FALSE)</f>
        <v>0.16666666666666699</v>
      </c>
      <c r="F108">
        <f>VLOOKUP(B108,'Model allocations'!$A$1:$L$319,8,FALSE)</f>
        <v>0</v>
      </c>
      <c r="G108" s="31">
        <f t="shared" si="27"/>
        <v>0.9</v>
      </c>
      <c r="H108">
        <f t="shared" si="28"/>
        <v>0</v>
      </c>
      <c r="I108">
        <f t="shared" si="20"/>
        <v>0</v>
      </c>
      <c r="J108">
        <f t="shared" si="21"/>
        <v>0</v>
      </c>
      <c r="K108">
        <f t="shared" si="22"/>
        <v>0</v>
      </c>
      <c r="L108">
        <f t="shared" si="29"/>
        <v>0</v>
      </c>
      <c r="M108">
        <f t="shared" si="23"/>
        <v>0</v>
      </c>
      <c r="N108" s="30">
        <f t="shared" si="30"/>
        <v>0</v>
      </c>
      <c r="O108" s="30">
        <f t="shared" si="24"/>
        <v>0</v>
      </c>
      <c r="P108" s="30">
        <f t="shared" si="31"/>
        <v>0</v>
      </c>
      <c r="Q108">
        <f t="shared" si="32"/>
        <v>0</v>
      </c>
      <c r="R108" s="30">
        <f t="shared" si="33"/>
        <v>0</v>
      </c>
      <c r="S108" s="30">
        <f t="shared" si="25"/>
        <v>0</v>
      </c>
      <c r="T108" s="30">
        <f t="shared" si="34"/>
        <v>0</v>
      </c>
      <c r="U108">
        <f t="shared" si="35"/>
        <v>0</v>
      </c>
      <c r="V108" s="30">
        <f t="shared" si="36"/>
        <v>0</v>
      </c>
      <c r="W108" s="30">
        <f t="shared" si="26"/>
        <v>0</v>
      </c>
      <c r="X108" s="30">
        <f t="shared" si="37"/>
        <v>0</v>
      </c>
      <c r="Y108">
        <f t="shared" si="38"/>
        <v>0</v>
      </c>
    </row>
    <row r="109" spans="1:25" x14ac:dyDescent="0.25">
      <c r="A109" s="4" t="s">
        <v>868</v>
      </c>
      <c r="B109" s="7" t="s">
        <v>147</v>
      </c>
      <c r="C109" s="2" t="s">
        <v>869</v>
      </c>
      <c r="D109">
        <f>VLOOKUP(B109,'Model allocations'!$A$1:$L$319,3,FALSE)</f>
        <v>763482.57830350753</v>
      </c>
      <c r="E109" s="32">
        <f>VLOOKUP(B109,'Initial adjusted formula count'!$A$1:$P$319,12,FALSE)</f>
        <v>3.7684349548756303E-2</v>
      </c>
      <c r="F109">
        <f>VLOOKUP(B109,'Model allocations'!$A$1:$L$319,8,FALSE)</f>
        <v>736394.04072479089</v>
      </c>
      <c r="G109" s="31">
        <f t="shared" si="27"/>
        <v>0.85</v>
      </c>
      <c r="H109">
        <f t="shared" si="28"/>
        <v>648960.19155798142</v>
      </c>
      <c r="I109">
        <f t="shared" si="20"/>
        <v>0</v>
      </c>
      <c r="J109">
        <f t="shared" si="21"/>
        <v>736394.04072479089</v>
      </c>
      <c r="K109">
        <f t="shared" si="22"/>
        <v>736285.72163824702</v>
      </c>
      <c r="L109">
        <f t="shared" si="29"/>
        <v>736285.72163824702</v>
      </c>
      <c r="M109">
        <f t="shared" si="23"/>
        <v>0</v>
      </c>
      <c r="N109" s="30">
        <f t="shared" si="30"/>
        <v>736285.72163824702</v>
      </c>
      <c r="O109" s="30">
        <f t="shared" si="24"/>
        <v>736272.31734774576</v>
      </c>
      <c r="P109" s="30">
        <f t="shared" si="31"/>
        <v>736272.31734774576</v>
      </c>
      <c r="Q109">
        <f t="shared" si="32"/>
        <v>0</v>
      </c>
      <c r="R109" s="30">
        <f t="shared" si="33"/>
        <v>736272.31734774576</v>
      </c>
      <c r="S109" s="30">
        <f t="shared" si="25"/>
        <v>736272.31734774588</v>
      </c>
      <c r="T109" s="30">
        <f t="shared" si="34"/>
        <v>736272.31734774588</v>
      </c>
      <c r="U109">
        <f t="shared" si="35"/>
        <v>0</v>
      </c>
      <c r="V109" s="30">
        <f t="shared" si="36"/>
        <v>736272.31734774588</v>
      </c>
      <c r="W109" s="30">
        <f t="shared" si="26"/>
        <v>736272.31734774599</v>
      </c>
      <c r="X109" s="30">
        <f t="shared" si="37"/>
        <v>736272.31734774599</v>
      </c>
      <c r="Y109">
        <f t="shared" si="38"/>
        <v>0</v>
      </c>
    </row>
    <row r="110" spans="1:25" x14ac:dyDescent="0.25">
      <c r="A110" s="4" t="s">
        <v>870</v>
      </c>
      <c r="B110" s="7" t="s">
        <v>149</v>
      </c>
      <c r="C110" s="2" t="s">
        <v>871</v>
      </c>
      <c r="D110">
        <f>VLOOKUP(B110,'Model allocations'!$A$1:$L$319,3,FALSE)</f>
        <v>11310.853011903815</v>
      </c>
      <c r="E110" s="32">
        <f>VLOOKUP(B110,'Initial adjusted formula count'!$A$1:$P$319,12,FALSE)</f>
        <v>0.36666666666666697</v>
      </c>
      <c r="F110">
        <f>VLOOKUP(B110,'Model allocations'!$A$1:$L$319,8,FALSE)</f>
        <v>18926.015065356776</v>
      </c>
      <c r="G110" s="31">
        <f t="shared" si="27"/>
        <v>0.95</v>
      </c>
      <c r="H110">
        <f t="shared" si="28"/>
        <v>10745.310361308624</v>
      </c>
      <c r="I110">
        <f t="shared" si="20"/>
        <v>0</v>
      </c>
      <c r="J110">
        <f t="shared" si="21"/>
        <v>18926.015065356776</v>
      </c>
      <c r="K110">
        <f t="shared" si="22"/>
        <v>18923.231163599808</v>
      </c>
      <c r="L110">
        <f t="shared" si="29"/>
        <v>18923.231163599808</v>
      </c>
      <c r="M110">
        <f t="shared" si="23"/>
        <v>0</v>
      </c>
      <c r="N110" s="30">
        <f t="shared" si="30"/>
        <v>18923.231163599808</v>
      </c>
      <c r="O110" s="30">
        <f t="shared" si="24"/>
        <v>18922.886660806555</v>
      </c>
      <c r="P110" s="30">
        <f t="shared" si="31"/>
        <v>18922.886660806555</v>
      </c>
      <c r="Q110">
        <f t="shared" si="32"/>
        <v>0</v>
      </c>
      <c r="R110" s="30">
        <f t="shared" si="33"/>
        <v>18922.886660806555</v>
      </c>
      <c r="S110" s="30">
        <f t="shared" si="25"/>
        <v>18922.886660806558</v>
      </c>
      <c r="T110" s="30">
        <f t="shared" si="34"/>
        <v>18922.886660806558</v>
      </c>
      <c r="U110">
        <f t="shared" si="35"/>
        <v>0</v>
      </c>
      <c r="V110" s="30">
        <f t="shared" si="36"/>
        <v>18922.886660806558</v>
      </c>
      <c r="W110" s="30">
        <f t="shared" si="26"/>
        <v>18922.886660806558</v>
      </c>
      <c r="X110" s="30">
        <f t="shared" si="37"/>
        <v>18922.886660806558</v>
      </c>
      <c r="Y110">
        <f t="shared" si="38"/>
        <v>0</v>
      </c>
    </row>
    <row r="111" spans="1:25" x14ac:dyDescent="0.25">
      <c r="A111" s="4" t="s">
        <v>872</v>
      </c>
      <c r="B111" s="7" t="s">
        <v>151</v>
      </c>
      <c r="C111" s="2" t="s">
        <v>873</v>
      </c>
      <c r="D111">
        <f>VLOOKUP(B111,'Model allocations'!$A$1:$L$319,3,FALSE)</f>
        <v>101797.67710713435</v>
      </c>
      <c r="E111" s="32">
        <f>VLOOKUP(B111,'Initial adjusted formula count'!$A$1:$P$319,12,FALSE)</f>
        <v>8.4933530280649899E-2</v>
      </c>
      <c r="F111">
        <f>VLOOKUP(B111,'Model allocations'!$A$1:$L$319,8,FALSE)</f>
        <v>98931.442387092218</v>
      </c>
      <c r="G111" s="31">
        <f t="shared" si="27"/>
        <v>0.85</v>
      </c>
      <c r="H111">
        <f t="shared" si="28"/>
        <v>86528.025541064198</v>
      </c>
      <c r="I111">
        <f t="shared" si="20"/>
        <v>0</v>
      </c>
      <c r="J111">
        <f t="shared" si="21"/>
        <v>98931.442387092218</v>
      </c>
      <c r="K111">
        <f t="shared" si="22"/>
        <v>98916.890173362597</v>
      </c>
      <c r="L111">
        <f t="shared" si="29"/>
        <v>98916.890173362597</v>
      </c>
      <c r="M111">
        <f t="shared" si="23"/>
        <v>0</v>
      </c>
      <c r="N111" s="30">
        <f t="shared" si="30"/>
        <v>98916.890173362597</v>
      </c>
      <c r="O111" s="30">
        <f t="shared" si="24"/>
        <v>98915.08936330695</v>
      </c>
      <c r="P111" s="30">
        <f t="shared" si="31"/>
        <v>98915.08936330695</v>
      </c>
      <c r="Q111">
        <f t="shared" si="32"/>
        <v>0</v>
      </c>
      <c r="R111" s="30">
        <f t="shared" si="33"/>
        <v>98915.08936330695</v>
      </c>
      <c r="S111" s="30">
        <f t="shared" si="25"/>
        <v>98915.089363306965</v>
      </c>
      <c r="T111" s="30">
        <f t="shared" si="34"/>
        <v>98915.089363306965</v>
      </c>
      <c r="U111">
        <f t="shared" si="35"/>
        <v>0</v>
      </c>
      <c r="V111" s="30">
        <f t="shared" si="36"/>
        <v>98915.089363306965</v>
      </c>
      <c r="W111" s="30">
        <f t="shared" si="26"/>
        <v>98915.089363306979</v>
      </c>
      <c r="X111" s="30">
        <f t="shared" si="37"/>
        <v>98915.089363306979</v>
      </c>
      <c r="Y111">
        <f t="shared" si="38"/>
        <v>0</v>
      </c>
    </row>
    <row r="112" spans="1:25" x14ac:dyDescent="0.25">
      <c r="A112" s="4" t="s">
        <v>874</v>
      </c>
      <c r="B112" s="7" t="s">
        <v>434</v>
      </c>
      <c r="C112" s="2" t="s">
        <v>875</v>
      </c>
      <c r="D112">
        <f>VLOOKUP(B112,'Model allocations'!$A$1:$L$319,3,FALSE)</f>
        <v>25045.460240644166</v>
      </c>
      <c r="E112" s="32">
        <f>VLOOKUP(B112,'Initial adjusted formula count'!$A$1:$P$319,12,FALSE)</f>
        <v>0.31067961165048502</v>
      </c>
      <c r="F112">
        <f>VLOOKUP(B112,'Model allocations'!$A$1:$L$319,8,FALSE)</f>
        <v>27528.749185973495</v>
      </c>
      <c r="G112" s="31">
        <f t="shared" si="27"/>
        <v>0.95</v>
      </c>
      <c r="H112">
        <f t="shared" si="28"/>
        <v>23793.187228611958</v>
      </c>
      <c r="I112">
        <f t="shared" si="20"/>
        <v>0</v>
      </c>
      <c r="J112">
        <f t="shared" si="21"/>
        <v>27528.749185973495</v>
      </c>
      <c r="K112">
        <f t="shared" si="22"/>
        <v>27524.699874326994</v>
      </c>
      <c r="L112">
        <f t="shared" si="29"/>
        <v>27524.699874326994</v>
      </c>
      <c r="M112">
        <f t="shared" si="23"/>
        <v>0</v>
      </c>
      <c r="N112" s="30">
        <f t="shared" si="30"/>
        <v>27524.699874326994</v>
      </c>
      <c r="O112" s="30">
        <f t="shared" si="24"/>
        <v>27524.198779354985</v>
      </c>
      <c r="P112" s="30">
        <f t="shared" si="31"/>
        <v>27524.198779354985</v>
      </c>
      <c r="Q112">
        <f t="shared" si="32"/>
        <v>0</v>
      </c>
      <c r="R112" s="30">
        <f t="shared" si="33"/>
        <v>27524.198779354985</v>
      </c>
      <c r="S112" s="30">
        <f t="shared" si="25"/>
        <v>27524.198779354992</v>
      </c>
      <c r="T112" s="30">
        <f t="shared" si="34"/>
        <v>27524.198779354992</v>
      </c>
      <c r="U112">
        <f t="shared" si="35"/>
        <v>0</v>
      </c>
      <c r="V112" s="30">
        <f t="shared" si="36"/>
        <v>27524.198779354992</v>
      </c>
      <c r="W112" s="30">
        <f t="shared" si="26"/>
        <v>27524.198779354996</v>
      </c>
      <c r="X112" s="30">
        <f t="shared" si="37"/>
        <v>27524.198779354996</v>
      </c>
      <c r="Y112">
        <f t="shared" si="38"/>
        <v>0</v>
      </c>
    </row>
    <row r="113" spans="1:25" x14ac:dyDescent="0.25">
      <c r="A113" s="8" t="s">
        <v>876</v>
      </c>
      <c r="B113" s="7" t="s">
        <v>436</v>
      </c>
      <c r="C113" s="2" t="s">
        <v>877</v>
      </c>
      <c r="D113">
        <f>VLOOKUP(B113,'Model allocations'!$A$1:$L$319,3,FALSE)</f>
        <v>720662.92047272902</v>
      </c>
      <c r="E113" s="32">
        <f>VLOOKUP(B113,'Initial adjusted formula count'!$A$1:$P$319,12,FALSE)</f>
        <v>0.17111517367458901</v>
      </c>
      <c r="F113">
        <f>VLOOKUP(B113,'Model allocations'!$A$1:$L$319,8,FALSE)</f>
        <v>805215.91368972487</v>
      </c>
      <c r="G113" s="31">
        <f t="shared" si="27"/>
        <v>0.9</v>
      </c>
      <c r="H113">
        <f t="shared" si="28"/>
        <v>648596.62842545612</v>
      </c>
      <c r="I113">
        <f t="shared" si="20"/>
        <v>0</v>
      </c>
      <c r="J113">
        <f t="shared" si="21"/>
        <v>805215.91368972487</v>
      </c>
      <c r="K113">
        <f t="shared" si="22"/>
        <v>805097.47132406465</v>
      </c>
      <c r="L113">
        <f t="shared" si="29"/>
        <v>805097.47132406465</v>
      </c>
      <c r="M113">
        <f t="shared" si="23"/>
        <v>0</v>
      </c>
      <c r="N113" s="30">
        <f t="shared" si="30"/>
        <v>805097.47132406465</v>
      </c>
      <c r="O113" s="30">
        <f t="shared" si="24"/>
        <v>805082.81429613347</v>
      </c>
      <c r="P113" s="30">
        <f t="shared" si="31"/>
        <v>805082.81429613347</v>
      </c>
      <c r="Q113">
        <f t="shared" si="32"/>
        <v>0</v>
      </c>
      <c r="R113" s="30">
        <f t="shared" si="33"/>
        <v>805082.81429613347</v>
      </c>
      <c r="S113" s="30">
        <f t="shared" si="25"/>
        <v>805082.81429613358</v>
      </c>
      <c r="T113" s="30">
        <f t="shared" si="34"/>
        <v>805082.81429613358</v>
      </c>
      <c r="U113">
        <f t="shared" si="35"/>
        <v>0</v>
      </c>
      <c r="V113" s="30">
        <f t="shared" si="36"/>
        <v>805082.81429613358</v>
      </c>
      <c r="W113" s="30">
        <f t="shared" si="26"/>
        <v>805082.8142961337</v>
      </c>
      <c r="X113" s="30">
        <f t="shared" si="37"/>
        <v>805082.8142961337</v>
      </c>
      <c r="Y113">
        <f t="shared" si="38"/>
        <v>0</v>
      </c>
    </row>
    <row r="114" spans="1:25" x14ac:dyDescent="0.25">
      <c r="A114" s="4" t="s">
        <v>878</v>
      </c>
      <c r="B114" s="7" t="s">
        <v>438</v>
      </c>
      <c r="C114" s="2" t="s">
        <v>879</v>
      </c>
      <c r="D114">
        <f>VLOOKUP(B114,'Model allocations'!$A$1:$L$319,3,FALSE)</f>
        <v>2151582.8586041536</v>
      </c>
      <c r="E114" s="32">
        <f>VLOOKUP(B114,'Initial adjusted formula count'!$A$1:$P$319,12,FALSE)</f>
        <v>0.13937879678620399</v>
      </c>
      <c r="F114">
        <f>VLOOKUP(B114,'Model allocations'!$A$1:$L$319,8,FALSE)</f>
        <v>2447477.8573154551</v>
      </c>
      <c r="G114" s="31">
        <f t="shared" si="27"/>
        <v>0.85</v>
      </c>
      <c r="H114">
        <f t="shared" si="28"/>
        <v>1828845.4298135305</v>
      </c>
      <c r="I114">
        <f t="shared" si="20"/>
        <v>0</v>
      </c>
      <c r="J114">
        <f t="shared" si="21"/>
        <v>2447477.8573154551</v>
      </c>
      <c r="K114">
        <f t="shared" si="22"/>
        <v>2447117.848201883</v>
      </c>
      <c r="L114">
        <f t="shared" si="29"/>
        <v>2447117.848201883</v>
      </c>
      <c r="M114">
        <f t="shared" si="23"/>
        <v>0</v>
      </c>
      <c r="N114" s="30">
        <f t="shared" si="30"/>
        <v>2447117.848201883</v>
      </c>
      <c r="O114" s="30">
        <f t="shared" si="24"/>
        <v>2447073.2977270279</v>
      </c>
      <c r="P114" s="30">
        <f t="shared" si="31"/>
        <v>2447073.2977270279</v>
      </c>
      <c r="Q114">
        <f t="shared" si="32"/>
        <v>0</v>
      </c>
      <c r="R114" s="30">
        <f t="shared" si="33"/>
        <v>2447073.2977270279</v>
      </c>
      <c r="S114" s="30">
        <f t="shared" si="25"/>
        <v>2447073.2977270284</v>
      </c>
      <c r="T114" s="30">
        <f t="shared" si="34"/>
        <v>2447073.2977270284</v>
      </c>
      <c r="U114">
        <f t="shared" si="35"/>
        <v>0</v>
      </c>
      <c r="V114" s="30">
        <f t="shared" si="36"/>
        <v>2447073.2977270284</v>
      </c>
      <c r="W114" s="30">
        <f t="shared" si="26"/>
        <v>2447073.2977270288</v>
      </c>
      <c r="X114" s="30">
        <f t="shared" si="37"/>
        <v>2447073.2977270288</v>
      </c>
      <c r="Y114">
        <f t="shared" si="38"/>
        <v>0</v>
      </c>
    </row>
    <row r="115" spans="1:25" x14ac:dyDescent="0.25">
      <c r="A115" s="4" t="s">
        <v>880</v>
      </c>
      <c r="B115" s="7" t="s">
        <v>440</v>
      </c>
      <c r="C115" s="2" t="s">
        <v>881</v>
      </c>
      <c r="D115">
        <f>VLOOKUP(B115,'Model allocations'!$A$1:$L$319,3,FALSE)</f>
        <v>3665524.2939291149</v>
      </c>
      <c r="E115" s="32">
        <f>VLOOKUP(B115,'Initial adjusted formula count'!$A$1:$P$319,12,FALSE)</f>
        <v>0.14381940044683</v>
      </c>
      <c r="F115">
        <f>VLOOKUP(B115,'Model allocations'!$A$1:$L$319,8,FALSE)</f>
        <v>3710359.2262219908</v>
      </c>
      <c r="G115" s="31">
        <f t="shared" si="27"/>
        <v>0.85</v>
      </c>
      <c r="H115">
        <f t="shared" si="28"/>
        <v>3115695.6498397477</v>
      </c>
      <c r="I115">
        <f t="shared" si="20"/>
        <v>0</v>
      </c>
      <c r="J115">
        <f t="shared" si="21"/>
        <v>3710359.2262219908</v>
      </c>
      <c r="K115">
        <f t="shared" si="22"/>
        <v>3709813.4549366361</v>
      </c>
      <c r="L115">
        <f t="shared" si="29"/>
        <v>3709813.4549366361</v>
      </c>
      <c r="M115">
        <f t="shared" si="23"/>
        <v>0</v>
      </c>
      <c r="N115" s="30">
        <f t="shared" si="30"/>
        <v>3709813.4549366361</v>
      </c>
      <c r="O115" s="30">
        <f t="shared" si="24"/>
        <v>3709745.9167299401</v>
      </c>
      <c r="P115" s="30">
        <f t="shared" si="31"/>
        <v>3709745.9167299401</v>
      </c>
      <c r="Q115">
        <f t="shared" si="32"/>
        <v>0</v>
      </c>
      <c r="R115" s="30">
        <f t="shared" si="33"/>
        <v>3709745.9167299401</v>
      </c>
      <c r="S115" s="30">
        <f t="shared" si="25"/>
        <v>3709745.9167299406</v>
      </c>
      <c r="T115" s="30">
        <f t="shared" si="34"/>
        <v>3709745.9167299406</v>
      </c>
      <c r="U115">
        <f t="shared" si="35"/>
        <v>0</v>
      </c>
      <c r="V115" s="30">
        <f t="shared" si="36"/>
        <v>3709745.9167299406</v>
      </c>
      <c r="W115" s="30">
        <f t="shared" si="26"/>
        <v>3709745.9167299415</v>
      </c>
      <c r="X115" s="30">
        <f t="shared" si="37"/>
        <v>3709745.9167299415</v>
      </c>
      <c r="Y115">
        <f t="shared" si="38"/>
        <v>0</v>
      </c>
    </row>
    <row r="116" spans="1:25" x14ac:dyDescent="0.25">
      <c r="A116" s="4" t="s">
        <v>882</v>
      </c>
      <c r="B116" s="7" t="s">
        <v>442</v>
      </c>
      <c r="C116" s="2" t="s">
        <v>883</v>
      </c>
      <c r="D116">
        <f>VLOOKUP(B116,'Model allocations'!$A$1:$L$319,3,FALSE)</f>
        <v>136538.15421512464</v>
      </c>
      <c r="E116" s="32">
        <f>VLOOKUP(B116,'Initial adjusted formula count'!$A$1:$P$319,12,FALSE)</f>
        <v>0.158119658119658</v>
      </c>
      <c r="F116">
        <f>VLOOKUP(B116,'Model allocations'!$A$1:$L$319,8,FALSE)</f>
        <v>127320.46498512739</v>
      </c>
      <c r="G116" s="31">
        <f t="shared" si="27"/>
        <v>0.9</v>
      </c>
      <c r="H116">
        <f t="shared" si="28"/>
        <v>122884.33879361217</v>
      </c>
      <c r="I116">
        <f t="shared" si="20"/>
        <v>0</v>
      </c>
      <c r="J116">
        <f t="shared" si="21"/>
        <v>127320.46498512739</v>
      </c>
      <c r="K116">
        <f t="shared" si="22"/>
        <v>127301.73691876233</v>
      </c>
      <c r="L116">
        <f t="shared" si="29"/>
        <v>127301.73691876233</v>
      </c>
      <c r="M116">
        <f t="shared" si="23"/>
        <v>0</v>
      </c>
      <c r="N116" s="30">
        <f t="shared" si="30"/>
        <v>127301.73691876233</v>
      </c>
      <c r="O116" s="30">
        <f t="shared" si="24"/>
        <v>127299.41935451679</v>
      </c>
      <c r="P116" s="30">
        <f t="shared" si="31"/>
        <v>127299.41935451679</v>
      </c>
      <c r="Q116">
        <f t="shared" si="32"/>
        <v>0</v>
      </c>
      <c r="R116" s="30">
        <f t="shared" si="33"/>
        <v>127299.41935451679</v>
      </c>
      <c r="S116" s="30">
        <f t="shared" si="25"/>
        <v>127299.41935451681</v>
      </c>
      <c r="T116" s="30">
        <f t="shared" si="34"/>
        <v>127299.41935451681</v>
      </c>
      <c r="U116">
        <f t="shared" si="35"/>
        <v>0</v>
      </c>
      <c r="V116" s="30">
        <f t="shared" si="36"/>
        <v>127299.41935451681</v>
      </c>
      <c r="W116" s="30">
        <f t="shared" si="26"/>
        <v>127299.41935451684</v>
      </c>
      <c r="X116" s="30">
        <f t="shared" si="37"/>
        <v>127299.41935451684</v>
      </c>
      <c r="Y116">
        <f t="shared" si="38"/>
        <v>0</v>
      </c>
    </row>
    <row r="117" spans="1:25" x14ac:dyDescent="0.25">
      <c r="A117" s="8" t="s">
        <v>884</v>
      </c>
      <c r="B117" s="7" t="s">
        <v>444</v>
      </c>
      <c r="C117" s="2" t="s">
        <v>885</v>
      </c>
      <c r="D117">
        <f>VLOOKUP(B117,'Model allocations'!$A$1:$L$319,3,FALSE)</f>
        <v>221369.55180440319</v>
      </c>
      <c r="E117" s="32">
        <f>VLOOKUP(B117,'Initial adjusted formula count'!$A$1:$P$319,12,FALSE)</f>
        <v>0.14401388085598599</v>
      </c>
      <c r="F117">
        <f>VLOOKUP(B117,'Model allocations'!$A$1:$L$319,8,FALSE)</f>
        <v>214208.07960335622</v>
      </c>
      <c r="G117" s="31">
        <f t="shared" si="27"/>
        <v>0.85</v>
      </c>
      <c r="H117">
        <f t="shared" si="28"/>
        <v>188164.1190337427</v>
      </c>
      <c r="I117">
        <f t="shared" si="20"/>
        <v>0</v>
      </c>
      <c r="J117">
        <f t="shared" si="21"/>
        <v>214208.07960335622</v>
      </c>
      <c r="K117">
        <f t="shared" si="22"/>
        <v>214176.57089710687</v>
      </c>
      <c r="L117">
        <f t="shared" si="29"/>
        <v>214176.57089710687</v>
      </c>
      <c r="M117">
        <f t="shared" si="23"/>
        <v>0</v>
      </c>
      <c r="N117" s="30">
        <f t="shared" si="30"/>
        <v>214176.57089710687</v>
      </c>
      <c r="O117" s="30">
        <f t="shared" si="24"/>
        <v>214172.67175185593</v>
      </c>
      <c r="P117" s="30">
        <f t="shared" si="31"/>
        <v>214172.67175185593</v>
      </c>
      <c r="Q117">
        <f t="shared" si="32"/>
        <v>0</v>
      </c>
      <c r="R117" s="30">
        <f t="shared" si="33"/>
        <v>214172.67175185593</v>
      </c>
      <c r="S117" s="30">
        <f t="shared" si="25"/>
        <v>214172.67175185593</v>
      </c>
      <c r="T117" s="30">
        <f t="shared" si="34"/>
        <v>214172.67175185593</v>
      </c>
      <c r="U117">
        <f t="shared" si="35"/>
        <v>0</v>
      </c>
      <c r="V117" s="30">
        <f t="shared" si="36"/>
        <v>214172.67175185593</v>
      </c>
      <c r="W117" s="30">
        <f t="shared" si="26"/>
        <v>214172.67175185593</v>
      </c>
      <c r="X117" s="30">
        <f t="shared" si="37"/>
        <v>214172.67175185593</v>
      </c>
      <c r="Y117">
        <f t="shared" si="38"/>
        <v>0</v>
      </c>
    </row>
    <row r="118" spans="1:25" x14ac:dyDescent="0.25">
      <c r="A118" s="4" t="s">
        <v>886</v>
      </c>
      <c r="B118" s="7" t="s">
        <v>282</v>
      </c>
      <c r="C118" s="2" t="s">
        <v>887</v>
      </c>
      <c r="D118">
        <f>VLOOKUP(B118,'Model allocations'!$A$1:$L$319,3,FALSE)</f>
        <v>46859.248192172949</v>
      </c>
      <c r="E118" s="32">
        <f>VLOOKUP(B118,'Initial adjusted formula count'!$A$1:$P$319,12,FALSE)</f>
        <v>7.7445652173912999E-2</v>
      </c>
      <c r="F118">
        <f>VLOOKUP(B118,'Model allocations'!$A$1:$L$319,8,FALSE)</f>
        <v>49035.584487515254</v>
      </c>
      <c r="G118" s="31">
        <f t="shared" si="27"/>
        <v>0.85</v>
      </c>
      <c r="H118">
        <f t="shared" si="28"/>
        <v>39830.360963347004</v>
      </c>
      <c r="I118">
        <f t="shared" si="20"/>
        <v>0</v>
      </c>
      <c r="J118">
        <f t="shared" si="21"/>
        <v>49035.584487515254</v>
      </c>
      <c r="K118">
        <f t="shared" si="22"/>
        <v>49028.371651144924</v>
      </c>
      <c r="L118">
        <f t="shared" si="29"/>
        <v>49028.371651144924</v>
      </c>
      <c r="M118">
        <f t="shared" si="23"/>
        <v>0</v>
      </c>
      <c r="N118" s="30">
        <f t="shared" si="30"/>
        <v>49028.371651144924</v>
      </c>
      <c r="O118" s="30">
        <f t="shared" si="24"/>
        <v>49027.479075726034</v>
      </c>
      <c r="P118" s="30">
        <f t="shared" si="31"/>
        <v>49027.479075726034</v>
      </c>
      <c r="Q118">
        <f t="shared" si="32"/>
        <v>0</v>
      </c>
      <c r="R118" s="30">
        <f t="shared" si="33"/>
        <v>49027.479075726034</v>
      </c>
      <c r="S118" s="30">
        <f t="shared" si="25"/>
        <v>49027.479075726042</v>
      </c>
      <c r="T118" s="30">
        <f t="shared" si="34"/>
        <v>49027.479075726042</v>
      </c>
      <c r="U118">
        <f t="shared" si="35"/>
        <v>0</v>
      </c>
      <c r="V118" s="30">
        <f t="shared" si="36"/>
        <v>49027.479075726042</v>
      </c>
      <c r="W118" s="30">
        <f t="shared" si="26"/>
        <v>49027.479075726049</v>
      </c>
      <c r="X118" s="30">
        <f t="shared" si="37"/>
        <v>49027.479075726049</v>
      </c>
      <c r="Y118">
        <f t="shared" si="38"/>
        <v>0</v>
      </c>
    </row>
    <row r="119" spans="1:25" x14ac:dyDescent="0.25">
      <c r="A119" s="4" t="s">
        <v>888</v>
      </c>
      <c r="B119" s="7" t="s">
        <v>445</v>
      </c>
      <c r="C119" s="2" t="s">
        <v>889</v>
      </c>
      <c r="D119">
        <f>VLOOKUP(B119,'Model allocations'!$A$1:$L$319,3,FALSE)</f>
        <v>12926.689156461511</v>
      </c>
      <c r="E119" s="32">
        <f>VLOOKUP(B119,'Initial adjusted formula count'!$A$1:$P$319,12,FALSE)</f>
        <v>0.21249999999999999</v>
      </c>
      <c r="F119">
        <f>VLOOKUP(B119,'Model allocations'!$A$1:$L$319,8,FALSE)</f>
        <v>14624.648005048422</v>
      </c>
      <c r="G119" s="31">
        <f t="shared" si="27"/>
        <v>0.9</v>
      </c>
      <c r="H119">
        <f t="shared" si="28"/>
        <v>11634.02024081536</v>
      </c>
      <c r="I119">
        <f t="shared" si="20"/>
        <v>0</v>
      </c>
      <c r="J119">
        <f t="shared" si="21"/>
        <v>14624.648005048422</v>
      </c>
      <c r="K119">
        <f t="shared" si="22"/>
        <v>14622.496808236219</v>
      </c>
      <c r="L119">
        <f t="shared" si="29"/>
        <v>14622.496808236219</v>
      </c>
      <c r="M119">
        <f t="shared" si="23"/>
        <v>0</v>
      </c>
      <c r="N119" s="30">
        <f t="shared" si="30"/>
        <v>14622.496808236219</v>
      </c>
      <c r="O119" s="30">
        <f t="shared" si="24"/>
        <v>14622.230601532339</v>
      </c>
      <c r="P119" s="30">
        <f t="shared" si="31"/>
        <v>14622.230601532339</v>
      </c>
      <c r="Q119">
        <f t="shared" si="32"/>
        <v>0</v>
      </c>
      <c r="R119" s="30">
        <f t="shared" si="33"/>
        <v>14622.230601532339</v>
      </c>
      <c r="S119" s="30">
        <f t="shared" si="25"/>
        <v>14622.230601532343</v>
      </c>
      <c r="T119" s="30">
        <f t="shared" si="34"/>
        <v>14622.230601532343</v>
      </c>
      <c r="U119">
        <f t="shared" si="35"/>
        <v>0</v>
      </c>
      <c r="V119" s="30">
        <f t="shared" si="36"/>
        <v>14622.230601532343</v>
      </c>
      <c r="W119" s="30">
        <f t="shared" si="26"/>
        <v>14622.230601532345</v>
      </c>
      <c r="X119" s="30">
        <f t="shared" si="37"/>
        <v>14622.230601532345</v>
      </c>
      <c r="Y119">
        <f t="shared" si="38"/>
        <v>0</v>
      </c>
    </row>
    <row r="120" spans="1:25" x14ac:dyDescent="0.25">
      <c r="A120" s="4" t="s">
        <v>890</v>
      </c>
      <c r="B120" s="7" t="s">
        <v>153</v>
      </c>
      <c r="C120" s="2" t="s">
        <v>891</v>
      </c>
      <c r="D120">
        <f>VLOOKUP(B120,'Model allocations'!$A$1:$L$319,3,FALSE)</f>
        <v>126035.21927549965</v>
      </c>
      <c r="E120" s="32">
        <f>VLOOKUP(B120,'Initial adjusted formula count'!$A$1:$P$319,12,FALSE)</f>
        <v>5.9190031152648002E-2</v>
      </c>
      <c r="F120">
        <f>VLOOKUP(B120,'Model allocations'!$A$1:$L$319,8,FALSE)</f>
        <v>107129.9363841747</v>
      </c>
      <c r="G120" s="31">
        <f t="shared" si="27"/>
        <v>0.85</v>
      </c>
      <c r="H120">
        <f t="shared" si="28"/>
        <v>107129.9363841747</v>
      </c>
      <c r="I120">
        <f t="shared" si="20"/>
        <v>0</v>
      </c>
      <c r="J120">
        <f t="shared" si="21"/>
        <v>107129.9363841747</v>
      </c>
      <c r="K120">
        <f t="shared" si="22"/>
        <v>107114.17822182018</v>
      </c>
      <c r="L120">
        <f t="shared" si="29"/>
        <v>107114.17822182018</v>
      </c>
      <c r="M120">
        <f t="shared" si="23"/>
        <v>107129.9363841747</v>
      </c>
      <c r="N120" s="30">
        <f t="shared" si="30"/>
        <v>0</v>
      </c>
      <c r="O120" s="30">
        <f t="shared" si="24"/>
        <v>0</v>
      </c>
      <c r="P120" s="30">
        <f t="shared" si="31"/>
        <v>107129.9363841747</v>
      </c>
      <c r="Q120">
        <f t="shared" si="32"/>
        <v>0</v>
      </c>
      <c r="R120" s="30">
        <f t="shared" si="33"/>
        <v>0</v>
      </c>
      <c r="S120" s="30">
        <f t="shared" si="25"/>
        <v>0</v>
      </c>
      <c r="T120" s="30">
        <f t="shared" si="34"/>
        <v>107129.9363841747</v>
      </c>
      <c r="U120">
        <f t="shared" si="35"/>
        <v>0</v>
      </c>
      <c r="V120" s="30">
        <f t="shared" si="36"/>
        <v>0</v>
      </c>
      <c r="W120" s="30">
        <f t="shared" si="26"/>
        <v>0</v>
      </c>
      <c r="X120" s="30">
        <f t="shared" si="37"/>
        <v>107129.9363841747</v>
      </c>
      <c r="Y120">
        <f t="shared" si="38"/>
        <v>0</v>
      </c>
    </row>
    <row r="121" spans="1:25" x14ac:dyDescent="0.25">
      <c r="A121" s="4" t="s">
        <v>892</v>
      </c>
      <c r="B121" s="7" t="s">
        <v>284</v>
      </c>
      <c r="C121" s="2" t="s">
        <v>893</v>
      </c>
      <c r="D121">
        <f>VLOOKUP(B121,'Model allocations'!$A$1:$L$319,3,FALSE)</f>
        <v>110684.7759022016</v>
      </c>
      <c r="E121" s="32">
        <f>VLOOKUP(B121,'Initial adjusted formula count'!$A$1:$P$319,12,FALSE)</f>
        <v>0.157983193277311</v>
      </c>
      <c r="F121">
        <f>VLOOKUP(B121,'Model allocations'!$A$1:$L$319,8,FALSE)</f>
        <v>99616.298311981445</v>
      </c>
      <c r="G121" s="31">
        <f t="shared" si="27"/>
        <v>0.9</v>
      </c>
      <c r="H121">
        <f t="shared" si="28"/>
        <v>99616.298311981445</v>
      </c>
      <c r="I121">
        <f t="shared" si="20"/>
        <v>0</v>
      </c>
      <c r="J121">
        <f t="shared" si="21"/>
        <v>99616.298311981445</v>
      </c>
      <c r="K121">
        <f t="shared" si="22"/>
        <v>99601.6453601088</v>
      </c>
      <c r="L121">
        <f t="shared" si="29"/>
        <v>99601.6453601088</v>
      </c>
      <c r="M121">
        <f t="shared" si="23"/>
        <v>99616.298311981445</v>
      </c>
      <c r="N121" s="30">
        <f t="shared" si="30"/>
        <v>0</v>
      </c>
      <c r="O121" s="30">
        <f t="shared" si="24"/>
        <v>0</v>
      </c>
      <c r="P121" s="30">
        <f t="shared" si="31"/>
        <v>99616.298311981445</v>
      </c>
      <c r="Q121">
        <f t="shared" si="32"/>
        <v>0</v>
      </c>
      <c r="R121" s="30">
        <f t="shared" si="33"/>
        <v>0</v>
      </c>
      <c r="S121" s="30">
        <f t="shared" si="25"/>
        <v>0</v>
      </c>
      <c r="T121" s="30">
        <f t="shared" si="34"/>
        <v>99616.298311981445</v>
      </c>
      <c r="U121">
        <f t="shared" si="35"/>
        <v>0</v>
      </c>
      <c r="V121" s="30">
        <f t="shared" si="36"/>
        <v>0</v>
      </c>
      <c r="W121" s="30">
        <f t="shared" si="26"/>
        <v>0</v>
      </c>
      <c r="X121" s="30">
        <f t="shared" si="37"/>
        <v>99616.298311981445</v>
      </c>
      <c r="Y121">
        <f t="shared" si="38"/>
        <v>0</v>
      </c>
    </row>
    <row r="122" spans="1:25" x14ac:dyDescent="0.25">
      <c r="A122" s="4" t="s">
        <v>894</v>
      </c>
      <c r="B122" s="7" t="s">
        <v>447</v>
      </c>
      <c r="C122" s="2" t="s">
        <v>895</v>
      </c>
      <c r="D122">
        <f>VLOOKUP(B122,'Model allocations'!$A$1:$L$319,3,FALSE)</f>
        <v>0</v>
      </c>
      <c r="E122" s="32">
        <f>VLOOKUP(B122,'Initial adjusted formula count'!$A$1:$P$319,12,FALSE)</f>
        <v>0.20689655172413801</v>
      </c>
      <c r="F122">
        <f>VLOOKUP(B122,'Model allocations'!$A$1:$L$319,8,FALSE)</f>
        <v>15484.92141711009</v>
      </c>
      <c r="G122" s="31">
        <f t="shared" si="27"/>
        <v>0.9</v>
      </c>
      <c r="H122">
        <f t="shared" si="28"/>
        <v>0</v>
      </c>
      <c r="I122">
        <f t="shared" si="20"/>
        <v>0</v>
      </c>
      <c r="J122">
        <f t="shared" si="21"/>
        <v>15484.92141711009</v>
      </c>
      <c r="K122">
        <f t="shared" si="22"/>
        <v>15482.643679308932</v>
      </c>
      <c r="L122">
        <f t="shared" si="29"/>
        <v>15482.643679308932</v>
      </c>
      <c r="M122">
        <f t="shared" si="23"/>
        <v>0</v>
      </c>
      <c r="N122" s="30">
        <f t="shared" si="30"/>
        <v>15482.643679308932</v>
      </c>
      <c r="O122" s="30">
        <f t="shared" si="24"/>
        <v>15482.361813387177</v>
      </c>
      <c r="P122" s="30">
        <f t="shared" si="31"/>
        <v>15482.361813387177</v>
      </c>
      <c r="Q122">
        <f t="shared" si="32"/>
        <v>0</v>
      </c>
      <c r="R122" s="30">
        <f t="shared" si="33"/>
        <v>15482.361813387177</v>
      </c>
      <c r="S122" s="30">
        <f t="shared" si="25"/>
        <v>15482.361813387181</v>
      </c>
      <c r="T122" s="30">
        <f t="shared" si="34"/>
        <v>15482.361813387181</v>
      </c>
      <c r="U122">
        <f t="shared" si="35"/>
        <v>0</v>
      </c>
      <c r="V122" s="30">
        <f t="shared" si="36"/>
        <v>15482.361813387181</v>
      </c>
      <c r="W122" s="30">
        <f t="shared" si="26"/>
        <v>15482.361813387182</v>
      </c>
      <c r="X122" s="30">
        <f t="shared" si="37"/>
        <v>15482.361813387182</v>
      </c>
      <c r="Y122">
        <f t="shared" si="38"/>
        <v>0</v>
      </c>
    </row>
    <row r="123" spans="1:25" x14ac:dyDescent="0.25">
      <c r="A123" s="8" t="s">
        <v>896</v>
      </c>
      <c r="B123" s="7" t="s">
        <v>286</v>
      </c>
      <c r="C123" s="2" t="s">
        <v>897</v>
      </c>
      <c r="D123">
        <f>VLOOKUP(B123,'Model allocations'!$A$1:$L$319,3,FALSE)</f>
        <v>138153.9903596823</v>
      </c>
      <c r="E123" s="32">
        <f>VLOOKUP(B123,'Initial adjusted formula count'!$A$1:$P$319,12,FALSE)</f>
        <v>0.13268608414239499</v>
      </c>
      <c r="F123">
        <f>VLOOKUP(B123,'Model allocations'!$A$1:$L$319,8,FALSE)</f>
        <v>141084.83957811413</v>
      </c>
      <c r="G123" s="31">
        <f t="shared" si="27"/>
        <v>0.85</v>
      </c>
      <c r="H123">
        <f t="shared" si="28"/>
        <v>117430.89180572995</v>
      </c>
      <c r="I123">
        <f t="shared" si="20"/>
        <v>0</v>
      </c>
      <c r="J123">
        <f t="shared" si="21"/>
        <v>141084.83957811413</v>
      </c>
      <c r="K123">
        <f t="shared" si="22"/>
        <v>141064.08685592579</v>
      </c>
      <c r="L123">
        <f t="shared" si="29"/>
        <v>141064.08685592579</v>
      </c>
      <c r="M123">
        <f t="shared" si="23"/>
        <v>0</v>
      </c>
      <c r="N123" s="30">
        <f t="shared" si="30"/>
        <v>141064.08685592579</v>
      </c>
      <c r="O123" s="30">
        <f t="shared" si="24"/>
        <v>141061.51874419427</v>
      </c>
      <c r="P123" s="30">
        <f t="shared" si="31"/>
        <v>141061.51874419427</v>
      </c>
      <c r="Q123">
        <f t="shared" si="32"/>
        <v>0</v>
      </c>
      <c r="R123" s="30">
        <f t="shared" si="33"/>
        <v>141061.51874419427</v>
      </c>
      <c r="S123" s="30">
        <f t="shared" si="25"/>
        <v>141061.5187441943</v>
      </c>
      <c r="T123" s="30">
        <f t="shared" si="34"/>
        <v>141061.5187441943</v>
      </c>
      <c r="U123">
        <f t="shared" si="35"/>
        <v>0</v>
      </c>
      <c r="V123" s="30">
        <f t="shared" si="36"/>
        <v>141061.5187441943</v>
      </c>
      <c r="W123" s="30">
        <f t="shared" si="26"/>
        <v>141061.5187441943</v>
      </c>
      <c r="X123" s="30">
        <f t="shared" si="37"/>
        <v>141061.5187441943</v>
      </c>
      <c r="Y123">
        <f t="shared" si="38"/>
        <v>0</v>
      </c>
    </row>
    <row r="124" spans="1:25" x14ac:dyDescent="0.25">
      <c r="A124" s="4" t="s">
        <v>898</v>
      </c>
      <c r="B124" s="7" t="s">
        <v>155</v>
      </c>
      <c r="C124" s="2" t="s">
        <v>899</v>
      </c>
      <c r="D124">
        <f>VLOOKUP(B124,'Model allocations'!$A$1:$L$319,3,FALSE)</f>
        <v>433044.08674146037</v>
      </c>
      <c r="E124" s="32">
        <f>VLOOKUP(B124,'Initial adjusted formula count'!$A$1:$P$319,12,FALSE)</f>
        <v>5.6730675504435099E-2</v>
      </c>
      <c r="F124">
        <f>VLOOKUP(B124,'Model allocations'!$A$1:$L$319,8,FALSE)</f>
        <v>500679.12581989291</v>
      </c>
      <c r="G124" s="31">
        <f t="shared" si="27"/>
        <v>0.85</v>
      </c>
      <c r="H124">
        <f t="shared" si="28"/>
        <v>368087.4737302413</v>
      </c>
      <c r="I124">
        <f t="shared" si="20"/>
        <v>0</v>
      </c>
      <c r="J124">
        <f t="shared" si="21"/>
        <v>500679.12581989291</v>
      </c>
      <c r="K124">
        <f t="shared" si="22"/>
        <v>500605.47896432219</v>
      </c>
      <c r="L124">
        <f t="shared" si="29"/>
        <v>500605.47896432219</v>
      </c>
      <c r="M124">
        <f t="shared" si="23"/>
        <v>0</v>
      </c>
      <c r="N124" s="30">
        <f t="shared" si="30"/>
        <v>500605.47896432219</v>
      </c>
      <c r="O124" s="30">
        <f t="shared" si="24"/>
        <v>500596.36529951874</v>
      </c>
      <c r="P124" s="30">
        <f t="shared" si="31"/>
        <v>500596.36529951874</v>
      </c>
      <c r="Q124">
        <f t="shared" si="32"/>
        <v>0</v>
      </c>
      <c r="R124" s="30">
        <f t="shared" si="33"/>
        <v>500596.36529951874</v>
      </c>
      <c r="S124" s="30">
        <f t="shared" si="25"/>
        <v>500596.36529951886</v>
      </c>
      <c r="T124" s="30">
        <f t="shared" si="34"/>
        <v>500596.36529951886</v>
      </c>
      <c r="U124">
        <f t="shared" si="35"/>
        <v>0</v>
      </c>
      <c r="V124" s="30">
        <f t="shared" si="36"/>
        <v>500596.36529951886</v>
      </c>
      <c r="W124" s="30">
        <f t="shared" si="26"/>
        <v>500596.36529951892</v>
      </c>
      <c r="X124" s="30">
        <f t="shared" si="37"/>
        <v>500596.36529951892</v>
      </c>
      <c r="Y124">
        <f t="shared" si="38"/>
        <v>0</v>
      </c>
    </row>
    <row r="125" spans="1:25" x14ac:dyDescent="0.25">
      <c r="A125" s="4" t="s">
        <v>900</v>
      </c>
      <c r="B125" s="7" t="s">
        <v>157</v>
      </c>
      <c r="C125" s="2" t="s">
        <v>901</v>
      </c>
      <c r="D125">
        <f>VLOOKUP(B125,'Model allocations'!$A$1:$L$319,3,FALSE)</f>
        <v>1253080.9301044871</v>
      </c>
      <c r="E125" s="32">
        <f>VLOOKUP(B125,'Initial adjusted formula count'!$A$1:$P$319,12,FALSE)</f>
        <v>3.9684322866932499E-2</v>
      </c>
      <c r="F125">
        <f>VLOOKUP(B125,'Model allocations'!$A$1:$L$319,8,FALSE)</f>
        <v>1215566.3312431416</v>
      </c>
      <c r="G125" s="31">
        <f t="shared" si="27"/>
        <v>0.85</v>
      </c>
      <c r="H125">
        <f t="shared" si="28"/>
        <v>1065118.7905888141</v>
      </c>
      <c r="I125">
        <f t="shared" si="20"/>
        <v>0</v>
      </c>
      <c r="J125">
        <f t="shared" si="21"/>
        <v>1215566.3312431416</v>
      </c>
      <c r="K125">
        <f t="shared" si="22"/>
        <v>1215387.5288257508</v>
      </c>
      <c r="L125">
        <f t="shared" si="29"/>
        <v>1215387.5288257508</v>
      </c>
      <c r="M125">
        <f t="shared" si="23"/>
        <v>0</v>
      </c>
      <c r="N125" s="30">
        <f t="shared" si="30"/>
        <v>1215387.5288257508</v>
      </c>
      <c r="O125" s="30">
        <f t="shared" si="24"/>
        <v>1215365.4023508932</v>
      </c>
      <c r="P125" s="30">
        <f t="shared" si="31"/>
        <v>1215365.4023508932</v>
      </c>
      <c r="Q125">
        <f t="shared" si="32"/>
        <v>0</v>
      </c>
      <c r="R125" s="30">
        <f t="shared" si="33"/>
        <v>1215365.4023508932</v>
      </c>
      <c r="S125" s="30">
        <f t="shared" si="25"/>
        <v>1215365.4023508932</v>
      </c>
      <c r="T125" s="30">
        <f t="shared" si="34"/>
        <v>1215365.4023508932</v>
      </c>
      <c r="U125">
        <f t="shared" si="35"/>
        <v>0</v>
      </c>
      <c r="V125" s="30">
        <f t="shared" si="36"/>
        <v>1215365.4023508932</v>
      </c>
      <c r="W125" s="30">
        <f t="shared" si="26"/>
        <v>1215365.4023508932</v>
      </c>
      <c r="X125" s="30">
        <f t="shared" si="37"/>
        <v>1215365.4023508932</v>
      </c>
      <c r="Y125">
        <f t="shared" si="38"/>
        <v>0</v>
      </c>
    </row>
    <row r="126" spans="1:25" x14ac:dyDescent="0.25">
      <c r="A126" s="4" t="s">
        <v>902</v>
      </c>
      <c r="B126" s="7" t="s">
        <v>159</v>
      </c>
      <c r="C126" s="2" t="s">
        <v>903</v>
      </c>
      <c r="D126">
        <f>VLOOKUP(B126,'Model allocations'!$A$1:$L$319,3,FALSE)</f>
        <v>249646.68433416271</v>
      </c>
      <c r="E126" s="32">
        <f>VLOOKUP(B126,'Initial adjusted formula count'!$A$1:$P$319,12,FALSE)</f>
        <v>0.13734392735527801</v>
      </c>
      <c r="F126">
        <f>VLOOKUP(B126,'Model allocations'!$A$1:$L$319,8,FALSE)</f>
        <v>312279.24857838673</v>
      </c>
      <c r="G126" s="31">
        <f t="shared" si="27"/>
        <v>0.85</v>
      </c>
      <c r="H126">
        <f t="shared" si="28"/>
        <v>212199.68168403831</v>
      </c>
      <c r="I126">
        <f t="shared" si="20"/>
        <v>0</v>
      </c>
      <c r="J126">
        <f t="shared" si="21"/>
        <v>312279.24857838673</v>
      </c>
      <c r="K126">
        <f t="shared" si="22"/>
        <v>312233.31419939676</v>
      </c>
      <c r="L126">
        <f t="shared" si="29"/>
        <v>312233.31419939676</v>
      </c>
      <c r="M126">
        <f t="shared" si="23"/>
        <v>0</v>
      </c>
      <c r="N126" s="30">
        <f t="shared" si="30"/>
        <v>312233.31419939676</v>
      </c>
      <c r="O126" s="30">
        <f t="shared" si="24"/>
        <v>312227.62990330806</v>
      </c>
      <c r="P126" s="30">
        <f t="shared" si="31"/>
        <v>312227.62990330806</v>
      </c>
      <c r="Q126">
        <f t="shared" si="32"/>
        <v>0</v>
      </c>
      <c r="R126" s="30">
        <f t="shared" si="33"/>
        <v>312227.62990330806</v>
      </c>
      <c r="S126" s="30">
        <f t="shared" si="25"/>
        <v>312227.62990330812</v>
      </c>
      <c r="T126" s="30">
        <f t="shared" si="34"/>
        <v>312227.62990330812</v>
      </c>
      <c r="U126">
        <f t="shared" si="35"/>
        <v>0</v>
      </c>
      <c r="V126" s="30">
        <f t="shared" si="36"/>
        <v>312227.62990330812</v>
      </c>
      <c r="W126" s="30">
        <f t="shared" si="26"/>
        <v>312227.62990330817</v>
      </c>
      <c r="X126" s="30">
        <f t="shared" si="37"/>
        <v>312227.62990330817</v>
      </c>
      <c r="Y126">
        <f t="shared" si="38"/>
        <v>0</v>
      </c>
    </row>
    <row r="127" spans="1:25" x14ac:dyDescent="0.25">
      <c r="A127" s="4" t="s">
        <v>904</v>
      </c>
      <c r="B127" s="7" t="s">
        <v>161</v>
      </c>
      <c r="C127" s="2" t="s">
        <v>905</v>
      </c>
      <c r="D127">
        <f>VLOOKUP(B127,'Model allocations'!$A$1:$L$319,3,FALSE)</f>
        <v>0</v>
      </c>
      <c r="E127" s="32">
        <f>VLOOKUP(B127,'Initial adjusted formula count'!$A$1:$P$319,12,FALSE)</f>
        <v>0.33333333333333298</v>
      </c>
      <c r="F127">
        <f>VLOOKUP(B127,'Model allocations'!$A$1:$L$319,8,FALSE)</f>
        <v>0</v>
      </c>
      <c r="G127" s="31">
        <f t="shared" si="27"/>
        <v>0.95</v>
      </c>
      <c r="H127">
        <f t="shared" si="28"/>
        <v>0</v>
      </c>
      <c r="I127">
        <f t="shared" si="20"/>
        <v>0</v>
      </c>
      <c r="J127">
        <f t="shared" si="21"/>
        <v>0</v>
      </c>
      <c r="K127">
        <f t="shared" si="22"/>
        <v>0</v>
      </c>
      <c r="L127">
        <f t="shared" si="29"/>
        <v>0</v>
      </c>
      <c r="M127">
        <f t="shared" si="23"/>
        <v>0</v>
      </c>
      <c r="N127" s="30">
        <f t="shared" si="30"/>
        <v>0</v>
      </c>
      <c r="O127" s="30">
        <f t="shared" si="24"/>
        <v>0</v>
      </c>
      <c r="P127" s="30">
        <f t="shared" si="31"/>
        <v>0</v>
      </c>
      <c r="Q127">
        <f t="shared" si="32"/>
        <v>0</v>
      </c>
      <c r="R127" s="30">
        <f t="shared" si="33"/>
        <v>0</v>
      </c>
      <c r="S127" s="30">
        <f t="shared" si="25"/>
        <v>0</v>
      </c>
      <c r="T127" s="30">
        <f t="shared" si="34"/>
        <v>0</v>
      </c>
      <c r="U127">
        <f t="shared" si="35"/>
        <v>0</v>
      </c>
      <c r="V127" s="30">
        <f t="shared" si="36"/>
        <v>0</v>
      </c>
      <c r="W127" s="30">
        <f t="shared" si="26"/>
        <v>0</v>
      </c>
      <c r="X127" s="30">
        <f t="shared" si="37"/>
        <v>0</v>
      </c>
      <c r="Y127">
        <f t="shared" si="38"/>
        <v>0</v>
      </c>
    </row>
    <row r="128" spans="1:25" x14ac:dyDescent="0.25">
      <c r="A128" s="4" t="s">
        <v>906</v>
      </c>
      <c r="B128" s="7" t="s">
        <v>163</v>
      </c>
      <c r="C128" s="2" t="s">
        <v>907</v>
      </c>
      <c r="D128">
        <f>VLOOKUP(B128,'Model allocations'!$A$1:$L$319,3,FALSE)</f>
        <v>54938.428914961398</v>
      </c>
      <c r="E128" s="32">
        <f>VLOOKUP(B128,'Initial adjusted formula count'!$A$1:$P$319,12,FALSE)</f>
        <v>9.4316807738814998E-2</v>
      </c>
      <c r="F128">
        <f>VLOOKUP(B128,'Model allocations'!$A$1:$L$319,8,FALSE)</f>
        <v>67101.326140810357</v>
      </c>
      <c r="G128" s="31">
        <f t="shared" si="27"/>
        <v>0.85</v>
      </c>
      <c r="H128">
        <f t="shared" si="28"/>
        <v>46697.664577717187</v>
      </c>
      <c r="I128">
        <f t="shared" si="20"/>
        <v>0</v>
      </c>
      <c r="J128">
        <f t="shared" si="21"/>
        <v>67101.326140810357</v>
      </c>
      <c r="K128">
        <f t="shared" si="22"/>
        <v>67091.455943672016</v>
      </c>
      <c r="L128">
        <f t="shared" si="29"/>
        <v>67091.455943672016</v>
      </c>
      <c r="M128">
        <f t="shared" si="23"/>
        <v>0</v>
      </c>
      <c r="N128" s="30">
        <f t="shared" si="30"/>
        <v>67091.455943672016</v>
      </c>
      <c r="O128" s="30">
        <f t="shared" si="24"/>
        <v>67090.23452467774</v>
      </c>
      <c r="P128" s="30">
        <f t="shared" si="31"/>
        <v>67090.23452467774</v>
      </c>
      <c r="Q128">
        <f t="shared" si="32"/>
        <v>0</v>
      </c>
      <c r="R128" s="30">
        <f t="shared" si="33"/>
        <v>67090.23452467774</v>
      </c>
      <c r="S128" s="30">
        <f t="shared" si="25"/>
        <v>67090.23452467774</v>
      </c>
      <c r="T128" s="30">
        <f t="shared" si="34"/>
        <v>67090.23452467774</v>
      </c>
      <c r="U128">
        <f t="shared" si="35"/>
        <v>0</v>
      </c>
      <c r="V128" s="30">
        <f t="shared" si="36"/>
        <v>67090.23452467774</v>
      </c>
      <c r="W128" s="30">
        <f t="shared" si="26"/>
        <v>67090.23452467774</v>
      </c>
      <c r="X128" s="30">
        <f t="shared" si="37"/>
        <v>67090.23452467774</v>
      </c>
      <c r="Y128">
        <f t="shared" si="38"/>
        <v>0</v>
      </c>
    </row>
    <row r="129" spans="1:25" x14ac:dyDescent="0.25">
      <c r="A129" s="4" t="s">
        <v>908</v>
      </c>
      <c r="B129" s="7" t="s">
        <v>451</v>
      </c>
      <c r="C129" s="2" t="s">
        <v>909</v>
      </c>
      <c r="D129">
        <f>VLOOKUP(B129,'Model allocations'!$A$1:$L$319,3,FALSE)</f>
        <v>54130.510842682546</v>
      </c>
      <c r="E129" s="32">
        <f>VLOOKUP(B129,'Initial adjusted formula count'!$A$1:$P$319,12,FALSE)</f>
        <v>0.26710097719869702</v>
      </c>
      <c r="F129">
        <f>VLOOKUP(B129,'Model allocations'!$A$1:$L$319,8,FALSE)</f>
        <v>70542.419789057065</v>
      </c>
      <c r="G129" s="31">
        <f t="shared" si="27"/>
        <v>0.9</v>
      </c>
      <c r="H129">
        <f t="shared" si="28"/>
        <v>48717.45975841429</v>
      </c>
      <c r="I129">
        <f t="shared" si="20"/>
        <v>0</v>
      </c>
      <c r="J129">
        <f t="shared" si="21"/>
        <v>70542.419789057065</v>
      </c>
      <c r="K129">
        <f t="shared" si="22"/>
        <v>70532.043427962897</v>
      </c>
      <c r="L129">
        <f t="shared" si="29"/>
        <v>70532.043427962897</v>
      </c>
      <c r="M129">
        <f t="shared" si="23"/>
        <v>0</v>
      </c>
      <c r="N129" s="30">
        <f t="shared" si="30"/>
        <v>70532.043427962897</v>
      </c>
      <c r="O129" s="30">
        <f t="shared" si="24"/>
        <v>70530.759372097134</v>
      </c>
      <c r="P129" s="30">
        <f t="shared" si="31"/>
        <v>70530.759372097134</v>
      </c>
      <c r="Q129">
        <f t="shared" si="32"/>
        <v>0</v>
      </c>
      <c r="R129" s="30">
        <f t="shared" si="33"/>
        <v>70530.759372097134</v>
      </c>
      <c r="S129" s="30">
        <f t="shared" si="25"/>
        <v>70530.759372097149</v>
      </c>
      <c r="T129" s="30">
        <f t="shared" si="34"/>
        <v>70530.759372097149</v>
      </c>
      <c r="U129">
        <f t="shared" si="35"/>
        <v>0</v>
      </c>
      <c r="V129" s="30">
        <f t="shared" si="36"/>
        <v>70530.759372097149</v>
      </c>
      <c r="W129" s="30">
        <f t="shared" si="26"/>
        <v>70530.759372097149</v>
      </c>
      <c r="X129" s="30">
        <f t="shared" si="37"/>
        <v>70530.759372097149</v>
      </c>
      <c r="Y129">
        <f t="shared" si="38"/>
        <v>0</v>
      </c>
    </row>
    <row r="130" spans="1:25" x14ac:dyDescent="0.25">
      <c r="A130" s="4" t="s">
        <v>910</v>
      </c>
      <c r="B130" s="7" t="s">
        <v>453</v>
      </c>
      <c r="C130" s="2" t="s">
        <v>911</v>
      </c>
      <c r="D130">
        <f>VLOOKUP(B130,'Model allocations'!$A$1:$L$319,3,FALSE)</f>
        <v>1011530.8399718293</v>
      </c>
      <c r="E130" s="32">
        <f>VLOOKUP(B130,'Initial adjusted formula count'!$A$1:$P$319,12,FALSE)</f>
        <v>0.18630440809536999</v>
      </c>
      <c r="F130">
        <f>VLOOKUP(B130,'Model allocations'!$A$1:$L$319,8,FALSE)</f>
        <v>1156207.4658108861</v>
      </c>
      <c r="G130" s="31">
        <f t="shared" si="27"/>
        <v>0.9</v>
      </c>
      <c r="H130">
        <f t="shared" si="28"/>
        <v>910377.75597464642</v>
      </c>
      <c r="I130">
        <f t="shared" si="20"/>
        <v>0</v>
      </c>
      <c r="J130">
        <f t="shared" si="21"/>
        <v>1156207.4658108861</v>
      </c>
      <c r="K130">
        <f t="shared" si="22"/>
        <v>1156037.3947217332</v>
      </c>
      <c r="L130">
        <f t="shared" si="29"/>
        <v>1156037.3947217332</v>
      </c>
      <c r="M130">
        <f t="shared" si="23"/>
        <v>0</v>
      </c>
      <c r="N130" s="30">
        <f t="shared" si="30"/>
        <v>1156037.3947217332</v>
      </c>
      <c r="O130" s="30">
        <f t="shared" si="24"/>
        <v>1156016.348732909</v>
      </c>
      <c r="P130" s="30">
        <f t="shared" si="31"/>
        <v>1156016.348732909</v>
      </c>
      <c r="Q130">
        <f t="shared" si="32"/>
        <v>0</v>
      </c>
      <c r="R130" s="30">
        <f t="shared" si="33"/>
        <v>1156016.348732909</v>
      </c>
      <c r="S130" s="30">
        <f t="shared" si="25"/>
        <v>1156016.3487329092</v>
      </c>
      <c r="T130" s="30">
        <f t="shared" si="34"/>
        <v>1156016.3487329092</v>
      </c>
      <c r="U130">
        <f t="shared" si="35"/>
        <v>0</v>
      </c>
      <c r="V130" s="30">
        <f t="shared" si="36"/>
        <v>1156016.3487329092</v>
      </c>
      <c r="W130" s="30">
        <f t="shared" si="26"/>
        <v>1156016.3487329092</v>
      </c>
      <c r="X130" s="30">
        <f t="shared" si="37"/>
        <v>1156016.3487329092</v>
      </c>
      <c r="Y130">
        <f t="shared" si="38"/>
        <v>0</v>
      </c>
    </row>
    <row r="131" spans="1:25" x14ac:dyDescent="0.25">
      <c r="A131" s="4" t="s">
        <v>912</v>
      </c>
      <c r="B131" s="7" t="s">
        <v>455</v>
      </c>
      <c r="C131" s="2" t="s">
        <v>913</v>
      </c>
      <c r="D131">
        <f>VLOOKUP(B131,'Model allocations'!$A$1:$L$319,3,FALSE)</f>
        <v>48787.661091888862</v>
      </c>
      <c r="E131" s="32">
        <f>VLOOKUP(B131,'Initial adjusted formula count'!$A$1:$P$319,12,FALSE)</f>
        <v>0.23137254901960799</v>
      </c>
      <c r="F131">
        <f>VLOOKUP(B131,'Model allocations'!$A$1:$L$319,8,FALSE)</f>
        <v>50756.131311638623</v>
      </c>
      <c r="G131" s="31">
        <f t="shared" si="27"/>
        <v>0.9</v>
      </c>
      <c r="H131">
        <f t="shared" si="28"/>
        <v>43908.894982699974</v>
      </c>
      <c r="I131">
        <f t="shared" si="20"/>
        <v>0</v>
      </c>
      <c r="J131">
        <f t="shared" si="21"/>
        <v>50756.131311638623</v>
      </c>
      <c r="K131">
        <f t="shared" si="22"/>
        <v>50748.665393290386</v>
      </c>
      <c r="L131">
        <f t="shared" si="29"/>
        <v>50748.665393290386</v>
      </c>
      <c r="M131">
        <f t="shared" si="23"/>
        <v>0</v>
      </c>
      <c r="N131" s="30">
        <f t="shared" si="30"/>
        <v>50748.665393290386</v>
      </c>
      <c r="O131" s="30">
        <f t="shared" si="24"/>
        <v>50747.741499435746</v>
      </c>
      <c r="P131" s="30">
        <f t="shared" si="31"/>
        <v>50747.741499435746</v>
      </c>
      <c r="Q131">
        <f t="shared" si="32"/>
        <v>0</v>
      </c>
      <c r="R131" s="30">
        <f t="shared" si="33"/>
        <v>50747.741499435746</v>
      </c>
      <c r="S131" s="30">
        <f t="shared" si="25"/>
        <v>50747.741499435753</v>
      </c>
      <c r="T131" s="30">
        <f t="shared" si="34"/>
        <v>50747.741499435753</v>
      </c>
      <c r="U131">
        <f t="shared" si="35"/>
        <v>0</v>
      </c>
      <c r="V131" s="30">
        <f t="shared" si="36"/>
        <v>50747.741499435753</v>
      </c>
      <c r="W131" s="30">
        <f t="shared" si="26"/>
        <v>50747.74149943576</v>
      </c>
      <c r="X131" s="30">
        <f t="shared" si="37"/>
        <v>50747.74149943576</v>
      </c>
      <c r="Y131">
        <f t="shared" si="38"/>
        <v>0</v>
      </c>
    </row>
    <row r="132" spans="1:25" x14ac:dyDescent="0.25">
      <c r="A132" s="4" t="s">
        <v>914</v>
      </c>
      <c r="B132" s="7" t="s">
        <v>457</v>
      </c>
      <c r="C132" s="2" t="s">
        <v>915</v>
      </c>
      <c r="D132">
        <f>VLOOKUP(B132,'Model allocations'!$A$1:$L$319,3,FALSE)</f>
        <v>46051.330119894112</v>
      </c>
      <c r="E132" s="32">
        <f>VLOOKUP(B132,'Initial adjusted formula count'!$A$1:$P$319,12,FALSE)</f>
        <v>0.16433566433566399</v>
      </c>
      <c r="F132">
        <f>VLOOKUP(B132,'Model allocations'!$A$1:$L$319,8,FALSE)</f>
        <v>41446.1971079047</v>
      </c>
      <c r="G132" s="31">
        <f t="shared" si="27"/>
        <v>0.9</v>
      </c>
      <c r="H132">
        <f t="shared" si="28"/>
        <v>41446.1971079047</v>
      </c>
      <c r="I132">
        <f t="shared" ref="I132:I195" si="39">IF(F132&lt;H132,H132,0)</f>
        <v>0</v>
      </c>
      <c r="J132">
        <f t="shared" ref="J132:J195" si="40">IF(I132=0,F132,0)</f>
        <v>41446.1971079047</v>
      </c>
      <c r="K132">
        <f t="shared" ref="K132:K195" si="41">(J132/$J$3)*($F$3-$I$3)</f>
        <v>41440.100624278857</v>
      </c>
      <c r="L132">
        <f t="shared" si="29"/>
        <v>41440.100624278857</v>
      </c>
      <c r="M132">
        <f t="shared" ref="M132:M195" si="42">IF(L132&lt;H132,H132,0)</f>
        <v>41446.1971079047</v>
      </c>
      <c r="N132" s="30">
        <f t="shared" si="30"/>
        <v>0</v>
      </c>
      <c r="O132" s="30">
        <f t="shared" ref="O132:O195" si="43">((N132/$N$3)*($F$3-$I$3-$M$3))</f>
        <v>0</v>
      </c>
      <c r="P132" s="30">
        <f t="shared" si="31"/>
        <v>41446.1971079047</v>
      </c>
      <c r="Q132">
        <f t="shared" si="32"/>
        <v>0</v>
      </c>
      <c r="R132" s="30">
        <f t="shared" si="33"/>
        <v>0</v>
      </c>
      <c r="S132" s="30">
        <f t="shared" ref="S132:S195" si="44">((R132/$R$3)*($F$3-$I$3-$M$3-$Q$3))</f>
        <v>0</v>
      </c>
      <c r="T132" s="30">
        <f t="shared" si="34"/>
        <v>41446.1971079047</v>
      </c>
      <c r="U132">
        <f t="shared" si="35"/>
        <v>0</v>
      </c>
      <c r="V132" s="30">
        <f t="shared" si="36"/>
        <v>0</v>
      </c>
      <c r="W132" s="30">
        <f t="shared" ref="W132:W195" si="45">((V132/$V$3)*($F$3-$I$3-$M$3-$Q$3-$U$3))</f>
        <v>0</v>
      </c>
      <c r="X132" s="30">
        <f t="shared" si="37"/>
        <v>41446.1971079047</v>
      </c>
      <c r="Y132">
        <f t="shared" si="38"/>
        <v>0</v>
      </c>
    </row>
    <row r="133" spans="1:25" x14ac:dyDescent="0.25">
      <c r="A133" s="4" t="s">
        <v>30</v>
      </c>
      <c r="B133" s="7" t="s">
        <v>80</v>
      </c>
      <c r="C133" s="2" t="s">
        <v>916</v>
      </c>
      <c r="D133">
        <f>VLOOKUP(B133,'Model allocations'!$A$1:$L$319,3,FALSE)</f>
        <v>0</v>
      </c>
      <c r="E133" s="32">
        <f>VLOOKUP(B133,'Initial adjusted formula count'!$A$1:$P$319,12,FALSE)</f>
        <v>0.243967739812114</v>
      </c>
      <c r="F133">
        <f>VLOOKUP(B133,'Model allocations'!$A$1:$L$319,8,FALSE)</f>
        <v>0</v>
      </c>
      <c r="G133" s="31">
        <f t="shared" ref="G133:G196" si="46">IF(E133&lt;0.15,0.85,IF(AND(E133&gt;=0.15,E133&lt;0.3),0.9,0.95))</f>
        <v>0.9</v>
      </c>
      <c r="H133">
        <f t="shared" ref="H133:H196" si="47">IF(F133 = 0, 0, D133*G133)</f>
        <v>0</v>
      </c>
      <c r="I133">
        <f t="shared" si="39"/>
        <v>0</v>
      </c>
      <c r="J133">
        <f t="shared" si="40"/>
        <v>0</v>
      </c>
      <c r="K133">
        <f t="shared" si="41"/>
        <v>0</v>
      </c>
      <c r="L133">
        <f t="shared" ref="L133:L196" si="48">I133+K133</f>
        <v>0</v>
      </c>
      <c r="M133">
        <f t="shared" si="42"/>
        <v>0</v>
      </c>
      <c r="N133" s="30">
        <f t="shared" ref="N133:N196" si="49">IF($I133+$M133=0,L133,0)</f>
        <v>0</v>
      </c>
      <c r="O133" s="30">
        <f t="shared" si="43"/>
        <v>0</v>
      </c>
      <c r="P133" s="30">
        <f t="shared" ref="P133:P196" si="50">$I133+$M133+O133</f>
        <v>0</v>
      </c>
      <c r="Q133">
        <f t="shared" ref="Q133:Q196" si="51">IF(P133&lt;H133,H133,0)</f>
        <v>0</v>
      </c>
      <c r="R133" s="30">
        <f t="shared" ref="R133:R196" si="52">IF($I133+$M133+$Q133=0,P133,0)</f>
        <v>0</v>
      </c>
      <c r="S133" s="30">
        <f t="shared" si="44"/>
        <v>0</v>
      </c>
      <c r="T133" s="30">
        <f t="shared" ref="T133:T196" si="53">$I133+$M133+$Q133+S133</f>
        <v>0</v>
      </c>
      <c r="U133">
        <f t="shared" ref="U133:U196" si="54">IF(T133&lt;H133,H133,0)</f>
        <v>0</v>
      </c>
      <c r="V133" s="30">
        <f t="shared" ref="V133:V196" si="55">IF($I133+$M133+$Q133+U133=0,T133,0)</f>
        <v>0</v>
      </c>
      <c r="W133" s="30">
        <f t="shared" si="45"/>
        <v>0</v>
      </c>
      <c r="X133" s="30">
        <f t="shared" ref="X133:X196" si="56">$I133+$M133+$Q133+$U133+W133</f>
        <v>0</v>
      </c>
      <c r="Y133">
        <f t="shared" ref="Y133:Y196" si="57">IF(X133&lt;H133,H133,0)</f>
        <v>0</v>
      </c>
    </row>
    <row r="134" spans="1:25" x14ac:dyDescent="0.25">
      <c r="A134" s="4" t="s">
        <v>917</v>
      </c>
      <c r="B134" s="7" t="s">
        <v>459</v>
      </c>
      <c r="C134" s="2" t="s">
        <v>918</v>
      </c>
      <c r="D134">
        <f>VLOOKUP(B134,'Model allocations'!$A$1:$L$319,3,FALSE)</f>
        <v>79581.911418073476</v>
      </c>
      <c r="E134" s="32">
        <f>VLOOKUP(B134,'Initial adjusted formula count'!$A$1:$P$319,12,FALSE)</f>
        <v>0.17560975609756099</v>
      </c>
      <c r="F134">
        <f>VLOOKUP(B134,'Model allocations'!$A$1:$L$319,8,FALSE)</f>
        <v>71623.720276266133</v>
      </c>
      <c r="G134" s="31">
        <f t="shared" si="46"/>
        <v>0.9</v>
      </c>
      <c r="H134">
        <f t="shared" si="47"/>
        <v>71623.720276266133</v>
      </c>
      <c r="I134">
        <f t="shared" si="39"/>
        <v>0</v>
      </c>
      <c r="J134">
        <f t="shared" si="40"/>
        <v>71623.720276266133</v>
      </c>
      <c r="K134">
        <f t="shared" si="41"/>
        <v>71613.184862443974</v>
      </c>
      <c r="L134">
        <f t="shared" si="48"/>
        <v>71613.184862443974</v>
      </c>
      <c r="M134">
        <f t="shared" si="42"/>
        <v>71623.720276266133</v>
      </c>
      <c r="N134" s="30">
        <f t="shared" si="49"/>
        <v>0</v>
      </c>
      <c r="O134" s="30">
        <f t="shared" si="43"/>
        <v>0</v>
      </c>
      <c r="P134" s="30">
        <f t="shared" si="50"/>
        <v>71623.720276266133</v>
      </c>
      <c r="Q134">
        <f t="shared" si="51"/>
        <v>0</v>
      </c>
      <c r="R134" s="30">
        <f t="shared" si="52"/>
        <v>0</v>
      </c>
      <c r="S134" s="30">
        <f t="shared" si="44"/>
        <v>0</v>
      </c>
      <c r="T134" s="30">
        <f t="shared" si="53"/>
        <v>71623.720276266133</v>
      </c>
      <c r="U134">
        <f t="shared" si="54"/>
        <v>0</v>
      </c>
      <c r="V134" s="30">
        <f t="shared" si="55"/>
        <v>0</v>
      </c>
      <c r="W134" s="30">
        <f t="shared" si="45"/>
        <v>0</v>
      </c>
      <c r="X134" s="30">
        <f t="shared" si="56"/>
        <v>71623.720276266133</v>
      </c>
      <c r="Y134">
        <f t="shared" si="57"/>
        <v>0</v>
      </c>
    </row>
    <row r="135" spans="1:25" x14ac:dyDescent="0.25">
      <c r="A135" s="4" t="s">
        <v>919</v>
      </c>
      <c r="B135" s="7" t="s">
        <v>165</v>
      </c>
      <c r="C135" s="2" t="s">
        <v>920</v>
      </c>
      <c r="D135">
        <f>VLOOKUP(B135,'Model allocations'!$A$1:$L$319,3,FALSE)</f>
        <v>339325.5903571145</v>
      </c>
      <c r="E135" s="32">
        <f>VLOOKUP(B135,'Initial adjusted formula count'!$A$1:$P$319,12,FALSE)</f>
        <v>7.0772058823529396E-2</v>
      </c>
      <c r="F135">
        <f>VLOOKUP(B135,'Model allocations'!$A$1:$L$319,8,FALSE)</f>
        <v>288426.75180354732</v>
      </c>
      <c r="G135" s="31">
        <f t="shared" si="46"/>
        <v>0.85</v>
      </c>
      <c r="H135">
        <f t="shared" si="47"/>
        <v>288426.75180354732</v>
      </c>
      <c r="I135">
        <f t="shared" si="39"/>
        <v>0</v>
      </c>
      <c r="J135">
        <f t="shared" si="40"/>
        <v>288426.75180354732</v>
      </c>
      <c r="K135">
        <f t="shared" si="41"/>
        <v>288384.32598182361</v>
      </c>
      <c r="L135">
        <f t="shared" si="48"/>
        <v>288384.32598182361</v>
      </c>
      <c r="M135">
        <f t="shared" si="42"/>
        <v>288426.75180354732</v>
      </c>
      <c r="N135" s="30">
        <f t="shared" si="49"/>
        <v>0</v>
      </c>
      <c r="O135" s="30">
        <f t="shared" si="43"/>
        <v>0</v>
      </c>
      <c r="P135" s="30">
        <f t="shared" si="50"/>
        <v>288426.75180354732</v>
      </c>
      <c r="Q135">
        <f t="shared" si="51"/>
        <v>0</v>
      </c>
      <c r="R135" s="30">
        <f t="shared" si="52"/>
        <v>0</v>
      </c>
      <c r="S135" s="30">
        <f t="shared" si="44"/>
        <v>0</v>
      </c>
      <c r="T135" s="30">
        <f t="shared" si="53"/>
        <v>288426.75180354732</v>
      </c>
      <c r="U135">
        <f t="shared" si="54"/>
        <v>0</v>
      </c>
      <c r="V135" s="30">
        <f t="shared" si="55"/>
        <v>0</v>
      </c>
      <c r="W135" s="30">
        <f t="shared" si="45"/>
        <v>0</v>
      </c>
      <c r="X135" s="30">
        <f t="shared" si="56"/>
        <v>288426.75180354732</v>
      </c>
      <c r="Y135">
        <f t="shared" si="57"/>
        <v>0</v>
      </c>
    </row>
    <row r="136" spans="1:25" x14ac:dyDescent="0.25">
      <c r="A136" s="4" t="s">
        <v>921</v>
      </c>
      <c r="B136" s="7" t="s">
        <v>461</v>
      </c>
      <c r="C136" s="2" t="s">
        <v>922</v>
      </c>
      <c r="D136">
        <f>VLOOKUP(B136,'Model allocations'!$A$1:$L$319,3,FALSE)</f>
        <v>137210.19210012667</v>
      </c>
      <c r="E136" s="32">
        <f>VLOOKUP(B136,'Initial adjusted formula count'!$A$1:$P$319,12,FALSE)</f>
        <v>0.248051948051948</v>
      </c>
      <c r="F136">
        <f>VLOOKUP(B136,'Model allocations'!$A$1:$L$319,8,FALSE)</f>
        <v>164312.2217037793</v>
      </c>
      <c r="G136" s="31">
        <f t="shared" si="46"/>
        <v>0.9</v>
      </c>
      <c r="H136">
        <f t="shared" si="47"/>
        <v>123489.17289011402</v>
      </c>
      <c r="I136">
        <f t="shared" si="39"/>
        <v>0</v>
      </c>
      <c r="J136">
        <f t="shared" si="40"/>
        <v>164312.2217037793</v>
      </c>
      <c r="K136">
        <f t="shared" si="41"/>
        <v>164288.05237488926</v>
      </c>
      <c r="L136">
        <f t="shared" si="48"/>
        <v>164288.05237488926</v>
      </c>
      <c r="M136">
        <f t="shared" si="42"/>
        <v>0</v>
      </c>
      <c r="N136" s="30">
        <f t="shared" si="49"/>
        <v>164288.05237488926</v>
      </c>
      <c r="O136" s="30">
        <f t="shared" si="43"/>
        <v>164285.06146427509</v>
      </c>
      <c r="P136" s="30">
        <f t="shared" si="50"/>
        <v>164285.06146427509</v>
      </c>
      <c r="Q136">
        <f t="shared" si="51"/>
        <v>0</v>
      </c>
      <c r="R136" s="30">
        <f t="shared" si="52"/>
        <v>164285.06146427509</v>
      </c>
      <c r="S136" s="30">
        <f t="shared" si="44"/>
        <v>164285.06146427509</v>
      </c>
      <c r="T136" s="30">
        <f t="shared" si="53"/>
        <v>164285.06146427509</v>
      </c>
      <c r="U136">
        <f t="shared" si="54"/>
        <v>0</v>
      </c>
      <c r="V136" s="30">
        <f t="shared" si="55"/>
        <v>164285.06146427509</v>
      </c>
      <c r="W136" s="30">
        <f t="shared" si="45"/>
        <v>164285.06146427509</v>
      </c>
      <c r="X136" s="30">
        <f t="shared" si="56"/>
        <v>164285.06146427509</v>
      </c>
      <c r="Y136">
        <f t="shared" si="57"/>
        <v>0</v>
      </c>
    </row>
    <row r="137" spans="1:25" x14ac:dyDescent="0.25">
      <c r="A137" s="4" t="s">
        <v>923</v>
      </c>
      <c r="B137" s="7" t="s">
        <v>463</v>
      </c>
      <c r="C137" s="2" t="s">
        <v>924</v>
      </c>
      <c r="D137">
        <f>VLOOKUP(B137,'Model allocations'!$A$1:$L$319,3,FALSE)</f>
        <v>21813.787951528786</v>
      </c>
      <c r="E137" s="32">
        <f>VLOOKUP(B137,'Initial adjusted formula count'!$A$1:$P$319,12,FALSE)</f>
        <v>0.188235294117647</v>
      </c>
      <c r="F137">
        <f>VLOOKUP(B137,'Model allocations'!$A$1:$L$319,8,FALSE)</f>
        <v>19632.409156375907</v>
      </c>
      <c r="G137" s="31">
        <f t="shared" si="46"/>
        <v>0.9</v>
      </c>
      <c r="H137">
        <f t="shared" si="47"/>
        <v>19632.409156375907</v>
      </c>
      <c r="I137">
        <f t="shared" si="39"/>
        <v>0</v>
      </c>
      <c r="J137">
        <f t="shared" si="40"/>
        <v>19632.409156375907</v>
      </c>
      <c r="K137">
        <f t="shared" si="41"/>
        <v>19629.521348342612</v>
      </c>
      <c r="L137">
        <f t="shared" si="48"/>
        <v>19629.521348342612</v>
      </c>
      <c r="M137">
        <f t="shared" si="42"/>
        <v>19632.409156375907</v>
      </c>
      <c r="N137" s="30">
        <f t="shared" si="49"/>
        <v>0</v>
      </c>
      <c r="O137" s="30">
        <f t="shared" si="43"/>
        <v>0</v>
      </c>
      <c r="P137" s="30">
        <f t="shared" si="50"/>
        <v>19632.409156375907</v>
      </c>
      <c r="Q137">
        <f t="shared" si="51"/>
        <v>0</v>
      </c>
      <c r="R137" s="30">
        <f t="shared" si="52"/>
        <v>0</v>
      </c>
      <c r="S137" s="30">
        <f t="shared" si="44"/>
        <v>0</v>
      </c>
      <c r="T137" s="30">
        <f t="shared" si="53"/>
        <v>19632.409156375907</v>
      </c>
      <c r="U137">
        <f t="shared" si="54"/>
        <v>0</v>
      </c>
      <c r="V137" s="30">
        <f t="shared" si="55"/>
        <v>0</v>
      </c>
      <c r="W137" s="30">
        <f t="shared" si="45"/>
        <v>0</v>
      </c>
      <c r="X137" s="30">
        <f t="shared" si="56"/>
        <v>19632.409156375907</v>
      </c>
      <c r="Y137">
        <f t="shared" si="57"/>
        <v>0</v>
      </c>
    </row>
    <row r="138" spans="1:25" x14ac:dyDescent="0.25">
      <c r="A138" s="4" t="s">
        <v>925</v>
      </c>
      <c r="B138" s="7" t="s">
        <v>288</v>
      </c>
      <c r="C138" s="2" t="s">
        <v>926</v>
      </c>
      <c r="D138">
        <f>VLOOKUP(B138,'Model allocations'!$A$1:$L$319,3,FALSE)</f>
        <v>87255.151806115144</v>
      </c>
      <c r="E138" s="32">
        <f>VLOOKUP(B138,'Initial adjusted formula count'!$A$1:$P$319,12,FALSE)</f>
        <v>0.20032840722495901</v>
      </c>
      <c r="F138">
        <f>VLOOKUP(B138,'Model allocations'!$A$1:$L$319,8,FALSE)</f>
        <v>104953.35627152391</v>
      </c>
      <c r="G138" s="31">
        <f t="shared" si="46"/>
        <v>0.9</v>
      </c>
      <c r="H138">
        <f t="shared" si="47"/>
        <v>78529.636625503626</v>
      </c>
      <c r="I138">
        <f t="shared" si="39"/>
        <v>0</v>
      </c>
      <c r="J138">
        <f t="shared" si="40"/>
        <v>104953.35627152391</v>
      </c>
      <c r="K138">
        <f t="shared" si="41"/>
        <v>104937.91827087163</v>
      </c>
      <c r="L138">
        <f t="shared" si="48"/>
        <v>104937.91827087163</v>
      </c>
      <c r="M138">
        <f t="shared" si="42"/>
        <v>0</v>
      </c>
      <c r="N138" s="30">
        <f t="shared" si="49"/>
        <v>104937.91827087163</v>
      </c>
      <c r="O138" s="30">
        <f t="shared" si="43"/>
        <v>104936.00784629084</v>
      </c>
      <c r="P138" s="30">
        <f t="shared" si="50"/>
        <v>104936.00784629084</v>
      </c>
      <c r="Q138">
        <f t="shared" si="51"/>
        <v>0</v>
      </c>
      <c r="R138" s="30">
        <f t="shared" si="52"/>
        <v>104936.00784629084</v>
      </c>
      <c r="S138" s="30">
        <f t="shared" si="44"/>
        <v>104936.00784629084</v>
      </c>
      <c r="T138" s="30">
        <f t="shared" si="53"/>
        <v>104936.00784629084</v>
      </c>
      <c r="U138">
        <f t="shared" si="54"/>
        <v>0</v>
      </c>
      <c r="V138" s="30">
        <f t="shared" si="55"/>
        <v>104936.00784629084</v>
      </c>
      <c r="W138" s="30">
        <f t="shared" si="45"/>
        <v>104936.00784629084</v>
      </c>
      <c r="X138" s="30">
        <f t="shared" si="56"/>
        <v>104936.00784629084</v>
      </c>
      <c r="Y138">
        <f t="shared" si="57"/>
        <v>0</v>
      </c>
    </row>
    <row r="139" spans="1:25" x14ac:dyDescent="0.25">
      <c r="A139" s="4" t="s">
        <v>927</v>
      </c>
      <c r="B139" s="7" t="s">
        <v>465</v>
      </c>
      <c r="C139" s="2" t="s">
        <v>928</v>
      </c>
      <c r="D139">
        <f>VLOOKUP(B139,'Model allocations'!$A$1:$L$319,3,FALSE)</f>
        <v>45965.41435354243</v>
      </c>
      <c r="E139" s="32">
        <f>VLOOKUP(B139,'Initial adjusted formula count'!$A$1:$P$319,12,FALSE)</f>
        <v>0.16019417475728201</v>
      </c>
      <c r="F139">
        <f>VLOOKUP(B139,'Model allocations'!$A$1:$L$319,8,FALSE)</f>
        <v>41368.872918188186</v>
      </c>
      <c r="G139" s="31">
        <f t="shared" si="46"/>
        <v>0.9</v>
      </c>
      <c r="H139">
        <f t="shared" si="47"/>
        <v>41368.872918188186</v>
      </c>
      <c r="I139">
        <f t="shared" si="39"/>
        <v>0</v>
      </c>
      <c r="J139">
        <f t="shared" si="40"/>
        <v>41368.872918188186</v>
      </c>
      <c r="K139">
        <f t="shared" si="41"/>
        <v>41362.787808480563</v>
      </c>
      <c r="L139">
        <f t="shared" si="48"/>
        <v>41362.787808480563</v>
      </c>
      <c r="M139">
        <f t="shared" si="42"/>
        <v>41368.872918188186</v>
      </c>
      <c r="N139" s="30">
        <f t="shared" si="49"/>
        <v>0</v>
      </c>
      <c r="O139" s="30">
        <f t="shared" si="43"/>
        <v>0</v>
      </c>
      <c r="P139" s="30">
        <f t="shared" si="50"/>
        <v>41368.872918188186</v>
      </c>
      <c r="Q139">
        <f t="shared" si="51"/>
        <v>0</v>
      </c>
      <c r="R139" s="30">
        <f t="shared" si="52"/>
        <v>0</v>
      </c>
      <c r="S139" s="30">
        <f t="shared" si="44"/>
        <v>0</v>
      </c>
      <c r="T139" s="30">
        <f t="shared" si="53"/>
        <v>41368.872918188186</v>
      </c>
      <c r="U139">
        <f t="shared" si="54"/>
        <v>0</v>
      </c>
      <c r="V139" s="30">
        <f t="shared" si="55"/>
        <v>0</v>
      </c>
      <c r="W139" s="30">
        <f t="shared" si="45"/>
        <v>0</v>
      </c>
      <c r="X139" s="30">
        <f t="shared" si="56"/>
        <v>41368.872918188186</v>
      </c>
      <c r="Y139">
        <f t="shared" si="57"/>
        <v>0</v>
      </c>
    </row>
    <row r="140" spans="1:25" x14ac:dyDescent="0.25">
      <c r="A140" s="4" t="s">
        <v>929</v>
      </c>
      <c r="B140" s="7" t="s">
        <v>467</v>
      </c>
      <c r="C140" s="2" t="s">
        <v>930</v>
      </c>
      <c r="D140">
        <f>VLOOKUP(B140,'Model allocations'!$A$1:$L$319,3,FALSE)</f>
        <v>127651.05542005741</v>
      </c>
      <c r="E140" s="32">
        <f>VLOOKUP(B140,'Initial adjusted formula count'!$A$1:$P$319,12,FALSE)</f>
        <v>0.24062500000000001</v>
      </c>
      <c r="F140">
        <f>VLOOKUP(B140,'Model allocations'!$A$1:$L$319,8,FALSE)</f>
        <v>132482.10545749741</v>
      </c>
      <c r="G140" s="31">
        <f t="shared" si="46"/>
        <v>0.9</v>
      </c>
      <c r="H140">
        <f t="shared" si="47"/>
        <v>114885.94987805167</v>
      </c>
      <c r="I140">
        <f t="shared" si="39"/>
        <v>0</v>
      </c>
      <c r="J140">
        <f t="shared" si="40"/>
        <v>132482.10545749741</v>
      </c>
      <c r="K140">
        <f t="shared" si="41"/>
        <v>132462.61814519862</v>
      </c>
      <c r="L140">
        <f t="shared" si="48"/>
        <v>132462.61814519862</v>
      </c>
      <c r="M140">
        <f t="shared" si="42"/>
        <v>0</v>
      </c>
      <c r="N140" s="30">
        <f t="shared" si="49"/>
        <v>132462.61814519862</v>
      </c>
      <c r="O140" s="30">
        <f t="shared" si="43"/>
        <v>132460.20662564583</v>
      </c>
      <c r="P140" s="30">
        <f t="shared" si="50"/>
        <v>132460.20662564583</v>
      </c>
      <c r="Q140">
        <f t="shared" si="51"/>
        <v>0</v>
      </c>
      <c r="R140" s="30">
        <f t="shared" si="52"/>
        <v>132460.20662564583</v>
      </c>
      <c r="S140" s="30">
        <f t="shared" si="44"/>
        <v>132460.20662564586</v>
      </c>
      <c r="T140" s="30">
        <f t="shared" si="53"/>
        <v>132460.20662564586</v>
      </c>
      <c r="U140">
        <f t="shared" si="54"/>
        <v>0</v>
      </c>
      <c r="V140" s="30">
        <f t="shared" si="55"/>
        <v>132460.20662564586</v>
      </c>
      <c r="W140" s="30">
        <f t="shared" si="45"/>
        <v>132460.20662564589</v>
      </c>
      <c r="X140" s="30">
        <f t="shared" si="56"/>
        <v>132460.20662564589</v>
      </c>
      <c r="Y140">
        <f t="shared" si="57"/>
        <v>0</v>
      </c>
    </row>
    <row r="141" spans="1:25" x14ac:dyDescent="0.25">
      <c r="A141" s="4" t="s">
        <v>931</v>
      </c>
      <c r="B141" s="7" t="s">
        <v>167</v>
      </c>
      <c r="C141" s="2" t="s">
        <v>932</v>
      </c>
      <c r="D141">
        <f>VLOOKUP(B141,'Model allocations'!$A$1:$L$319,3,FALSE)</f>
        <v>1011513.4264931123</v>
      </c>
      <c r="E141" s="32">
        <f>VLOOKUP(B141,'Initial adjusted formula count'!$A$1:$P$319,12,FALSE)</f>
        <v>0.119180484693878</v>
      </c>
      <c r="F141">
        <f>VLOOKUP(B141,'Model allocations'!$A$1:$L$319,8,FALSE)</f>
        <v>1286108.751032199</v>
      </c>
      <c r="G141" s="31">
        <f t="shared" si="46"/>
        <v>0.85</v>
      </c>
      <c r="H141">
        <f t="shared" si="47"/>
        <v>859786.41251914552</v>
      </c>
      <c r="I141">
        <f t="shared" si="39"/>
        <v>0</v>
      </c>
      <c r="J141">
        <f t="shared" si="40"/>
        <v>1286108.751032199</v>
      </c>
      <c r="K141">
        <f t="shared" si="41"/>
        <v>1285919.5722537141</v>
      </c>
      <c r="L141">
        <f t="shared" si="48"/>
        <v>1285919.5722537141</v>
      </c>
      <c r="M141">
        <f t="shared" si="42"/>
        <v>0</v>
      </c>
      <c r="N141" s="30">
        <f t="shared" si="49"/>
        <v>1285919.5722537141</v>
      </c>
      <c r="O141" s="30">
        <f t="shared" si="43"/>
        <v>1285896.1617229907</v>
      </c>
      <c r="P141" s="30">
        <f t="shared" si="50"/>
        <v>1285896.1617229907</v>
      </c>
      <c r="Q141">
        <f t="shared" si="51"/>
        <v>0</v>
      </c>
      <c r="R141" s="30">
        <f t="shared" si="52"/>
        <v>1285896.1617229907</v>
      </c>
      <c r="S141" s="30">
        <f t="shared" si="44"/>
        <v>1285896.1617229907</v>
      </c>
      <c r="T141" s="30">
        <f t="shared" si="53"/>
        <v>1285896.1617229907</v>
      </c>
      <c r="U141">
        <f t="shared" si="54"/>
        <v>0</v>
      </c>
      <c r="V141" s="30">
        <f t="shared" si="55"/>
        <v>1285896.1617229907</v>
      </c>
      <c r="W141" s="30">
        <f t="shared" si="45"/>
        <v>1285896.1617229907</v>
      </c>
      <c r="X141" s="30">
        <f t="shared" si="56"/>
        <v>1285896.1617229907</v>
      </c>
      <c r="Y141">
        <f t="shared" si="57"/>
        <v>0</v>
      </c>
    </row>
    <row r="142" spans="1:25" x14ac:dyDescent="0.25">
      <c r="A142" s="4" t="s">
        <v>933</v>
      </c>
      <c r="B142" s="7" t="s">
        <v>469</v>
      </c>
      <c r="C142" s="2" t="s">
        <v>934</v>
      </c>
      <c r="D142">
        <f>VLOOKUP(B142,'Model allocations'!$A$1:$L$319,3,FALSE)</f>
        <v>54130.510842682546</v>
      </c>
      <c r="E142" s="32">
        <f>VLOOKUP(B142,'Initial adjusted formula count'!$A$1:$P$319,12,FALSE)</f>
        <v>0.12937062937062899</v>
      </c>
      <c r="F142">
        <f>VLOOKUP(B142,'Model allocations'!$A$1:$L$319,8,FALSE)</f>
        <v>63660.232492563693</v>
      </c>
      <c r="G142" s="31">
        <f t="shared" si="46"/>
        <v>0.85</v>
      </c>
      <c r="H142">
        <f t="shared" si="47"/>
        <v>46010.934216280162</v>
      </c>
      <c r="I142">
        <f t="shared" si="39"/>
        <v>0</v>
      </c>
      <c r="J142">
        <f t="shared" si="40"/>
        <v>63660.232492563693</v>
      </c>
      <c r="K142">
        <f t="shared" si="41"/>
        <v>63650.868459381163</v>
      </c>
      <c r="L142">
        <f t="shared" si="48"/>
        <v>63650.868459381163</v>
      </c>
      <c r="M142">
        <f t="shared" si="42"/>
        <v>0</v>
      </c>
      <c r="N142" s="30">
        <f t="shared" si="49"/>
        <v>63650.868459381163</v>
      </c>
      <c r="O142" s="30">
        <f t="shared" si="43"/>
        <v>63649.709677258397</v>
      </c>
      <c r="P142" s="30">
        <f t="shared" si="50"/>
        <v>63649.709677258397</v>
      </c>
      <c r="Q142">
        <f t="shared" si="51"/>
        <v>0</v>
      </c>
      <c r="R142" s="30">
        <f t="shared" si="52"/>
        <v>63649.709677258397</v>
      </c>
      <c r="S142" s="30">
        <f t="shared" si="44"/>
        <v>63649.709677258405</v>
      </c>
      <c r="T142" s="30">
        <f t="shared" si="53"/>
        <v>63649.709677258405</v>
      </c>
      <c r="U142">
        <f t="shared" si="54"/>
        <v>0</v>
      </c>
      <c r="V142" s="30">
        <f t="shared" si="55"/>
        <v>63649.709677258405</v>
      </c>
      <c r="W142" s="30">
        <f t="shared" si="45"/>
        <v>63649.709677258419</v>
      </c>
      <c r="X142" s="30">
        <f t="shared" si="56"/>
        <v>63649.709677258419</v>
      </c>
      <c r="Y142">
        <f t="shared" si="57"/>
        <v>0</v>
      </c>
    </row>
    <row r="143" spans="1:25" x14ac:dyDescent="0.25">
      <c r="A143" s="4" t="s">
        <v>935</v>
      </c>
      <c r="B143" s="7" t="s">
        <v>169</v>
      </c>
      <c r="C143" s="2" t="s">
        <v>936</v>
      </c>
      <c r="D143">
        <f>VLOOKUP(B143,'Model allocations'!$A$1:$L$319,3,FALSE)</f>
        <v>820844.76143530547</v>
      </c>
      <c r="E143" s="32">
        <f>VLOOKUP(B143,'Initial adjusted formula count'!$A$1:$P$319,12,FALSE)</f>
        <v>8.5802263648468699E-2</v>
      </c>
      <c r="F143">
        <f>VLOOKUP(B143,'Model allocations'!$A$1:$L$319,8,FALSE)</f>
        <v>886941.8878355833</v>
      </c>
      <c r="G143" s="31">
        <f t="shared" si="46"/>
        <v>0.85</v>
      </c>
      <c r="H143">
        <f t="shared" si="47"/>
        <v>697718.04722000961</v>
      </c>
      <c r="I143">
        <f t="shared" si="39"/>
        <v>0</v>
      </c>
      <c r="J143">
        <f t="shared" si="40"/>
        <v>886941.8878355833</v>
      </c>
      <c r="K143">
        <f t="shared" si="41"/>
        <v>886811.42407597264</v>
      </c>
      <c r="L143">
        <f t="shared" si="48"/>
        <v>886811.42407597264</v>
      </c>
      <c r="M143">
        <f t="shared" si="42"/>
        <v>0</v>
      </c>
      <c r="N143" s="30">
        <f t="shared" si="49"/>
        <v>886811.42407597264</v>
      </c>
      <c r="O143" s="30">
        <f t="shared" si="43"/>
        <v>886795.27942234336</v>
      </c>
      <c r="P143" s="30">
        <f t="shared" si="50"/>
        <v>886795.27942234336</v>
      </c>
      <c r="Q143">
        <f t="shared" si="51"/>
        <v>0</v>
      </c>
      <c r="R143" s="30">
        <f t="shared" si="52"/>
        <v>886795.27942234336</v>
      </c>
      <c r="S143" s="30">
        <f t="shared" si="44"/>
        <v>886795.27942234348</v>
      </c>
      <c r="T143" s="30">
        <f t="shared" si="53"/>
        <v>886795.27942234348</v>
      </c>
      <c r="U143">
        <f t="shared" si="54"/>
        <v>0</v>
      </c>
      <c r="V143" s="30">
        <f t="shared" si="55"/>
        <v>886795.27942234348</v>
      </c>
      <c r="W143" s="30">
        <f t="shared" si="45"/>
        <v>886795.27942234371</v>
      </c>
      <c r="X143" s="30">
        <f t="shared" si="56"/>
        <v>886795.27942234371</v>
      </c>
      <c r="Y143">
        <f t="shared" si="57"/>
        <v>0</v>
      </c>
    </row>
    <row r="144" spans="1:25" x14ac:dyDescent="0.25">
      <c r="A144" s="4" t="s">
        <v>937</v>
      </c>
      <c r="B144" s="7" t="s">
        <v>171</v>
      </c>
      <c r="C144" s="2" t="s">
        <v>938</v>
      </c>
      <c r="D144">
        <f>VLOOKUP(B144,'Model allocations'!$A$1:$L$319,3,FALSE)</f>
        <v>158198.50846647663</v>
      </c>
      <c r="E144" s="32">
        <f>VLOOKUP(B144,'Initial adjusted formula count'!$A$1:$P$319,12,FALSE)</f>
        <v>0.117157134925042</v>
      </c>
      <c r="F144">
        <f>VLOOKUP(B144,'Model allocations'!$A$1:$L$319,8,FALSE)</f>
        <v>181517.68994501271</v>
      </c>
      <c r="G144" s="31">
        <f t="shared" si="46"/>
        <v>0.85</v>
      </c>
      <c r="H144">
        <f t="shared" si="47"/>
        <v>134468.73219650512</v>
      </c>
      <c r="I144">
        <f t="shared" si="39"/>
        <v>0</v>
      </c>
      <c r="J144">
        <f t="shared" si="40"/>
        <v>181517.68994501271</v>
      </c>
      <c r="K144">
        <f t="shared" si="41"/>
        <v>181490.98979634358</v>
      </c>
      <c r="L144">
        <f t="shared" si="48"/>
        <v>181490.98979634358</v>
      </c>
      <c r="M144">
        <f t="shared" si="42"/>
        <v>0</v>
      </c>
      <c r="N144" s="30">
        <f t="shared" si="49"/>
        <v>181490.98979634358</v>
      </c>
      <c r="O144" s="30">
        <f t="shared" si="43"/>
        <v>181487.6857013719</v>
      </c>
      <c r="P144" s="30">
        <f t="shared" si="50"/>
        <v>181487.6857013719</v>
      </c>
      <c r="Q144">
        <f t="shared" si="51"/>
        <v>0</v>
      </c>
      <c r="R144" s="30">
        <f t="shared" si="52"/>
        <v>181487.6857013719</v>
      </c>
      <c r="S144" s="30">
        <f t="shared" si="44"/>
        <v>181487.68570137193</v>
      </c>
      <c r="T144" s="30">
        <f t="shared" si="53"/>
        <v>181487.68570137193</v>
      </c>
      <c r="U144">
        <f t="shared" si="54"/>
        <v>0</v>
      </c>
      <c r="V144" s="30">
        <f t="shared" si="55"/>
        <v>181487.68570137193</v>
      </c>
      <c r="W144" s="30">
        <f t="shared" si="45"/>
        <v>181487.68570137196</v>
      </c>
      <c r="X144" s="30">
        <f t="shared" si="56"/>
        <v>181487.68570137196</v>
      </c>
      <c r="Y144">
        <f t="shared" si="57"/>
        <v>0</v>
      </c>
    </row>
    <row r="145" spans="1:25" x14ac:dyDescent="0.25">
      <c r="A145" s="4" t="s">
        <v>939</v>
      </c>
      <c r="B145" s="7" t="s">
        <v>173</v>
      </c>
      <c r="C145" s="2" t="s">
        <v>940</v>
      </c>
      <c r="D145">
        <f>VLOOKUP(B145,'Model allocations'!$A$1:$L$319,3,FALSE)</f>
        <v>148656.92529930733</v>
      </c>
      <c r="E145" s="32">
        <f>VLOOKUP(B145,'Initial adjusted formula count'!$A$1:$P$319,12,FALSE)</f>
        <v>2.4190241902418998E-2</v>
      </c>
      <c r="F145">
        <f>VLOOKUP(B145,'Model allocations'!$A$1:$L$319,8,FALSE)</f>
        <v>126358.38650441123</v>
      </c>
      <c r="G145" s="31">
        <f t="shared" si="46"/>
        <v>0.85</v>
      </c>
      <c r="H145">
        <f t="shared" si="47"/>
        <v>126358.38650441123</v>
      </c>
      <c r="I145">
        <f t="shared" si="39"/>
        <v>0</v>
      </c>
      <c r="J145">
        <f t="shared" si="40"/>
        <v>126358.38650441123</v>
      </c>
      <c r="K145">
        <f t="shared" si="41"/>
        <v>126339.79995394181</v>
      </c>
      <c r="L145">
        <f t="shared" si="48"/>
        <v>126339.79995394181</v>
      </c>
      <c r="M145">
        <f t="shared" si="42"/>
        <v>126358.38650441123</v>
      </c>
      <c r="N145" s="30">
        <f t="shared" si="49"/>
        <v>0</v>
      </c>
      <c r="O145" s="30">
        <f t="shared" si="43"/>
        <v>0</v>
      </c>
      <c r="P145" s="30">
        <f t="shared" si="50"/>
        <v>126358.38650441123</v>
      </c>
      <c r="Q145">
        <f t="shared" si="51"/>
        <v>0</v>
      </c>
      <c r="R145" s="30">
        <f t="shared" si="52"/>
        <v>0</v>
      </c>
      <c r="S145" s="30">
        <f t="shared" si="44"/>
        <v>0</v>
      </c>
      <c r="T145" s="30">
        <f t="shared" si="53"/>
        <v>126358.38650441123</v>
      </c>
      <c r="U145">
        <f t="shared" si="54"/>
        <v>0</v>
      </c>
      <c r="V145" s="30">
        <f t="shared" si="55"/>
        <v>0</v>
      </c>
      <c r="W145" s="30">
        <f t="shared" si="45"/>
        <v>0</v>
      </c>
      <c r="X145" s="30">
        <f t="shared" si="56"/>
        <v>126358.38650441123</v>
      </c>
      <c r="Y145">
        <f t="shared" si="57"/>
        <v>0</v>
      </c>
    </row>
    <row r="146" spans="1:25" x14ac:dyDescent="0.25">
      <c r="A146" s="4" t="s">
        <v>941</v>
      </c>
      <c r="B146" s="7" t="s">
        <v>175</v>
      </c>
      <c r="C146" s="2" t="s">
        <v>942</v>
      </c>
      <c r="D146">
        <f>VLOOKUP(B146,'Model allocations'!$A$1:$L$319,3,FALSE)</f>
        <v>192284.50120236492</v>
      </c>
      <c r="E146" s="32">
        <f>VLOOKUP(B146,'Initial adjusted formula count'!$A$1:$P$319,12,FALSE)</f>
        <v>0.120234604105572</v>
      </c>
      <c r="F146">
        <f>VLOOKUP(B146,'Model allocations'!$A$1:$L$319,8,FALSE)</f>
        <v>176356.04947264274</v>
      </c>
      <c r="G146" s="31">
        <f t="shared" si="46"/>
        <v>0.85</v>
      </c>
      <c r="H146">
        <f t="shared" si="47"/>
        <v>163441.82602201018</v>
      </c>
      <c r="I146">
        <f t="shared" si="39"/>
        <v>0</v>
      </c>
      <c r="J146">
        <f t="shared" si="40"/>
        <v>176356.04947264274</v>
      </c>
      <c r="K146">
        <f t="shared" si="41"/>
        <v>176330.10856990734</v>
      </c>
      <c r="L146">
        <f t="shared" si="48"/>
        <v>176330.10856990734</v>
      </c>
      <c r="M146">
        <f t="shared" si="42"/>
        <v>0</v>
      </c>
      <c r="N146" s="30">
        <f t="shared" si="49"/>
        <v>176330.10856990734</v>
      </c>
      <c r="O146" s="30">
        <f t="shared" si="43"/>
        <v>176326.89843024293</v>
      </c>
      <c r="P146" s="30">
        <f t="shared" si="50"/>
        <v>176326.89843024293</v>
      </c>
      <c r="Q146">
        <f t="shared" si="51"/>
        <v>0</v>
      </c>
      <c r="R146" s="30">
        <f t="shared" si="52"/>
        <v>176326.89843024293</v>
      </c>
      <c r="S146" s="30">
        <f t="shared" si="44"/>
        <v>176326.89843024293</v>
      </c>
      <c r="T146" s="30">
        <f t="shared" si="53"/>
        <v>176326.89843024293</v>
      </c>
      <c r="U146">
        <f t="shared" si="54"/>
        <v>0</v>
      </c>
      <c r="V146" s="30">
        <f t="shared" si="55"/>
        <v>176326.89843024293</v>
      </c>
      <c r="W146" s="30">
        <f t="shared" si="45"/>
        <v>176326.89843024293</v>
      </c>
      <c r="X146" s="30">
        <f t="shared" si="56"/>
        <v>176326.89843024293</v>
      </c>
      <c r="Y146">
        <f t="shared" si="57"/>
        <v>0</v>
      </c>
    </row>
    <row r="147" spans="1:25" x14ac:dyDescent="0.25">
      <c r="A147" s="4" t="s">
        <v>943</v>
      </c>
      <c r="B147" s="7" t="s">
        <v>471</v>
      </c>
      <c r="C147" s="2" t="s">
        <v>944</v>
      </c>
      <c r="D147">
        <f>VLOOKUP(B147,'Model allocations'!$A$1:$L$319,3,FALSE)</f>
        <v>83706.977780805624</v>
      </c>
      <c r="E147" s="32">
        <f>VLOOKUP(B147,'Initial adjusted formula count'!$A$1:$P$319,12,FALSE)</f>
        <v>8.1490104772991803E-2</v>
      </c>
      <c r="F147">
        <f>VLOOKUP(B147,'Model allocations'!$A$1:$L$319,8,FALSE)</f>
        <v>71150.931113684783</v>
      </c>
      <c r="G147" s="31">
        <f t="shared" si="46"/>
        <v>0.85</v>
      </c>
      <c r="H147">
        <f t="shared" si="47"/>
        <v>71150.931113684783</v>
      </c>
      <c r="I147">
        <f t="shared" si="39"/>
        <v>0</v>
      </c>
      <c r="J147">
        <f t="shared" si="40"/>
        <v>71150.931113684783</v>
      </c>
      <c r="K147">
        <f t="shared" si="41"/>
        <v>71140.465244274164</v>
      </c>
      <c r="L147">
        <f t="shared" si="48"/>
        <v>71140.465244274164</v>
      </c>
      <c r="M147">
        <f t="shared" si="42"/>
        <v>71150.931113684783</v>
      </c>
      <c r="N147" s="30">
        <f t="shared" si="49"/>
        <v>0</v>
      </c>
      <c r="O147" s="30">
        <f t="shared" si="43"/>
        <v>0</v>
      </c>
      <c r="P147" s="30">
        <f t="shared" si="50"/>
        <v>71150.931113684783</v>
      </c>
      <c r="Q147">
        <f t="shared" si="51"/>
        <v>0</v>
      </c>
      <c r="R147" s="30">
        <f t="shared" si="52"/>
        <v>0</v>
      </c>
      <c r="S147" s="30">
        <f t="shared" si="44"/>
        <v>0</v>
      </c>
      <c r="T147" s="30">
        <f t="shared" si="53"/>
        <v>71150.931113684783</v>
      </c>
      <c r="U147">
        <f t="shared" si="54"/>
        <v>0</v>
      </c>
      <c r="V147" s="30">
        <f t="shared" si="55"/>
        <v>0</v>
      </c>
      <c r="W147" s="30">
        <f t="shared" si="45"/>
        <v>0</v>
      </c>
      <c r="X147" s="30">
        <f t="shared" si="56"/>
        <v>71150.931113684783</v>
      </c>
      <c r="Y147">
        <f t="shared" si="57"/>
        <v>0</v>
      </c>
    </row>
    <row r="148" spans="1:25" x14ac:dyDescent="0.25">
      <c r="A148" s="4" t="s">
        <v>945</v>
      </c>
      <c r="B148" s="7" t="s">
        <v>473</v>
      </c>
      <c r="C148" s="2" t="s">
        <v>946</v>
      </c>
      <c r="D148">
        <f>VLOOKUP(B148,'Model allocations'!$A$1:$L$319,3,FALSE)</f>
        <v>9695.0168673461303</v>
      </c>
      <c r="E148" s="32">
        <f>VLOOKUP(B148,'Initial adjusted formula count'!$A$1:$P$319,12,FALSE)</f>
        <v>0.24324324324324301</v>
      </c>
      <c r="F148">
        <f>VLOOKUP(B148,'Model allocations'!$A$1:$L$319,8,FALSE)</f>
        <v>15484.92141711009</v>
      </c>
      <c r="G148" s="31">
        <f t="shared" si="46"/>
        <v>0.9</v>
      </c>
      <c r="H148">
        <f t="shared" si="47"/>
        <v>8725.5151806115173</v>
      </c>
      <c r="I148">
        <f t="shared" si="39"/>
        <v>0</v>
      </c>
      <c r="J148">
        <f t="shared" si="40"/>
        <v>15484.92141711009</v>
      </c>
      <c r="K148">
        <f t="shared" si="41"/>
        <v>15482.643679308932</v>
      </c>
      <c r="L148">
        <f t="shared" si="48"/>
        <v>15482.643679308932</v>
      </c>
      <c r="M148">
        <f t="shared" si="42"/>
        <v>0</v>
      </c>
      <c r="N148" s="30">
        <f t="shared" si="49"/>
        <v>15482.643679308932</v>
      </c>
      <c r="O148" s="30">
        <f t="shared" si="43"/>
        <v>15482.361813387177</v>
      </c>
      <c r="P148" s="30">
        <f t="shared" si="50"/>
        <v>15482.361813387177</v>
      </c>
      <c r="Q148">
        <f t="shared" si="51"/>
        <v>0</v>
      </c>
      <c r="R148" s="30">
        <f t="shared" si="52"/>
        <v>15482.361813387177</v>
      </c>
      <c r="S148" s="30">
        <f t="shared" si="44"/>
        <v>15482.361813387181</v>
      </c>
      <c r="T148" s="30">
        <f t="shared" si="53"/>
        <v>15482.361813387181</v>
      </c>
      <c r="U148">
        <f t="shared" si="54"/>
        <v>0</v>
      </c>
      <c r="V148" s="30">
        <f t="shared" si="55"/>
        <v>15482.361813387181</v>
      </c>
      <c r="W148" s="30">
        <f t="shared" si="45"/>
        <v>15482.361813387182</v>
      </c>
      <c r="X148" s="30">
        <f t="shared" si="56"/>
        <v>15482.361813387182</v>
      </c>
      <c r="Y148">
        <f t="shared" si="57"/>
        <v>0</v>
      </c>
    </row>
    <row r="149" spans="1:25" x14ac:dyDescent="0.25">
      <c r="A149" s="4" t="s">
        <v>947</v>
      </c>
      <c r="B149" s="7" t="s">
        <v>177</v>
      </c>
      <c r="C149" s="2" t="s">
        <v>948</v>
      </c>
      <c r="D149">
        <f>VLOOKUP(B149,'Model allocations'!$A$1:$L$319,3,FALSE)</f>
        <v>329630.57348976831</v>
      </c>
      <c r="E149" s="32">
        <f>VLOOKUP(B149,'Initial adjusted formula count'!$A$1:$P$319,12,FALSE)</f>
        <v>6.6185318892900094E-2</v>
      </c>
      <c r="F149">
        <f>VLOOKUP(B149,'Model allocations'!$A$1:$L$319,8,FALSE)</f>
        <v>378520.30130713544</v>
      </c>
      <c r="G149" s="31">
        <f t="shared" si="46"/>
        <v>0.85</v>
      </c>
      <c r="H149">
        <f t="shared" si="47"/>
        <v>280185.98746630305</v>
      </c>
      <c r="I149">
        <f t="shared" si="39"/>
        <v>0</v>
      </c>
      <c r="J149">
        <f t="shared" si="40"/>
        <v>378520.30130713544</v>
      </c>
      <c r="K149">
        <f t="shared" si="41"/>
        <v>378464.62327199604</v>
      </c>
      <c r="L149">
        <f t="shared" si="48"/>
        <v>378464.62327199604</v>
      </c>
      <c r="M149">
        <f t="shared" si="42"/>
        <v>0</v>
      </c>
      <c r="N149" s="30">
        <f t="shared" si="49"/>
        <v>378464.62327199604</v>
      </c>
      <c r="O149" s="30">
        <f t="shared" si="43"/>
        <v>378457.73321613093</v>
      </c>
      <c r="P149" s="30">
        <f t="shared" si="50"/>
        <v>378457.73321613093</v>
      </c>
      <c r="Q149">
        <f t="shared" si="51"/>
        <v>0</v>
      </c>
      <c r="R149" s="30">
        <f t="shared" si="52"/>
        <v>378457.73321613093</v>
      </c>
      <c r="S149" s="30">
        <f t="shared" si="44"/>
        <v>378457.73321613099</v>
      </c>
      <c r="T149" s="30">
        <f t="shared" si="53"/>
        <v>378457.73321613099</v>
      </c>
      <c r="U149">
        <f t="shared" si="54"/>
        <v>0</v>
      </c>
      <c r="V149" s="30">
        <f t="shared" si="55"/>
        <v>378457.73321613099</v>
      </c>
      <c r="W149" s="30">
        <f t="shared" si="45"/>
        <v>378457.73321613105</v>
      </c>
      <c r="X149" s="30">
        <f t="shared" si="56"/>
        <v>378457.73321613105</v>
      </c>
      <c r="Y149">
        <f t="shared" si="57"/>
        <v>0</v>
      </c>
    </row>
    <row r="150" spans="1:25" x14ac:dyDescent="0.25">
      <c r="A150" s="4" t="s">
        <v>949</v>
      </c>
      <c r="B150" s="7" t="s">
        <v>475</v>
      </c>
      <c r="C150" s="2" t="s">
        <v>950</v>
      </c>
      <c r="D150">
        <f>VLOOKUP(B150,'Model allocations'!$A$1:$L$319,3,FALSE)</f>
        <v>134114.39999828811</v>
      </c>
      <c r="E150" s="32">
        <f>VLOOKUP(B150,'Initial adjusted formula count'!$A$1:$P$319,12,FALSE)</f>
        <v>0.15967016491754099</v>
      </c>
      <c r="F150">
        <f>VLOOKUP(B150,'Model allocations'!$A$1:$L$319,8,FALSE)</f>
        <v>183238.23676913598</v>
      </c>
      <c r="G150" s="31">
        <f t="shared" si="46"/>
        <v>0.9</v>
      </c>
      <c r="H150">
        <f t="shared" si="47"/>
        <v>120702.95999845929</v>
      </c>
      <c r="I150">
        <f t="shared" si="39"/>
        <v>0</v>
      </c>
      <c r="J150">
        <f t="shared" si="40"/>
        <v>183238.23676913598</v>
      </c>
      <c r="K150">
        <f t="shared" si="41"/>
        <v>183211.28353848896</v>
      </c>
      <c r="L150">
        <f t="shared" si="48"/>
        <v>183211.28353848896</v>
      </c>
      <c r="M150">
        <f t="shared" si="42"/>
        <v>0</v>
      </c>
      <c r="N150" s="30">
        <f t="shared" si="49"/>
        <v>183211.28353848896</v>
      </c>
      <c r="O150" s="30">
        <f t="shared" si="43"/>
        <v>183207.94812508154</v>
      </c>
      <c r="P150" s="30">
        <f t="shared" si="50"/>
        <v>183207.94812508154</v>
      </c>
      <c r="Q150">
        <f t="shared" si="51"/>
        <v>0</v>
      </c>
      <c r="R150" s="30">
        <f t="shared" si="52"/>
        <v>183207.94812508154</v>
      </c>
      <c r="S150" s="30">
        <f t="shared" si="44"/>
        <v>183207.94812508157</v>
      </c>
      <c r="T150" s="30">
        <f t="shared" si="53"/>
        <v>183207.94812508157</v>
      </c>
      <c r="U150">
        <f t="shared" si="54"/>
        <v>0</v>
      </c>
      <c r="V150" s="30">
        <f t="shared" si="55"/>
        <v>183207.94812508157</v>
      </c>
      <c r="W150" s="30">
        <f t="shared" si="45"/>
        <v>183207.9481250816</v>
      </c>
      <c r="X150" s="30">
        <f t="shared" si="56"/>
        <v>183207.9481250816</v>
      </c>
      <c r="Y150">
        <f t="shared" si="57"/>
        <v>0</v>
      </c>
    </row>
    <row r="151" spans="1:25" x14ac:dyDescent="0.25">
      <c r="A151" s="4" t="s">
        <v>951</v>
      </c>
      <c r="B151" s="7" t="s">
        <v>477</v>
      </c>
      <c r="C151" s="2" t="s">
        <v>952</v>
      </c>
      <c r="D151">
        <f>VLOOKUP(B151,'Model allocations'!$A$1:$L$319,3,FALSE)</f>
        <v>53322.592770403709</v>
      </c>
      <c r="E151" s="32">
        <f>VLOOKUP(B151,'Initial adjusted formula count'!$A$1:$P$319,12,FALSE)</f>
        <v>0.13213213213213201</v>
      </c>
      <c r="F151">
        <f>VLOOKUP(B151,'Model allocations'!$A$1:$L$319,8,FALSE)</f>
        <v>45324.203854843152</v>
      </c>
      <c r="G151" s="31">
        <f t="shared" si="46"/>
        <v>0.85</v>
      </c>
      <c r="H151">
        <f t="shared" si="47"/>
        <v>45324.203854843152</v>
      </c>
      <c r="I151">
        <f t="shared" si="39"/>
        <v>0</v>
      </c>
      <c r="J151">
        <f t="shared" si="40"/>
        <v>45324.203854843152</v>
      </c>
      <c r="K151">
        <f t="shared" si="41"/>
        <v>45317.536940000857</v>
      </c>
      <c r="L151">
        <f t="shared" si="48"/>
        <v>45317.536940000857</v>
      </c>
      <c r="M151">
        <f t="shared" si="42"/>
        <v>45324.203854843152</v>
      </c>
      <c r="N151" s="30">
        <f t="shared" si="49"/>
        <v>0</v>
      </c>
      <c r="O151" s="30">
        <f t="shared" si="43"/>
        <v>0</v>
      </c>
      <c r="P151" s="30">
        <f t="shared" si="50"/>
        <v>45324.203854843152</v>
      </c>
      <c r="Q151">
        <f t="shared" si="51"/>
        <v>0</v>
      </c>
      <c r="R151" s="30">
        <f t="shared" si="52"/>
        <v>0</v>
      </c>
      <c r="S151" s="30">
        <f t="shared" si="44"/>
        <v>0</v>
      </c>
      <c r="T151" s="30">
        <f t="shared" si="53"/>
        <v>45324.203854843152</v>
      </c>
      <c r="U151">
        <f t="shared" si="54"/>
        <v>0</v>
      </c>
      <c r="V151" s="30">
        <f t="shared" si="55"/>
        <v>0</v>
      </c>
      <c r="W151" s="30">
        <f t="shared" si="45"/>
        <v>0</v>
      </c>
      <c r="X151" s="30">
        <f t="shared" si="56"/>
        <v>45324.203854843152</v>
      </c>
      <c r="Y151">
        <f t="shared" si="57"/>
        <v>0</v>
      </c>
    </row>
    <row r="152" spans="1:25" x14ac:dyDescent="0.25">
      <c r="A152" s="4" t="s">
        <v>953</v>
      </c>
      <c r="B152" s="7" t="s">
        <v>479</v>
      </c>
      <c r="C152" s="2" t="s">
        <v>954</v>
      </c>
      <c r="D152">
        <f>VLOOKUP(B152,'Model allocations'!$A$1:$L$319,3,FALSE)</f>
        <v>1181113.1360264132</v>
      </c>
      <c r="E152" s="32">
        <f>VLOOKUP(B152,'Initial adjusted formula count'!$A$1:$P$319,12,FALSE)</f>
        <v>0.141246412464125</v>
      </c>
      <c r="F152">
        <f>VLOOKUP(B152,'Model allocations'!$A$1:$L$319,8,FALSE)</f>
        <v>1185456.7618209831</v>
      </c>
      <c r="G152" s="31">
        <f t="shared" si="46"/>
        <v>0.85</v>
      </c>
      <c r="H152">
        <f t="shared" si="47"/>
        <v>1003946.1656224512</v>
      </c>
      <c r="I152">
        <f t="shared" si="39"/>
        <v>0</v>
      </c>
      <c r="J152">
        <f t="shared" si="40"/>
        <v>1185456.7618209831</v>
      </c>
      <c r="K152">
        <f t="shared" si="41"/>
        <v>1185282.3883382056</v>
      </c>
      <c r="L152">
        <f t="shared" si="48"/>
        <v>1185282.3883382056</v>
      </c>
      <c r="M152">
        <f t="shared" si="42"/>
        <v>0</v>
      </c>
      <c r="N152" s="30">
        <f t="shared" si="49"/>
        <v>1185282.3883382056</v>
      </c>
      <c r="O152" s="30">
        <f t="shared" si="43"/>
        <v>1185260.8099359737</v>
      </c>
      <c r="P152" s="30">
        <f t="shared" si="50"/>
        <v>1185260.8099359737</v>
      </c>
      <c r="Q152">
        <f t="shared" si="51"/>
        <v>0</v>
      </c>
      <c r="R152" s="30">
        <f t="shared" si="52"/>
        <v>1185260.8099359737</v>
      </c>
      <c r="S152" s="30">
        <f t="shared" si="44"/>
        <v>1185260.809935974</v>
      </c>
      <c r="T152" s="30">
        <f t="shared" si="53"/>
        <v>1185260.809935974</v>
      </c>
      <c r="U152">
        <f t="shared" si="54"/>
        <v>0</v>
      </c>
      <c r="V152" s="30">
        <f t="shared" si="55"/>
        <v>1185260.809935974</v>
      </c>
      <c r="W152" s="30">
        <f t="shared" si="45"/>
        <v>1185260.8099359742</v>
      </c>
      <c r="X152" s="30">
        <f t="shared" si="56"/>
        <v>1185260.8099359742</v>
      </c>
      <c r="Y152">
        <f t="shared" si="57"/>
        <v>0</v>
      </c>
    </row>
    <row r="153" spans="1:25" x14ac:dyDescent="0.25">
      <c r="A153" s="4" t="s">
        <v>955</v>
      </c>
      <c r="B153" s="7" t="s">
        <v>481</v>
      </c>
      <c r="C153" s="2" t="s">
        <v>956</v>
      </c>
      <c r="D153">
        <f>VLOOKUP(B153,'Model allocations'!$A$1:$L$319,3,FALSE)</f>
        <v>87255.151806115144</v>
      </c>
      <c r="E153" s="32">
        <f>VLOOKUP(B153,'Initial adjusted formula count'!$A$1:$P$319,12,FALSE)</f>
        <v>0.18025751072961399</v>
      </c>
      <c r="F153">
        <f>VLOOKUP(B153,'Model allocations'!$A$1:$L$319,8,FALSE)</f>
        <v>108394.44991977059</v>
      </c>
      <c r="G153" s="31">
        <f t="shared" si="46"/>
        <v>0.9</v>
      </c>
      <c r="H153">
        <f t="shared" si="47"/>
        <v>78529.636625503626</v>
      </c>
      <c r="I153">
        <f t="shared" si="39"/>
        <v>0</v>
      </c>
      <c r="J153">
        <f t="shared" si="40"/>
        <v>108394.44991977059</v>
      </c>
      <c r="K153">
        <f t="shared" si="41"/>
        <v>108378.50575516249</v>
      </c>
      <c r="L153">
        <f t="shared" si="48"/>
        <v>108378.50575516249</v>
      </c>
      <c r="M153">
        <f t="shared" si="42"/>
        <v>0</v>
      </c>
      <c r="N153" s="30">
        <f t="shared" si="49"/>
        <v>108378.50575516249</v>
      </c>
      <c r="O153" s="30">
        <f t="shared" si="43"/>
        <v>108376.53269371022</v>
      </c>
      <c r="P153" s="30">
        <f t="shared" si="50"/>
        <v>108376.53269371022</v>
      </c>
      <c r="Q153">
        <f t="shared" si="51"/>
        <v>0</v>
      </c>
      <c r="R153" s="30">
        <f t="shared" si="52"/>
        <v>108376.53269371022</v>
      </c>
      <c r="S153" s="30">
        <f t="shared" si="44"/>
        <v>108376.53269371025</v>
      </c>
      <c r="T153" s="30">
        <f t="shared" si="53"/>
        <v>108376.53269371025</v>
      </c>
      <c r="U153">
        <f t="shared" si="54"/>
        <v>0</v>
      </c>
      <c r="V153" s="30">
        <f t="shared" si="55"/>
        <v>108376.53269371025</v>
      </c>
      <c r="W153" s="30">
        <f t="shared" si="45"/>
        <v>108376.53269371027</v>
      </c>
      <c r="X153" s="30">
        <f t="shared" si="56"/>
        <v>108376.53269371027</v>
      </c>
      <c r="Y153">
        <f t="shared" si="57"/>
        <v>0</v>
      </c>
    </row>
    <row r="154" spans="1:25" x14ac:dyDescent="0.25">
      <c r="A154" s="4" t="s">
        <v>957</v>
      </c>
      <c r="B154" s="7" t="s">
        <v>483</v>
      </c>
      <c r="C154" s="2" t="s">
        <v>958</v>
      </c>
      <c r="D154">
        <f>VLOOKUP(B154,'Model allocations'!$A$1:$L$319,3,FALSE)</f>
        <v>210866.61686477831</v>
      </c>
      <c r="E154" s="32">
        <f>VLOOKUP(B154,'Initial adjusted formula count'!$A$1:$P$319,12,FALSE)</f>
        <v>0.27354709418837703</v>
      </c>
      <c r="F154">
        <f>VLOOKUP(B154,'Model allocations'!$A$1:$L$319,8,FALSE)</f>
        <v>234854.64149283635</v>
      </c>
      <c r="G154" s="31">
        <f t="shared" si="46"/>
        <v>0.9</v>
      </c>
      <c r="H154">
        <f t="shared" si="47"/>
        <v>189779.95517830047</v>
      </c>
      <c r="I154">
        <f t="shared" si="39"/>
        <v>0</v>
      </c>
      <c r="J154">
        <f t="shared" si="40"/>
        <v>234854.64149283635</v>
      </c>
      <c r="K154">
        <f t="shared" si="41"/>
        <v>234820.09580285216</v>
      </c>
      <c r="L154">
        <f t="shared" si="48"/>
        <v>234820.09580285216</v>
      </c>
      <c r="M154">
        <f t="shared" si="42"/>
        <v>0</v>
      </c>
      <c r="N154" s="30">
        <f t="shared" si="49"/>
        <v>234820.09580285216</v>
      </c>
      <c r="O154" s="30">
        <f t="shared" si="43"/>
        <v>234815.82083637224</v>
      </c>
      <c r="P154" s="30">
        <f t="shared" si="50"/>
        <v>234815.82083637224</v>
      </c>
      <c r="Q154">
        <f t="shared" si="51"/>
        <v>0</v>
      </c>
      <c r="R154" s="30">
        <f t="shared" si="52"/>
        <v>234815.82083637224</v>
      </c>
      <c r="S154" s="30">
        <f t="shared" si="44"/>
        <v>234815.82083637227</v>
      </c>
      <c r="T154" s="30">
        <f t="shared" si="53"/>
        <v>234815.82083637227</v>
      </c>
      <c r="U154">
        <f t="shared" si="54"/>
        <v>0</v>
      </c>
      <c r="V154" s="30">
        <f t="shared" si="55"/>
        <v>234815.82083637227</v>
      </c>
      <c r="W154" s="30">
        <f t="shared" si="45"/>
        <v>234815.82083637227</v>
      </c>
      <c r="X154" s="30">
        <f t="shared" si="56"/>
        <v>234815.82083637227</v>
      </c>
      <c r="Y154">
        <f t="shared" si="57"/>
        <v>0</v>
      </c>
    </row>
    <row r="155" spans="1:25" x14ac:dyDescent="0.25">
      <c r="A155" s="4" t="s">
        <v>959</v>
      </c>
      <c r="B155" s="7" t="s">
        <v>485</v>
      </c>
      <c r="C155" s="2" t="s">
        <v>960</v>
      </c>
      <c r="D155">
        <f>VLOOKUP(B155,'Model allocations'!$A$1:$L$319,3,FALSE)</f>
        <v>342557.26264622988</v>
      </c>
      <c r="E155" s="32">
        <f>VLOOKUP(B155,'Initial adjusted formula count'!$A$1:$P$319,12,FALSE)</f>
        <v>0.11745379876796699</v>
      </c>
      <c r="F155">
        <f>VLOOKUP(B155,'Model allocations'!$A$1:$L$319,8,FALSE)</f>
        <v>291173.67324929539</v>
      </c>
      <c r="G155" s="31">
        <f t="shared" si="46"/>
        <v>0.85</v>
      </c>
      <c r="H155">
        <f t="shared" si="47"/>
        <v>291173.67324929539</v>
      </c>
      <c r="I155">
        <f t="shared" si="39"/>
        <v>0</v>
      </c>
      <c r="J155">
        <f t="shared" si="40"/>
        <v>291173.67324929539</v>
      </c>
      <c r="K155">
        <f t="shared" si="41"/>
        <v>291130.84337212669</v>
      </c>
      <c r="L155">
        <f t="shared" si="48"/>
        <v>291130.84337212669</v>
      </c>
      <c r="M155">
        <f t="shared" si="42"/>
        <v>291173.67324929539</v>
      </c>
      <c r="N155" s="30">
        <f t="shared" si="49"/>
        <v>0</v>
      </c>
      <c r="O155" s="30">
        <f t="shared" si="43"/>
        <v>0</v>
      </c>
      <c r="P155" s="30">
        <f t="shared" si="50"/>
        <v>291173.67324929539</v>
      </c>
      <c r="Q155">
        <f t="shared" si="51"/>
        <v>0</v>
      </c>
      <c r="R155" s="30">
        <f t="shared" si="52"/>
        <v>0</v>
      </c>
      <c r="S155" s="30">
        <f t="shared" si="44"/>
        <v>0</v>
      </c>
      <c r="T155" s="30">
        <f t="shared" si="53"/>
        <v>291173.67324929539</v>
      </c>
      <c r="U155">
        <f t="shared" si="54"/>
        <v>0</v>
      </c>
      <c r="V155" s="30">
        <f t="shared" si="55"/>
        <v>0</v>
      </c>
      <c r="W155" s="30">
        <f t="shared" si="45"/>
        <v>0</v>
      </c>
      <c r="X155" s="30">
        <f t="shared" si="56"/>
        <v>291173.67324929539</v>
      </c>
      <c r="Y155">
        <f t="shared" si="57"/>
        <v>0</v>
      </c>
    </row>
    <row r="156" spans="1:25" x14ac:dyDescent="0.25">
      <c r="A156" s="4" t="s">
        <v>961</v>
      </c>
      <c r="B156" s="7" t="s">
        <v>179</v>
      </c>
      <c r="C156" s="2" t="s">
        <v>962</v>
      </c>
      <c r="D156">
        <f>VLOOKUP(B156,'Model allocations'!$A$1:$L$319,3,FALSE)</f>
        <v>0</v>
      </c>
      <c r="E156" s="32">
        <f>VLOOKUP(B156,'Initial adjusted formula count'!$A$1:$P$319,12,FALSE)</f>
        <v>7.3170731707317097E-2</v>
      </c>
      <c r="F156">
        <f>VLOOKUP(B156,'Model allocations'!$A$1:$L$319,8,FALSE)</f>
        <v>0</v>
      </c>
      <c r="G156" s="31">
        <f t="shared" si="46"/>
        <v>0.85</v>
      </c>
      <c r="H156">
        <f t="shared" si="47"/>
        <v>0</v>
      </c>
      <c r="I156">
        <f t="shared" si="39"/>
        <v>0</v>
      </c>
      <c r="J156">
        <f t="shared" si="40"/>
        <v>0</v>
      </c>
      <c r="K156">
        <f t="shared" si="41"/>
        <v>0</v>
      </c>
      <c r="L156">
        <f t="shared" si="48"/>
        <v>0</v>
      </c>
      <c r="M156">
        <f t="shared" si="42"/>
        <v>0</v>
      </c>
      <c r="N156" s="30">
        <f t="shared" si="49"/>
        <v>0</v>
      </c>
      <c r="O156" s="30">
        <f t="shared" si="43"/>
        <v>0</v>
      </c>
      <c r="P156" s="30">
        <f t="shared" si="50"/>
        <v>0</v>
      </c>
      <c r="Q156">
        <f t="shared" si="51"/>
        <v>0</v>
      </c>
      <c r="R156" s="30">
        <f t="shared" si="52"/>
        <v>0</v>
      </c>
      <c r="S156" s="30">
        <f t="shared" si="44"/>
        <v>0</v>
      </c>
      <c r="T156" s="30">
        <f t="shared" si="53"/>
        <v>0</v>
      </c>
      <c r="U156">
        <f t="shared" si="54"/>
        <v>0</v>
      </c>
      <c r="V156" s="30">
        <f t="shared" si="55"/>
        <v>0</v>
      </c>
      <c r="W156" s="30">
        <f t="shared" si="45"/>
        <v>0</v>
      </c>
      <c r="X156" s="30">
        <f t="shared" si="56"/>
        <v>0</v>
      </c>
      <c r="Y156">
        <f t="shared" si="57"/>
        <v>0</v>
      </c>
    </row>
    <row r="157" spans="1:25" x14ac:dyDescent="0.25">
      <c r="A157" s="4" t="s">
        <v>963</v>
      </c>
      <c r="B157" s="7" t="s">
        <v>487</v>
      </c>
      <c r="C157" s="9" t="s">
        <v>964</v>
      </c>
      <c r="D157">
        <f>VLOOKUP(B157,'Model allocations'!$A$1:$L$319,3,FALSE)</f>
        <v>771561.75902629609</v>
      </c>
      <c r="E157" s="32">
        <f>VLOOKUP(B157,'Initial adjusted formula count'!$A$1:$P$319,12,FALSE)</f>
        <v>0.13510747185260999</v>
      </c>
      <c r="F157">
        <f>VLOOKUP(B157,'Model allocations'!$A$1:$L$319,8,FALSE)</f>
        <v>794892.63274498458</v>
      </c>
      <c r="G157" s="31">
        <f t="shared" si="46"/>
        <v>0.85</v>
      </c>
      <c r="H157">
        <f t="shared" si="47"/>
        <v>655827.49517235172</v>
      </c>
      <c r="I157">
        <f t="shared" si="39"/>
        <v>0</v>
      </c>
      <c r="J157">
        <f t="shared" si="40"/>
        <v>794892.63274498458</v>
      </c>
      <c r="K157">
        <f t="shared" si="41"/>
        <v>794775.70887119183</v>
      </c>
      <c r="L157">
        <f t="shared" si="48"/>
        <v>794775.70887119183</v>
      </c>
      <c r="M157">
        <f t="shared" si="42"/>
        <v>0</v>
      </c>
      <c r="N157" s="30">
        <f t="shared" si="49"/>
        <v>794775.70887119183</v>
      </c>
      <c r="O157" s="30">
        <f t="shared" si="43"/>
        <v>794761.23975387507</v>
      </c>
      <c r="P157" s="30">
        <f t="shared" si="50"/>
        <v>794761.23975387507</v>
      </c>
      <c r="Q157">
        <f t="shared" si="51"/>
        <v>0</v>
      </c>
      <c r="R157" s="30">
        <f t="shared" si="52"/>
        <v>794761.23975387507</v>
      </c>
      <c r="S157" s="30">
        <f t="shared" si="44"/>
        <v>794761.23975387518</v>
      </c>
      <c r="T157" s="30">
        <f t="shared" si="53"/>
        <v>794761.23975387518</v>
      </c>
      <c r="U157">
        <f t="shared" si="54"/>
        <v>0</v>
      </c>
      <c r="V157" s="30">
        <f t="shared" si="55"/>
        <v>794761.23975387518</v>
      </c>
      <c r="W157" s="30">
        <f t="shared" si="45"/>
        <v>794761.2397538753</v>
      </c>
      <c r="X157" s="30">
        <f t="shared" si="56"/>
        <v>794761.2397538753</v>
      </c>
      <c r="Y157">
        <f t="shared" si="57"/>
        <v>0</v>
      </c>
    </row>
    <row r="158" spans="1:25" x14ac:dyDescent="0.25">
      <c r="A158" s="4" t="s">
        <v>965</v>
      </c>
      <c r="B158" s="7" t="s">
        <v>290</v>
      </c>
      <c r="C158" s="2" t="s">
        <v>966</v>
      </c>
      <c r="D158">
        <f>VLOOKUP(B158,'Model allocations'!$A$1:$L$319,3,FALSE)</f>
        <v>1535044.337329804</v>
      </c>
      <c r="E158" s="32">
        <f>VLOOKUP(B158,'Initial adjusted formula count'!$A$1:$P$319,12,FALSE)</f>
        <v>0.13751771374586699</v>
      </c>
      <c r="F158">
        <f>VLOOKUP(B158,'Model allocations'!$A$1:$L$319,8,FALSE)</f>
        <v>2003576.7766916335</v>
      </c>
      <c r="G158" s="31">
        <f t="shared" si="46"/>
        <v>0.85</v>
      </c>
      <c r="H158">
        <f t="shared" si="47"/>
        <v>1304787.6867303334</v>
      </c>
      <c r="I158">
        <f t="shared" si="39"/>
        <v>0</v>
      </c>
      <c r="J158">
        <f t="shared" si="40"/>
        <v>2003576.7766916335</v>
      </c>
      <c r="K158">
        <f t="shared" si="41"/>
        <v>2003282.0627283617</v>
      </c>
      <c r="L158">
        <f t="shared" si="48"/>
        <v>2003282.0627283617</v>
      </c>
      <c r="M158">
        <f t="shared" si="42"/>
        <v>0</v>
      </c>
      <c r="N158" s="30">
        <f t="shared" si="49"/>
        <v>2003282.0627283617</v>
      </c>
      <c r="O158" s="30">
        <f t="shared" si="43"/>
        <v>2003245.5924099304</v>
      </c>
      <c r="P158" s="30">
        <f t="shared" si="50"/>
        <v>2003245.5924099304</v>
      </c>
      <c r="Q158">
        <f t="shared" si="51"/>
        <v>0</v>
      </c>
      <c r="R158" s="30">
        <f t="shared" si="52"/>
        <v>2003245.5924099304</v>
      </c>
      <c r="S158" s="30">
        <f t="shared" si="44"/>
        <v>2003245.5924099309</v>
      </c>
      <c r="T158" s="30">
        <f t="shared" si="53"/>
        <v>2003245.5924099309</v>
      </c>
      <c r="U158">
        <f t="shared" si="54"/>
        <v>0</v>
      </c>
      <c r="V158" s="30">
        <f t="shared" si="55"/>
        <v>2003245.5924099309</v>
      </c>
      <c r="W158" s="30">
        <f t="shared" si="45"/>
        <v>2003245.5924099311</v>
      </c>
      <c r="X158" s="30">
        <f t="shared" si="56"/>
        <v>2003245.5924099311</v>
      </c>
      <c r="Y158">
        <f t="shared" si="57"/>
        <v>0</v>
      </c>
    </row>
    <row r="159" spans="1:25" x14ac:dyDescent="0.25">
      <c r="A159" s="4" t="s">
        <v>967</v>
      </c>
      <c r="B159" s="7" t="s">
        <v>489</v>
      </c>
      <c r="C159" s="2" t="s">
        <v>968</v>
      </c>
      <c r="D159">
        <f>VLOOKUP(B159,'Model allocations'!$A$1:$L$319,3,FALSE)</f>
        <v>167239.04096172069</v>
      </c>
      <c r="E159" s="32">
        <f>VLOOKUP(B159,'Initial adjusted formula count'!$A$1:$P$319,12,FALSE)</f>
        <v>0.138251704897706</v>
      </c>
      <c r="F159">
        <f>VLOOKUP(B159,'Model allocations'!$A$1:$L$319,8,FALSE)</f>
        <v>191840.97088975273</v>
      </c>
      <c r="G159" s="31">
        <f t="shared" si="46"/>
        <v>0.85</v>
      </c>
      <c r="H159">
        <f t="shared" si="47"/>
        <v>142153.18481746258</v>
      </c>
      <c r="I159">
        <f t="shared" si="39"/>
        <v>0</v>
      </c>
      <c r="J159">
        <f t="shared" si="40"/>
        <v>191840.97088975273</v>
      </c>
      <c r="K159">
        <f t="shared" si="41"/>
        <v>191812.75224921617</v>
      </c>
      <c r="L159">
        <f t="shared" si="48"/>
        <v>191812.75224921617</v>
      </c>
      <c r="M159">
        <f t="shared" si="42"/>
        <v>0</v>
      </c>
      <c r="N159" s="30">
        <f t="shared" si="49"/>
        <v>191812.75224921617</v>
      </c>
      <c r="O159" s="30">
        <f t="shared" si="43"/>
        <v>191809.26024362998</v>
      </c>
      <c r="P159" s="30">
        <f t="shared" si="50"/>
        <v>191809.26024362998</v>
      </c>
      <c r="Q159">
        <f t="shared" si="51"/>
        <v>0</v>
      </c>
      <c r="R159" s="30">
        <f t="shared" si="52"/>
        <v>191809.26024362998</v>
      </c>
      <c r="S159" s="30">
        <f t="shared" si="44"/>
        <v>191809.26024363001</v>
      </c>
      <c r="T159" s="30">
        <f t="shared" si="53"/>
        <v>191809.26024363001</v>
      </c>
      <c r="U159">
        <f t="shared" si="54"/>
        <v>0</v>
      </c>
      <c r="V159" s="30">
        <f t="shared" si="55"/>
        <v>191809.26024363001</v>
      </c>
      <c r="W159" s="30">
        <f t="shared" si="45"/>
        <v>191809.26024363004</v>
      </c>
      <c r="X159" s="30">
        <f t="shared" si="56"/>
        <v>191809.26024363004</v>
      </c>
      <c r="Y159">
        <f t="shared" si="57"/>
        <v>0</v>
      </c>
    </row>
    <row r="160" spans="1:25" x14ac:dyDescent="0.25">
      <c r="A160" s="4" t="s">
        <v>969</v>
      </c>
      <c r="B160" s="7" t="s">
        <v>491</v>
      </c>
      <c r="C160" s="2" t="s">
        <v>970</v>
      </c>
      <c r="D160">
        <f>VLOOKUP(B160,'Model allocations'!$A$1:$L$319,3,FALSE)</f>
        <v>77104.505171821205</v>
      </c>
      <c r="E160" s="32">
        <f>VLOOKUP(B160,'Initial adjusted formula count'!$A$1:$P$319,12,FALSE)</f>
        <v>8.5271317829457405E-2</v>
      </c>
      <c r="F160">
        <f>VLOOKUP(B160,'Model allocations'!$A$1:$L$319,8,FALSE)</f>
        <v>65538.829396048022</v>
      </c>
      <c r="G160" s="31">
        <f t="shared" si="46"/>
        <v>0.85</v>
      </c>
      <c r="H160">
        <f t="shared" si="47"/>
        <v>65538.829396048022</v>
      </c>
      <c r="I160">
        <f t="shared" si="39"/>
        <v>0</v>
      </c>
      <c r="J160">
        <f t="shared" si="40"/>
        <v>65538.829396048022</v>
      </c>
      <c r="K160">
        <f t="shared" si="41"/>
        <v>65529.189032681752</v>
      </c>
      <c r="L160">
        <f t="shared" si="48"/>
        <v>65529.189032681752</v>
      </c>
      <c r="M160">
        <f t="shared" si="42"/>
        <v>65538.829396048022</v>
      </c>
      <c r="N160" s="30">
        <f t="shared" si="49"/>
        <v>0</v>
      </c>
      <c r="O160" s="30">
        <f t="shared" si="43"/>
        <v>0</v>
      </c>
      <c r="P160" s="30">
        <f t="shared" si="50"/>
        <v>65538.829396048022</v>
      </c>
      <c r="Q160">
        <f t="shared" si="51"/>
        <v>0</v>
      </c>
      <c r="R160" s="30">
        <f t="shared" si="52"/>
        <v>0</v>
      </c>
      <c r="S160" s="30">
        <f t="shared" si="44"/>
        <v>0</v>
      </c>
      <c r="T160" s="30">
        <f t="shared" si="53"/>
        <v>65538.829396048022</v>
      </c>
      <c r="U160">
        <f t="shared" si="54"/>
        <v>0</v>
      </c>
      <c r="V160" s="30">
        <f t="shared" si="55"/>
        <v>0</v>
      </c>
      <c r="W160" s="30">
        <f t="shared" si="45"/>
        <v>0</v>
      </c>
      <c r="X160" s="30">
        <f t="shared" si="56"/>
        <v>65538.829396048022</v>
      </c>
      <c r="Y160">
        <f t="shared" si="57"/>
        <v>0</v>
      </c>
    </row>
    <row r="161" spans="1:25" x14ac:dyDescent="0.25">
      <c r="A161" s="4" t="s">
        <v>971</v>
      </c>
      <c r="B161" s="7" t="s">
        <v>493</v>
      </c>
      <c r="C161" s="2" t="s">
        <v>972</v>
      </c>
      <c r="D161">
        <f>VLOOKUP(B161,'Model allocations'!$A$1:$L$319,3,FALSE)</f>
        <v>39165.650154321884</v>
      </c>
      <c r="E161" s="32">
        <f>VLOOKUP(B161,'Initial adjusted formula count'!$A$1:$P$319,12,FALSE)</f>
        <v>0.10294117647058799</v>
      </c>
      <c r="F161">
        <f>VLOOKUP(B161,'Model allocations'!$A$1:$L$319,8,FALSE)</f>
        <v>33290.802631173603</v>
      </c>
      <c r="G161" s="31">
        <f t="shared" si="46"/>
        <v>0.85</v>
      </c>
      <c r="H161">
        <f t="shared" si="47"/>
        <v>33290.802631173603</v>
      </c>
      <c r="I161">
        <f t="shared" si="39"/>
        <v>0</v>
      </c>
      <c r="J161">
        <f t="shared" si="40"/>
        <v>33290.802631173603</v>
      </c>
      <c r="K161">
        <f t="shared" si="41"/>
        <v>33285.905756495238</v>
      </c>
      <c r="L161">
        <f t="shared" si="48"/>
        <v>33285.905756495238</v>
      </c>
      <c r="M161">
        <f t="shared" si="42"/>
        <v>33290.802631173603</v>
      </c>
      <c r="N161" s="30">
        <f t="shared" si="49"/>
        <v>0</v>
      </c>
      <c r="O161" s="30">
        <f t="shared" si="43"/>
        <v>0</v>
      </c>
      <c r="P161" s="30">
        <f t="shared" si="50"/>
        <v>33290.802631173603</v>
      </c>
      <c r="Q161">
        <f t="shared" si="51"/>
        <v>0</v>
      </c>
      <c r="R161" s="30">
        <f t="shared" si="52"/>
        <v>0</v>
      </c>
      <c r="S161" s="30">
        <f t="shared" si="44"/>
        <v>0</v>
      </c>
      <c r="T161" s="30">
        <f t="shared" si="53"/>
        <v>33290.802631173603</v>
      </c>
      <c r="U161">
        <f t="shared" si="54"/>
        <v>0</v>
      </c>
      <c r="V161" s="30">
        <f t="shared" si="55"/>
        <v>0</v>
      </c>
      <c r="W161" s="30">
        <f t="shared" si="45"/>
        <v>0</v>
      </c>
      <c r="X161" s="30">
        <f t="shared" si="56"/>
        <v>33290.802631173603</v>
      </c>
      <c r="Y161">
        <f t="shared" si="57"/>
        <v>0</v>
      </c>
    </row>
    <row r="162" spans="1:25" x14ac:dyDescent="0.25">
      <c r="A162" s="4" t="s">
        <v>973</v>
      </c>
      <c r="B162" s="7" t="s">
        <v>495</v>
      </c>
      <c r="C162" s="2" t="s">
        <v>974</v>
      </c>
      <c r="D162">
        <f>VLOOKUP(B162,'Model allocations'!$A$1:$L$319,3,FALSE)</f>
        <v>66676.470158914773</v>
      </c>
      <c r="E162" s="32">
        <f>VLOOKUP(B162,'Initial adjusted formula count'!$A$1:$P$319,12,FALSE)</f>
        <v>0.27667984189723299</v>
      </c>
      <c r="F162">
        <f>VLOOKUP(B162,'Model allocations'!$A$1:$L$319,8,FALSE)</f>
        <v>60219.138844317014</v>
      </c>
      <c r="G162" s="31">
        <f t="shared" si="46"/>
        <v>0.9</v>
      </c>
      <c r="H162">
        <f t="shared" si="47"/>
        <v>60008.823143023299</v>
      </c>
      <c r="I162">
        <f t="shared" si="39"/>
        <v>0</v>
      </c>
      <c r="J162">
        <f t="shared" si="40"/>
        <v>60219.138844317014</v>
      </c>
      <c r="K162">
        <f t="shared" si="41"/>
        <v>60210.280975090296</v>
      </c>
      <c r="L162">
        <f t="shared" si="48"/>
        <v>60210.280975090296</v>
      </c>
      <c r="M162">
        <f t="shared" si="42"/>
        <v>0</v>
      </c>
      <c r="N162" s="30">
        <f t="shared" si="49"/>
        <v>60210.280975090296</v>
      </c>
      <c r="O162" s="30">
        <f t="shared" si="43"/>
        <v>60209.184829839032</v>
      </c>
      <c r="P162" s="30">
        <f t="shared" si="50"/>
        <v>60209.184829839032</v>
      </c>
      <c r="Q162">
        <f t="shared" si="51"/>
        <v>0</v>
      </c>
      <c r="R162" s="30">
        <f t="shared" si="52"/>
        <v>60209.184829839032</v>
      </c>
      <c r="S162" s="30">
        <f t="shared" si="44"/>
        <v>60209.184829839047</v>
      </c>
      <c r="T162" s="30">
        <f t="shared" si="53"/>
        <v>60209.184829839047</v>
      </c>
      <c r="U162">
        <f t="shared" si="54"/>
        <v>0</v>
      </c>
      <c r="V162" s="30">
        <f t="shared" si="55"/>
        <v>60209.184829839047</v>
      </c>
      <c r="W162" s="30">
        <f t="shared" si="45"/>
        <v>60209.184829839054</v>
      </c>
      <c r="X162" s="30">
        <f t="shared" si="56"/>
        <v>60209.184829839054</v>
      </c>
      <c r="Y162">
        <f t="shared" si="57"/>
        <v>0</v>
      </c>
    </row>
    <row r="163" spans="1:25" x14ac:dyDescent="0.25">
      <c r="A163" s="4" t="s">
        <v>975</v>
      </c>
      <c r="B163" s="7" t="s">
        <v>497</v>
      </c>
      <c r="C163" s="2" t="s">
        <v>976</v>
      </c>
      <c r="D163">
        <f>VLOOKUP(B163,'Model allocations'!$A$1:$L$319,3,FALSE)</f>
        <v>253686.27469555702</v>
      </c>
      <c r="E163" s="32">
        <f>VLOOKUP(B163,'Initial adjusted formula count'!$A$1:$P$319,12,FALSE)</f>
        <v>0.19442458899213699</v>
      </c>
      <c r="F163">
        <f>VLOOKUP(B163,'Model allocations'!$A$1:$L$319,8,FALSE)</f>
        <v>233994.36808077476</v>
      </c>
      <c r="G163" s="31">
        <f t="shared" si="46"/>
        <v>0.9</v>
      </c>
      <c r="H163">
        <f t="shared" si="47"/>
        <v>228317.64722600131</v>
      </c>
      <c r="I163">
        <f t="shared" si="39"/>
        <v>0</v>
      </c>
      <c r="J163">
        <f t="shared" si="40"/>
        <v>233994.36808077476</v>
      </c>
      <c r="K163">
        <f t="shared" si="41"/>
        <v>233959.94893177951</v>
      </c>
      <c r="L163">
        <f t="shared" si="48"/>
        <v>233959.94893177951</v>
      </c>
      <c r="M163">
        <f t="shared" si="42"/>
        <v>0</v>
      </c>
      <c r="N163" s="30">
        <f t="shared" si="49"/>
        <v>233959.94893177951</v>
      </c>
      <c r="O163" s="30">
        <f t="shared" si="43"/>
        <v>233955.68962451743</v>
      </c>
      <c r="P163" s="30">
        <f t="shared" si="50"/>
        <v>233955.68962451743</v>
      </c>
      <c r="Q163">
        <f t="shared" si="51"/>
        <v>0</v>
      </c>
      <c r="R163" s="30">
        <f t="shared" si="52"/>
        <v>233955.68962451743</v>
      </c>
      <c r="S163" s="30">
        <f t="shared" si="44"/>
        <v>233955.68962451749</v>
      </c>
      <c r="T163" s="30">
        <f t="shared" si="53"/>
        <v>233955.68962451749</v>
      </c>
      <c r="U163">
        <f t="shared" si="54"/>
        <v>0</v>
      </c>
      <c r="V163" s="30">
        <f t="shared" si="55"/>
        <v>233955.68962451749</v>
      </c>
      <c r="W163" s="30">
        <f t="shared" si="45"/>
        <v>233955.68962451752</v>
      </c>
      <c r="X163" s="30">
        <f t="shared" si="56"/>
        <v>233955.68962451752</v>
      </c>
      <c r="Y163">
        <f t="shared" si="57"/>
        <v>0</v>
      </c>
    </row>
    <row r="164" spans="1:25" x14ac:dyDescent="0.25">
      <c r="A164" s="4" t="s">
        <v>977</v>
      </c>
      <c r="B164" s="7" t="s">
        <v>499</v>
      </c>
      <c r="C164" s="2" t="s">
        <v>978</v>
      </c>
      <c r="D164">
        <f>VLOOKUP(B164,'Model allocations'!$A$1:$L$319,3,FALSE)</f>
        <v>215795.0528110677</v>
      </c>
      <c r="E164" s="32">
        <f>VLOOKUP(B164,'Initial adjusted formula count'!$A$1:$P$319,12,FALSE)</f>
        <v>6.8458093410108806E-2</v>
      </c>
      <c r="F164">
        <f>VLOOKUP(B164,'Model allocations'!$A$1:$L$319,8,FALSE)</f>
        <v>183425.79488940752</v>
      </c>
      <c r="G164" s="31">
        <f t="shared" si="46"/>
        <v>0.85</v>
      </c>
      <c r="H164">
        <f t="shared" si="47"/>
        <v>183425.79488940752</v>
      </c>
      <c r="I164">
        <f t="shared" si="39"/>
        <v>0</v>
      </c>
      <c r="J164">
        <f t="shared" si="40"/>
        <v>183425.79488940752</v>
      </c>
      <c r="K164">
        <f t="shared" si="41"/>
        <v>183398.81407010125</v>
      </c>
      <c r="L164">
        <f t="shared" si="48"/>
        <v>183398.81407010125</v>
      </c>
      <c r="M164">
        <f t="shared" si="42"/>
        <v>183425.79488940752</v>
      </c>
      <c r="N164" s="30">
        <f t="shared" si="49"/>
        <v>0</v>
      </c>
      <c r="O164" s="30">
        <f t="shared" si="43"/>
        <v>0</v>
      </c>
      <c r="P164" s="30">
        <f t="shared" si="50"/>
        <v>183425.79488940752</v>
      </c>
      <c r="Q164">
        <f t="shared" si="51"/>
        <v>0</v>
      </c>
      <c r="R164" s="30">
        <f t="shared" si="52"/>
        <v>0</v>
      </c>
      <c r="S164" s="30">
        <f t="shared" si="44"/>
        <v>0</v>
      </c>
      <c r="T164" s="30">
        <f t="shared" si="53"/>
        <v>183425.79488940752</v>
      </c>
      <c r="U164">
        <f t="shared" si="54"/>
        <v>0</v>
      </c>
      <c r="V164" s="30">
        <f t="shared" si="55"/>
        <v>0</v>
      </c>
      <c r="W164" s="30">
        <f t="shared" si="45"/>
        <v>0</v>
      </c>
      <c r="X164" s="30">
        <f t="shared" si="56"/>
        <v>183425.79488940752</v>
      </c>
      <c r="Y164">
        <f t="shared" si="57"/>
        <v>0</v>
      </c>
    </row>
    <row r="165" spans="1:25" x14ac:dyDescent="0.25">
      <c r="A165" s="4" t="s">
        <v>979</v>
      </c>
      <c r="B165" s="7" t="s">
        <v>181</v>
      </c>
      <c r="C165" s="2" t="s">
        <v>980</v>
      </c>
      <c r="D165">
        <f>VLOOKUP(B165,'Model allocations'!$A$1:$L$319,3,FALSE)</f>
        <v>243991.25782821089</v>
      </c>
      <c r="E165" s="32">
        <f>VLOOKUP(B165,'Initial adjusted formula count'!$A$1:$P$319,12,FALSE)</f>
        <v>9.41176470588235E-2</v>
      </c>
      <c r="F165">
        <f>VLOOKUP(B165,'Model allocations'!$A$1:$L$319,8,FALSE)</f>
        <v>207392.56915397925</v>
      </c>
      <c r="G165" s="31">
        <f t="shared" si="46"/>
        <v>0.85</v>
      </c>
      <c r="H165">
        <f t="shared" si="47"/>
        <v>207392.56915397925</v>
      </c>
      <c r="I165">
        <f t="shared" si="39"/>
        <v>0</v>
      </c>
      <c r="J165">
        <f t="shared" si="40"/>
        <v>207392.56915397925</v>
      </c>
      <c r="K165">
        <f t="shared" si="41"/>
        <v>207362.06296788267</v>
      </c>
      <c r="L165">
        <f t="shared" si="48"/>
        <v>207362.06296788267</v>
      </c>
      <c r="M165">
        <f t="shared" si="42"/>
        <v>207392.56915397925</v>
      </c>
      <c r="N165" s="30">
        <f t="shared" si="49"/>
        <v>0</v>
      </c>
      <c r="O165" s="30">
        <f t="shared" si="43"/>
        <v>0</v>
      </c>
      <c r="P165" s="30">
        <f t="shared" si="50"/>
        <v>207392.56915397925</v>
      </c>
      <c r="Q165">
        <f t="shared" si="51"/>
        <v>0</v>
      </c>
      <c r="R165" s="30">
        <f t="shared" si="52"/>
        <v>0</v>
      </c>
      <c r="S165" s="30">
        <f t="shared" si="44"/>
        <v>0</v>
      </c>
      <c r="T165" s="30">
        <f t="shared" si="53"/>
        <v>207392.56915397925</v>
      </c>
      <c r="U165">
        <f t="shared" si="54"/>
        <v>0</v>
      </c>
      <c r="V165" s="30">
        <f t="shared" si="55"/>
        <v>0</v>
      </c>
      <c r="W165" s="30">
        <f t="shared" si="45"/>
        <v>0</v>
      </c>
      <c r="X165" s="30">
        <f t="shared" si="56"/>
        <v>207392.56915397925</v>
      </c>
      <c r="Y165">
        <f t="shared" si="57"/>
        <v>0</v>
      </c>
    </row>
    <row r="166" spans="1:25" x14ac:dyDescent="0.25">
      <c r="A166" s="4" t="s">
        <v>981</v>
      </c>
      <c r="B166" s="7" t="s">
        <v>501</v>
      </c>
      <c r="C166" s="2" t="s">
        <v>982</v>
      </c>
      <c r="D166">
        <f>VLOOKUP(B166,'Model allocations'!$A$1:$L$319,3,FALSE)</f>
        <v>137346.07228740345</v>
      </c>
      <c r="E166" s="32">
        <f>VLOOKUP(B166,'Initial adjusted formula count'!$A$1:$P$319,12,FALSE)</f>
        <v>0.23613086770981501</v>
      </c>
      <c r="F166">
        <f>VLOOKUP(B166,'Model allocations'!$A$1:$L$319,8,FALSE)</f>
        <v>142805.38640223743</v>
      </c>
      <c r="G166" s="31">
        <f t="shared" si="46"/>
        <v>0.9</v>
      </c>
      <c r="H166">
        <f t="shared" si="47"/>
        <v>123611.46505866312</v>
      </c>
      <c r="I166">
        <f t="shared" si="39"/>
        <v>0</v>
      </c>
      <c r="J166">
        <f t="shared" si="40"/>
        <v>142805.38640223743</v>
      </c>
      <c r="K166">
        <f t="shared" si="41"/>
        <v>142784.38059807121</v>
      </c>
      <c r="L166">
        <f t="shared" si="48"/>
        <v>142784.38059807121</v>
      </c>
      <c r="M166">
        <f t="shared" si="42"/>
        <v>0</v>
      </c>
      <c r="N166" s="30">
        <f t="shared" si="49"/>
        <v>142784.38059807121</v>
      </c>
      <c r="O166" s="30">
        <f t="shared" si="43"/>
        <v>142781.78116790392</v>
      </c>
      <c r="P166" s="30">
        <f t="shared" si="50"/>
        <v>142781.78116790392</v>
      </c>
      <c r="Q166">
        <f t="shared" si="51"/>
        <v>0</v>
      </c>
      <c r="R166" s="30">
        <f t="shared" si="52"/>
        <v>142781.78116790392</v>
      </c>
      <c r="S166" s="30">
        <f t="shared" si="44"/>
        <v>142781.78116790394</v>
      </c>
      <c r="T166" s="30">
        <f t="shared" si="53"/>
        <v>142781.78116790394</v>
      </c>
      <c r="U166">
        <f t="shared" si="54"/>
        <v>0</v>
      </c>
      <c r="V166" s="30">
        <f t="shared" si="55"/>
        <v>142781.78116790394</v>
      </c>
      <c r="W166" s="30">
        <f t="shared" si="45"/>
        <v>142781.78116790397</v>
      </c>
      <c r="X166" s="30">
        <f t="shared" si="56"/>
        <v>142781.78116790397</v>
      </c>
      <c r="Y166">
        <f t="shared" si="57"/>
        <v>0</v>
      </c>
    </row>
    <row r="167" spans="1:25" x14ac:dyDescent="0.25">
      <c r="A167" s="4" t="s">
        <v>983</v>
      </c>
      <c r="B167" s="7" t="s">
        <v>503</v>
      </c>
      <c r="C167" s="2" t="s">
        <v>984</v>
      </c>
      <c r="D167">
        <f>VLOOKUP(B167,'Model allocations'!$A$1:$L$319,3,FALSE)</f>
        <v>299850.85344597133</v>
      </c>
      <c r="E167" s="32">
        <f>VLOOKUP(B167,'Initial adjusted formula count'!$A$1:$P$319,12,FALSE)</f>
        <v>0.187245590230665</v>
      </c>
      <c r="F167">
        <f>VLOOKUP(B167,'Model allocations'!$A$1:$L$319,8,FALSE)</f>
        <v>356153.19259353221</v>
      </c>
      <c r="G167" s="31">
        <f t="shared" si="46"/>
        <v>0.9</v>
      </c>
      <c r="H167">
        <f t="shared" si="47"/>
        <v>269865.76810137421</v>
      </c>
      <c r="I167">
        <f t="shared" si="39"/>
        <v>0</v>
      </c>
      <c r="J167">
        <f t="shared" si="40"/>
        <v>356153.19259353221</v>
      </c>
      <c r="K167">
        <f t="shared" si="41"/>
        <v>356100.80462410557</v>
      </c>
      <c r="L167">
        <f t="shared" si="48"/>
        <v>356100.80462410557</v>
      </c>
      <c r="M167">
        <f t="shared" si="42"/>
        <v>0</v>
      </c>
      <c r="N167" s="30">
        <f t="shared" si="49"/>
        <v>356100.80462410557</v>
      </c>
      <c r="O167" s="30">
        <f t="shared" si="43"/>
        <v>356094.32170790521</v>
      </c>
      <c r="P167" s="30">
        <f t="shared" si="50"/>
        <v>356094.32170790521</v>
      </c>
      <c r="Q167">
        <f t="shared" si="51"/>
        <v>0</v>
      </c>
      <c r="R167" s="30">
        <f t="shared" si="52"/>
        <v>356094.32170790521</v>
      </c>
      <c r="S167" s="30">
        <f t="shared" si="44"/>
        <v>356094.32170790521</v>
      </c>
      <c r="T167" s="30">
        <f t="shared" si="53"/>
        <v>356094.32170790521</v>
      </c>
      <c r="U167">
        <f t="shared" si="54"/>
        <v>0</v>
      </c>
      <c r="V167" s="30">
        <f t="shared" si="55"/>
        <v>356094.32170790521</v>
      </c>
      <c r="W167" s="30">
        <f t="shared" si="45"/>
        <v>356094.32170790521</v>
      </c>
      <c r="X167" s="30">
        <f t="shared" si="56"/>
        <v>356094.32170790521</v>
      </c>
      <c r="Y167">
        <f t="shared" si="57"/>
        <v>0</v>
      </c>
    </row>
    <row r="168" spans="1:25" x14ac:dyDescent="0.25">
      <c r="A168" s="4" t="s">
        <v>985</v>
      </c>
      <c r="B168" s="7" t="s">
        <v>183</v>
      </c>
      <c r="C168" s="2" t="s">
        <v>986</v>
      </c>
      <c r="D168">
        <f>VLOOKUP(B168,'Model allocations'!$A$1:$L$319,3,FALSE)</f>
        <v>508988.38553567178</v>
      </c>
      <c r="E168" s="32">
        <f>VLOOKUP(B168,'Initial adjusted formula count'!$A$1:$P$319,12,FALSE)</f>
        <v>8.0519118057493705E-2</v>
      </c>
      <c r="F168">
        <f>VLOOKUP(B168,'Model allocations'!$A$1:$L$319,8,FALSE)</f>
        <v>496377.75875958451</v>
      </c>
      <c r="G168" s="31">
        <f t="shared" si="46"/>
        <v>0.85</v>
      </c>
      <c r="H168">
        <f t="shared" si="47"/>
        <v>432640.12770532101</v>
      </c>
      <c r="I168">
        <f t="shared" si="39"/>
        <v>0</v>
      </c>
      <c r="J168">
        <f t="shared" si="40"/>
        <v>496377.75875958451</v>
      </c>
      <c r="K168">
        <f t="shared" si="41"/>
        <v>496304.74460895854</v>
      </c>
      <c r="L168">
        <f t="shared" si="48"/>
        <v>496304.74460895854</v>
      </c>
      <c r="M168">
        <f t="shared" si="42"/>
        <v>0</v>
      </c>
      <c r="N168" s="30">
        <f t="shared" si="49"/>
        <v>496304.74460895854</v>
      </c>
      <c r="O168" s="30">
        <f t="shared" si="43"/>
        <v>496295.70924024453</v>
      </c>
      <c r="P168" s="30">
        <f t="shared" si="50"/>
        <v>496295.70924024453</v>
      </c>
      <c r="Q168">
        <f t="shared" si="51"/>
        <v>0</v>
      </c>
      <c r="R168" s="30">
        <f t="shared" si="52"/>
        <v>496295.70924024453</v>
      </c>
      <c r="S168" s="30">
        <f t="shared" si="44"/>
        <v>496295.70924024459</v>
      </c>
      <c r="T168" s="30">
        <f t="shared" si="53"/>
        <v>496295.70924024459</v>
      </c>
      <c r="U168">
        <f t="shared" si="54"/>
        <v>0</v>
      </c>
      <c r="V168" s="30">
        <f t="shared" si="55"/>
        <v>496295.70924024459</v>
      </c>
      <c r="W168" s="30">
        <f t="shared" si="45"/>
        <v>496295.7092402447</v>
      </c>
      <c r="X168" s="30">
        <f t="shared" si="56"/>
        <v>496295.7092402447</v>
      </c>
      <c r="Y168">
        <f t="shared" si="57"/>
        <v>0</v>
      </c>
    </row>
    <row r="169" spans="1:25" x14ac:dyDescent="0.25">
      <c r="A169" s="4" t="s">
        <v>987</v>
      </c>
      <c r="B169" s="7" t="s">
        <v>505</v>
      </c>
      <c r="C169" s="2" t="s">
        <v>988</v>
      </c>
      <c r="D169">
        <f>VLOOKUP(B169,'Model allocations'!$A$1:$L$319,3,FALSE)</f>
        <v>324783.06505609531</v>
      </c>
      <c r="E169" s="32">
        <f>VLOOKUP(B169,'Initial adjusted formula count'!$A$1:$P$319,12,FALSE)</f>
        <v>0.14198036006546599</v>
      </c>
      <c r="F169">
        <f>VLOOKUP(B169,'Model allocations'!$A$1:$L$319,8,FALSE)</f>
        <v>298514.8739853999</v>
      </c>
      <c r="G169" s="31">
        <f t="shared" si="46"/>
        <v>0.85</v>
      </c>
      <c r="H169">
        <f t="shared" si="47"/>
        <v>276065.605297681</v>
      </c>
      <c r="I169">
        <f t="shared" si="39"/>
        <v>0</v>
      </c>
      <c r="J169">
        <f t="shared" si="40"/>
        <v>298514.8739853999</v>
      </c>
      <c r="K169">
        <f t="shared" si="41"/>
        <v>298470.96426223312</v>
      </c>
      <c r="L169">
        <f t="shared" si="48"/>
        <v>298470.96426223312</v>
      </c>
      <c r="M169">
        <f t="shared" si="42"/>
        <v>0</v>
      </c>
      <c r="N169" s="30">
        <f t="shared" si="49"/>
        <v>298470.96426223312</v>
      </c>
      <c r="O169" s="30">
        <f t="shared" si="43"/>
        <v>298465.53051363037</v>
      </c>
      <c r="P169" s="30">
        <f t="shared" si="50"/>
        <v>298465.53051363037</v>
      </c>
      <c r="Q169">
        <f t="shared" si="51"/>
        <v>0</v>
      </c>
      <c r="R169" s="30">
        <f t="shared" si="52"/>
        <v>298465.53051363037</v>
      </c>
      <c r="S169" s="30">
        <f t="shared" si="44"/>
        <v>298465.53051363037</v>
      </c>
      <c r="T169" s="30">
        <f t="shared" si="53"/>
        <v>298465.53051363037</v>
      </c>
      <c r="U169">
        <f t="shared" si="54"/>
        <v>0</v>
      </c>
      <c r="V169" s="30">
        <f t="shared" si="55"/>
        <v>298465.53051363037</v>
      </c>
      <c r="W169" s="30">
        <f t="shared" si="45"/>
        <v>298465.53051363037</v>
      </c>
      <c r="X169" s="30">
        <f t="shared" si="56"/>
        <v>298465.53051363037</v>
      </c>
      <c r="Y169">
        <f t="shared" si="57"/>
        <v>0</v>
      </c>
    </row>
    <row r="170" spans="1:25" x14ac:dyDescent="0.25">
      <c r="A170" s="4" t="s">
        <v>989</v>
      </c>
      <c r="B170" s="7" t="s">
        <v>507</v>
      </c>
      <c r="C170" s="2" t="s">
        <v>990</v>
      </c>
      <c r="D170">
        <f>VLOOKUP(B170,'Model allocations'!$A$1:$L$319,3,FALSE)</f>
        <v>0</v>
      </c>
      <c r="E170" s="32">
        <f>VLOOKUP(B170,'Initial adjusted formula count'!$A$1:$P$319,12,FALSE)</f>
        <v>0.134615384615385</v>
      </c>
      <c r="F170">
        <f>VLOOKUP(B170,'Model allocations'!$A$1:$L$319,8,FALSE)</f>
        <v>0</v>
      </c>
      <c r="G170" s="31">
        <f t="shared" si="46"/>
        <v>0.85</v>
      </c>
      <c r="H170">
        <f t="shared" si="47"/>
        <v>0</v>
      </c>
      <c r="I170">
        <f t="shared" si="39"/>
        <v>0</v>
      </c>
      <c r="J170">
        <f t="shared" si="40"/>
        <v>0</v>
      </c>
      <c r="K170">
        <f t="shared" si="41"/>
        <v>0</v>
      </c>
      <c r="L170">
        <f t="shared" si="48"/>
        <v>0</v>
      </c>
      <c r="M170">
        <f t="shared" si="42"/>
        <v>0</v>
      </c>
      <c r="N170" s="30">
        <f t="shared" si="49"/>
        <v>0</v>
      </c>
      <c r="O170" s="30">
        <f t="shared" si="43"/>
        <v>0</v>
      </c>
      <c r="P170" s="30">
        <f t="shared" si="50"/>
        <v>0</v>
      </c>
      <c r="Q170">
        <f t="shared" si="51"/>
        <v>0</v>
      </c>
      <c r="R170" s="30">
        <f t="shared" si="52"/>
        <v>0</v>
      </c>
      <c r="S170" s="30">
        <f t="shared" si="44"/>
        <v>0</v>
      </c>
      <c r="T170" s="30">
        <f t="shared" si="53"/>
        <v>0</v>
      </c>
      <c r="U170">
        <f t="shared" si="54"/>
        <v>0</v>
      </c>
      <c r="V170" s="30">
        <f t="shared" si="55"/>
        <v>0</v>
      </c>
      <c r="W170" s="30">
        <f t="shared" si="45"/>
        <v>0</v>
      </c>
      <c r="X170" s="30">
        <f t="shared" si="56"/>
        <v>0</v>
      </c>
      <c r="Y170">
        <f t="shared" si="57"/>
        <v>0</v>
      </c>
    </row>
    <row r="171" spans="1:25" x14ac:dyDescent="0.25">
      <c r="A171" s="4" t="s">
        <v>991</v>
      </c>
      <c r="B171" s="7" t="s">
        <v>185</v>
      </c>
      <c r="C171" s="2" t="s">
        <v>992</v>
      </c>
      <c r="D171">
        <f>VLOOKUP(B171,'Model allocations'!$A$1:$L$319,3,FALSE)</f>
        <v>1475258.399981169</v>
      </c>
      <c r="E171" s="32">
        <f>VLOOKUP(B171,'Initial adjusted formula count'!$A$1:$P$319,12,FALSE)</f>
        <v>8.7953436416014996E-2</v>
      </c>
      <c r="F171">
        <f>VLOOKUP(B171,'Model allocations'!$A$1:$L$319,8,FALSE)</f>
        <v>1286969.0244442599</v>
      </c>
      <c r="G171" s="31">
        <f t="shared" si="46"/>
        <v>0.85</v>
      </c>
      <c r="H171">
        <f t="shared" si="47"/>
        <v>1253969.6399839937</v>
      </c>
      <c r="I171">
        <f t="shared" si="39"/>
        <v>0</v>
      </c>
      <c r="J171">
        <f t="shared" si="40"/>
        <v>1286969.0244442599</v>
      </c>
      <c r="K171">
        <f t="shared" si="41"/>
        <v>1286779.7191247859</v>
      </c>
      <c r="L171">
        <f t="shared" si="48"/>
        <v>1286779.7191247859</v>
      </c>
      <c r="M171">
        <f t="shared" si="42"/>
        <v>0</v>
      </c>
      <c r="N171" s="30">
        <f t="shared" si="49"/>
        <v>1286779.7191247859</v>
      </c>
      <c r="O171" s="30">
        <f t="shared" si="43"/>
        <v>1286756.2929348445</v>
      </c>
      <c r="P171" s="30">
        <f t="shared" si="50"/>
        <v>1286756.2929348445</v>
      </c>
      <c r="Q171">
        <f t="shared" si="51"/>
        <v>0</v>
      </c>
      <c r="R171" s="30">
        <f t="shared" si="52"/>
        <v>1286756.2929348445</v>
      </c>
      <c r="S171" s="30">
        <f t="shared" si="44"/>
        <v>1286756.2929348447</v>
      </c>
      <c r="T171" s="30">
        <f t="shared" si="53"/>
        <v>1286756.2929348447</v>
      </c>
      <c r="U171">
        <f t="shared" si="54"/>
        <v>0</v>
      </c>
      <c r="V171" s="30">
        <f t="shared" si="55"/>
        <v>1286756.2929348447</v>
      </c>
      <c r="W171" s="30">
        <f t="shared" si="45"/>
        <v>1286756.292934845</v>
      </c>
      <c r="X171" s="30">
        <f t="shared" si="56"/>
        <v>1286756.292934845</v>
      </c>
      <c r="Y171">
        <f t="shared" si="57"/>
        <v>0</v>
      </c>
    </row>
    <row r="172" spans="1:25" x14ac:dyDescent="0.25">
      <c r="A172" s="4" t="s">
        <v>993</v>
      </c>
      <c r="B172" s="7" t="s">
        <v>509</v>
      </c>
      <c r="C172" s="2" t="s">
        <v>994</v>
      </c>
      <c r="D172">
        <f>VLOOKUP(B172,'Model allocations'!$A$1:$L$319,3,FALSE)</f>
        <v>50898.838553567177</v>
      </c>
      <c r="E172" s="32">
        <f>VLOOKUP(B172,'Initial adjusted formula count'!$A$1:$P$319,12,FALSE)</f>
        <v>0.32444444444444398</v>
      </c>
      <c r="F172">
        <f>VLOOKUP(B172,'Model allocations'!$A$1:$L$319,8,FALSE)</f>
        <v>62799.959080502042</v>
      </c>
      <c r="G172" s="31">
        <f t="shared" si="46"/>
        <v>0.95</v>
      </c>
      <c r="H172">
        <f t="shared" si="47"/>
        <v>48353.896625888818</v>
      </c>
      <c r="I172">
        <f t="shared" si="39"/>
        <v>0</v>
      </c>
      <c r="J172">
        <f t="shared" si="40"/>
        <v>62799.959080502042</v>
      </c>
      <c r="K172">
        <f t="shared" si="41"/>
        <v>62790.721588308457</v>
      </c>
      <c r="L172">
        <f t="shared" si="48"/>
        <v>62790.721588308457</v>
      </c>
      <c r="M172">
        <f t="shared" si="42"/>
        <v>0</v>
      </c>
      <c r="N172" s="30">
        <f t="shared" si="49"/>
        <v>62790.721588308457</v>
      </c>
      <c r="O172" s="30">
        <f t="shared" si="43"/>
        <v>62789.578465403567</v>
      </c>
      <c r="P172" s="30">
        <f t="shared" si="50"/>
        <v>62789.578465403567</v>
      </c>
      <c r="Q172">
        <f t="shared" si="51"/>
        <v>0</v>
      </c>
      <c r="R172" s="30">
        <f t="shared" si="52"/>
        <v>62789.578465403567</v>
      </c>
      <c r="S172" s="30">
        <f t="shared" si="44"/>
        <v>62789.578465403582</v>
      </c>
      <c r="T172" s="30">
        <f t="shared" si="53"/>
        <v>62789.578465403582</v>
      </c>
      <c r="U172">
        <f t="shared" si="54"/>
        <v>0</v>
      </c>
      <c r="V172" s="30">
        <f t="shared" si="55"/>
        <v>62789.578465403582</v>
      </c>
      <c r="W172" s="30">
        <f t="shared" si="45"/>
        <v>62789.578465403589</v>
      </c>
      <c r="X172" s="30">
        <f t="shared" si="56"/>
        <v>62789.578465403589</v>
      </c>
      <c r="Y172">
        <f t="shared" si="57"/>
        <v>0</v>
      </c>
    </row>
    <row r="173" spans="1:25" x14ac:dyDescent="0.25">
      <c r="A173" s="4" t="s">
        <v>995</v>
      </c>
      <c r="B173" s="7" t="s">
        <v>187</v>
      </c>
      <c r="C173" s="2" t="s">
        <v>996</v>
      </c>
      <c r="D173">
        <f>VLOOKUP(B173,'Model allocations'!$A$1:$L$319,3,FALSE)</f>
        <v>844274.38553139195</v>
      </c>
      <c r="E173" s="32">
        <f>VLOOKUP(B173,'Initial adjusted formula count'!$A$1:$P$319,12,FALSE)</f>
        <v>3.7772526299740802E-2</v>
      </c>
      <c r="F173">
        <f>VLOOKUP(B173,'Model allocations'!$A$1:$L$319,8,FALSE)</f>
        <v>852530.95135311654</v>
      </c>
      <c r="G173" s="31">
        <f t="shared" si="46"/>
        <v>0.85</v>
      </c>
      <c r="H173">
        <f t="shared" si="47"/>
        <v>717633.22770168318</v>
      </c>
      <c r="I173">
        <f t="shared" si="39"/>
        <v>0</v>
      </c>
      <c r="J173">
        <f t="shared" si="40"/>
        <v>852530.95135311654</v>
      </c>
      <c r="K173">
        <f t="shared" si="41"/>
        <v>852405.54923306394</v>
      </c>
      <c r="L173">
        <f t="shared" si="48"/>
        <v>852405.54923306394</v>
      </c>
      <c r="M173">
        <f t="shared" si="42"/>
        <v>0</v>
      </c>
      <c r="N173" s="30">
        <f t="shared" si="49"/>
        <v>852405.54923306394</v>
      </c>
      <c r="O173" s="30">
        <f t="shared" si="43"/>
        <v>852390.03094814951</v>
      </c>
      <c r="P173" s="30">
        <f t="shared" si="50"/>
        <v>852390.03094814951</v>
      </c>
      <c r="Q173">
        <f t="shared" si="51"/>
        <v>0</v>
      </c>
      <c r="R173" s="30">
        <f t="shared" si="52"/>
        <v>852390.03094814951</v>
      </c>
      <c r="S173" s="30">
        <f t="shared" si="44"/>
        <v>852390.03094814974</v>
      </c>
      <c r="T173" s="30">
        <f t="shared" si="53"/>
        <v>852390.03094814974</v>
      </c>
      <c r="U173">
        <f t="shared" si="54"/>
        <v>0</v>
      </c>
      <c r="V173" s="30">
        <f t="shared" si="55"/>
        <v>852390.03094814974</v>
      </c>
      <c r="W173" s="30">
        <f t="shared" si="45"/>
        <v>852390.03094814986</v>
      </c>
      <c r="X173" s="30">
        <f t="shared" si="56"/>
        <v>852390.03094814986</v>
      </c>
      <c r="Y173">
        <f t="shared" si="57"/>
        <v>0</v>
      </c>
    </row>
    <row r="174" spans="1:25" x14ac:dyDescent="0.25">
      <c r="A174" s="4" t="s">
        <v>997</v>
      </c>
      <c r="B174" s="7" t="s">
        <v>189</v>
      </c>
      <c r="C174" s="2" t="s">
        <v>998</v>
      </c>
      <c r="D174">
        <f>VLOOKUP(B174,'Model allocations'!$A$1:$L$319,3,FALSE)</f>
        <v>452434.12047615269</v>
      </c>
      <c r="E174" s="32">
        <f>VLOOKUP(B174,'Initial adjusted formula count'!$A$1:$P$319,12,FALSE)</f>
        <v>6.9097569097569103E-2</v>
      </c>
      <c r="F174">
        <f>VLOOKUP(B174,'Model allocations'!$A$1:$L$319,8,FALSE)</f>
        <v>384569.00240472978</v>
      </c>
      <c r="G174" s="31">
        <f t="shared" si="46"/>
        <v>0.85</v>
      </c>
      <c r="H174">
        <f t="shared" si="47"/>
        <v>384569.00240472978</v>
      </c>
      <c r="I174">
        <f t="shared" si="39"/>
        <v>0</v>
      </c>
      <c r="J174">
        <f t="shared" si="40"/>
        <v>384569.00240472978</v>
      </c>
      <c r="K174">
        <f t="shared" si="41"/>
        <v>384512.43464243156</v>
      </c>
      <c r="L174">
        <f t="shared" si="48"/>
        <v>384512.43464243156</v>
      </c>
      <c r="M174">
        <f t="shared" si="42"/>
        <v>384569.00240472978</v>
      </c>
      <c r="N174" s="30">
        <f t="shared" si="49"/>
        <v>0</v>
      </c>
      <c r="O174" s="30">
        <f t="shared" si="43"/>
        <v>0</v>
      </c>
      <c r="P174" s="30">
        <f t="shared" si="50"/>
        <v>384569.00240472978</v>
      </c>
      <c r="Q174">
        <f t="shared" si="51"/>
        <v>0</v>
      </c>
      <c r="R174" s="30">
        <f t="shared" si="52"/>
        <v>0</v>
      </c>
      <c r="S174" s="30">
        <f t="shared" si="44"/>
        <v>0</v>
      </c>
      <c r="T174" s="30">
        <f t="shared" si="53"/>
        <v>384569.00240472978</v>
      </c>
      <c r="U174">
        <f t="shared" si="54"/>
        <v>0</v>
      </c>
      <c r="V174" s="30">
        <f t="shared" si="55"/>
        <v>0</v>
      </c>
      <c r="W174" s="30">
        <f t="shared" si="45"/>
        <v>0</v>
      </c>
      <c r="X174" s="30">
        <f t="shared" si="56"/>
        <v>384569.00240472978</v>
      </c>
      <c r="Y174">
        <f t="shared" si="57"/>
        <v>0</v>
      </c>
    </row>
    <row r="175" spans="1:25" x14ac:dyDescent="0.25">
      <c r="A175" s="4" t="s">
        <v>999</v>
      </c>
      <c r="B175" s="7" t="s">
        <v>191</v>
      </c>
      <c r="C175" s="2" t="s">
        <v>1000</v>
      </c>
      <c r="D175">
        <f>VLOOKUP(B175,'Model allocations'!$A$1:$L$319,3,FALSE)</f>
        <v>9695.0168673461303</v>
      </c>
      <c r="E175" s="32">
        <f>VLOOKUP(B175,'Initial adjusted formula count'!$A$1:$P$319,12,FALSE)</f>
        <v>0.134920634920635</v>
      </c>
      <c r="F175">
        <f>VLOOKUP(B175,'Model allocations'!$A$1:$L$319,8,FALSE)</f>
        <v>14624.648005048422</v>
      </c>
      <c r="G175" s="31">
        <f t="shared" si="46"/>
        <v>0.85</v>
      </c>
      <c r="H175">
        <f t="shared" si="47"/>
        <v>8240.7643372442108</v>
      </c>
      <c r="I175">
        <f t="shared" si="39"/>
        <v>0</v>
      </c>
      <c r="J175">
        <f t="shared" si="40"/>
        <v>14624.648005048422</v>
      </c>
      <c r="K175">
        <f t="shared" si="41"/>
        <v>14622.496808236219</v>
      </c>
      <c r="L175">
        <f t="shared" si="48"/>
        <v>14622.496808236219</v>
      </c>
      <c r="M175">
        <f t="shared" si="42"/>
        <v>0</v>
      </c>
      <c r="N175" s="30">
        <f t="shared" si="49"/>
        <v>14622.496808236219</v>
      </c>
      <c r="O175" s="30">
        <f t="shared" si="43"/>
        <v>14622.230601532339</v>
      </c>
      <c r="P175" s="30">
        <f t="shared" si="50"/>
        <v>14622.230601532339</v>
      </c>
      <c r="Q175">
        <f t="shared" si="51"/>
        <v>0</v>
      </c>
      <c r="R175" s="30">
        <f t="shared" si="52"/>
        <v>14622.230601532339</v>
      </c>
      <c r="S175" s="30">
        <f t="shared" si="44"/>
        <v>14622.230601532343</v>
      </c>
      <c r="T175" s="30">
        <f t="shared" si="53"/>
        <v>14622.230601532343</v>
      </c>
      <c r="U175">
        <f t="shared" si="54"/>
        <v>0</v>
      </c>
      <c r="V175" s="30">
        <f t="shared" si="55"/>
        <v>14622.230601532343</v>
      </c>
      <c r="W175" s="30">
        <f t="shared" si="45"/>
        <v>14622.230601532345</v>
      </c>
      <c r="X175" s="30">
        <f t="shared" si="56"/>
        <v>14622.230601532345</v>
      </c>
      <c r="Y175">
        <f t="shared" si="57"/>
        <v>0</v>
      </c>
    </row>
    <row r="176" spans="1:25" x14ac:dyDescent="0.25">
      <c r="A176" s="4" t="s">
        <v>1001</v>
      </c>
      <c r="B176" s="7" t="s">
        <v>511</v>
      </c>
      <c r="C176" s="2" t="s">
        <v>1002</v>
      </c>
      <c r="D176">
        <f>VLOOKUP(B176,'Model allocations'!$A$1:$L$319,3,FALSE)</f>
        <v>64488.790287059564</v>
      </c>
      <c r="E176" s="32">
        <f>VLOOKUP(B176,'Initial adjusted formula count'!$A$1:$P$319,12,FALSE)</f>
        <v>0.25333333333333302</v>
      </c>
      <c r="F176">
        <f>VLOOKUP(B176,'Model allocations'!$A$1:$L$319,8,FALSE)</f>
        <v>98071.168975030509</v>
      </c>
      <c r="G176" s="31">
        <f t="shared" si="46"/>
        <v>0.9</v>
      </c>
      <c r="H176">
        <f t="shared" si="47"/>
        <v>58039.911258353612</v>
      </c>
      <c r="I176">
        <f t="shared" si="39"/>
        <v>0</v>
      </c>
      <c r="J176">
        <f t="shared" si="40"/>
        <v>98071.168975030509</v>
      </c>
      <c r="K176">
        <f t="shared" si="41"/>
        <v>98056.743302289848</v>
      </c>
      <c r="L176">
        <f t="shared" si="48"/>
        <v>98056.743302289848</v>
      </c>
      <c r="M176">
        <f t="shared" si="42"/>
        <v>0</v>
      </c>
      <c r="N176" s="30">
        <f t="shared" si="49"/>
        <v>98056.743302289848</v>
      </c>
      <c r="O176" s="30">
        <f t="shared" si="43"/>
        <v>98054.958151452069</v>
      </c>
      <c r="P176" s="30">
        <f t="shared" si="50"/>
        <v>98054.958151452069</v>
      </c>
      <c r="Q176">
        <f t="shared" si="51"/>
        <v>0</v>
      </c>
      <c r="R176" s="30">
        <f t="shared" si="52"/>
        <v>98054.958151452069</v>
      </c>
      <c r="S176" s="30">
        <f t="shared" si="44"/>
        <v>98054.958151452083</v>
      </c>
      <c r="T176" s="30">
        <f t="shared" si="53"/>
        <v>98054.958151452083</v>
      </c>
      <c r="U176">
        <f t="shared" si="54"/>
        <v>0</v>
      </c>
      <c r="V176" s="30">
        <f t="shared" si="55"/>
        <v>98054.958151452083</v>
      </c>
      <c r="W176" s="30">
        <f t="shared" si="45"/>
        <v>98054.958151452098</v>
      </c>
      <c r="X176" s="30">
        <f t="shared" si="56"/>
        <v>98054.958151452098</v>
      </c>
      <c r="Y176">
        <f t="shared" si="57"/>
        <v>0</v>
      </c>
    </row>
    <row r="177" spans="1:25" x14ac:dyDescent="0.25">
      <c r="A177" s="4" t="s">
        <v>1003</v>
      </c>
      <c r="B177" s="7" t="s">
        <v>513</v>
      </c>
      <c r="C177" s="2" t="s">
        <v>1004</v>
      </c>
      <c r="D177">
        <f>VLOOKUP(B177,'Model allocations'!$A$1:$L$319,3,FALSE)</f>
        <v>171278.63132311494</v>
      </c>
      <c r="E177" s="32">
        <f>VLOOKUP(B177,'Initial adjusted formula count'!$A$1:$P$319,12,FALSE)</f>
        <v>0.182425978987584</v>
      </c>
      <c r="F177">
        <f>VLOOKUP(B177,'Model allocations'!$A$1:$L$319,8,FALSE)</f>
        <v>164312.2217037793</v>
      </c>
      <c r="G177" s="31">
        <f t="shared" si="46"/>
        <v>0.9</v>
      </c>
      <c r="H177">
        <f t="shared" si="47"/>
        <v>154150.76819080344</v>
      </c>
      <c r="I177">
        <f t="shared" si="39"/>
        <v>0</v>
      </c>
      <c r="J177">
        <f t="shared" si="40"/>
        <v>164312.2217037793</v>
      </c>
      <c r="K177">
        <f t="shared" si="41"/>
        <v>164288.05237488926</v>
      </c>
      <c r="L177">
        <f t="shared" si="48"/>
        <v>164288.05237488926</v>
      </c>
      <c r="M177">
        <f t="shared" si="42"/>
        <v>0</v>
      </c>
      <c r="N177" s="30">
        <f t="shared" si="49"/>
        <v>164288.05237488926</v>
      </c>
      <c r="O177" s="30">
        <f t="shared" si="43"/>
        <v>164285.06146427509</v>
      </c>
      <c r="P177" s="30">
        <f t="shared" si="50"/>
        <v>164285.06146427509</v>
      </c>
      <c r="Q177">
        <f t="shared" si="51"/>
        <v>0</v>
      </c>
      <c r="R177" s="30">
        <f t="shared" si="52"/>
        <v>164285.06146427509</v>
      </c>
      <c r="S177" s="30">
        <f t="shared" si="44"/>
        <v>164285.06146427509</v>
      </c>
      <c r="T177" s="30">
        <f t="shared" si="53"/>
        <v>164285.06146427509</v>
      </c>
      <c r="U177">
        <f t="shared" si="54"/>
        <v>0</v>
      </c>
      <c r="V177" s="30">
        <f t="shared" si="55"/>
        <v>164285.06146427509</v>
      </c>
      <c r="W177" s="30">
        <f t="shared" si="45"/>
        <v>164285.06146427509</v>
      </c>
      <c r="X177" s="30">
        <f t="shared" si="56"/>
        <v>164285.06146427509</v>
      </c>
      <c r="Y177">
        <f t="shared" si="57"/>
        <v>0</v>
      </c>
    </row>
    <row r="178" spans="1:25" x14ac:dyDescent="0.25">
      <c r="A178" s="4" t="s">
        <v>1005</v>
      </c>
      <c r="B178" s="7" t="s">
        <v>515</v>
      </c>
      <c r="C178" s="2" t="s">
        <v>1006</v>
      </c>
      <c r="D178">
        <f>VLOOKUP(B178,'Model allocations'!$A$1:$L$319,3,FALSE)</f>
        <v>158351.94216665343</v>
      </c>
      <c r="E178" s="32">
        <f>VLOOKUP(B178,'Initial adjusted formula count'!$A$1:$P$319,12,FALSE)</f>
        <v>0.30151515151515201</v>
      </c>
      <c r="F178">
        <f>VLOOKUP(B178,'Model allocations'!$A$1:$L$319,8,FALSE)</f>
        <v>171194.40900027266</v>
      </c>
      <c r="G178" s="31">
        <f t="shared" si="46"/>
        <v>0.95</v>
      </c>
      <c r="H178">
        <f t="shared" si="47"/>
        <v>150434.34505832076</v>
      </c>
      <c r="I178">
        <f t="shared" si="39"/>
        <v>0</v>
      </c>
      <c r="J178">
        <f t="shared" si="40"/>
        <v>171194.40900027266</v>
      </c>
      <c r="K178">
        <f t="shared" si="41"/>
        <v>171169.22734347099</v>
      </c>
      <c r="L178">
        <f t="shared" si="48"/>
        <v>171169.22734347099</v>
      </c>
      <c r="M178">
        <f t="shared" si="42"/>
        <v>0</v>
      </c>
      <c r="N178" s="30">
        <f t="shared" si="49"/>
        <v>171169.22734347099</v>
      </c>
      <c r="O178" s="30">
        <f t="shared" si="43"/>
        <v>171166.11115911382</v>
      </c>
      <c r="P178" s="30">
        <f t="shared" si="50"/>
        <v>171166.11115911382</v>
      </c>
      <c r="Q178">
        <f t="shared" si="51"/>
        <v>0</v>
      </c>
      <c r="R178" s="30">
        <f t="shared" si="52"/>
        <v>171166.11115911382</v>
      </c>
      <c r="S178" s="30">
        <f t="shared" si="44"/>
        <v>171166.11115911385</v>
      </c>
      <c r="T178" s="30">
        <f t="shared" si="53"/>
        <v>171166.11115911385</v>
      </c>
      <c r="U178">
        <f t="shared" si="54"/>
        <v>0</v>
      </c>
      <c r="V178" s="30">
        <f t="shared" si="55"/>
        <v>171166.11115911385</v>
      </c>
      <c r="W178" s="30">
        <f t="shared" si="45"/>
        <v>171166.11115911388</v>
      </c>
      <c r="X178" s="30">
        <f t="shared" si="56"/>
        <v>171166.11115911388</v>
      </c>
      <c r="Y178">
        <f t="shared" si="57"/>
        <v>0</v>
      </c>
    </row>
    <row r="179" spans="1:25" x14ac:dyDescent="0.25">
      <c r="A179" s="4" t="s">
        <v>1007</v>
      </c>
      <c r="B179" s="7" t="s">
        <v>292</v>
      </c>
      <c r="C179" s="2" t="s">
        <v>1008</v>
      </c>
      <c r="D179">
        <f>VLOOKUP(B179,'Model allocations'!$A$1:$L$319,3,FALSE)</f>
        <v>33124.640963432605</v>
      </c>
      <c r="E179" s="32">
        <f>VLOOKUP(B179,'Initial adjusted formula count'!$A$1:$P$319,12,FALSE)</f>
        <v>0.106451612903226</v>
      </c>
      <c r="F179">
        <f>VLOOKUP(B179,'Model allocations'!$A$1:$L$319,8,FALSE)</f>
        <v>28389.022598035164</v>
      </c>
      <c r="G179" s="31">
        <f t="shared" si="46"/>
        <v>0.85</v>
      </c>
      <c r="H179">
        <f t="shared" si="47"/>
        <v>28155.944818917713</v>
      </c>
      <c r="I179">
        <f t="shared" si="39"/>
        <v>0</v>
      </c>
      <c r="J179">
        <f t="shared" si="40"/>
        <v>28389.022598035164</v>
      </c>
      <c r="K179">
        <f t="shared" si="41"/>
        <v>28384.846745399711</v>
      </c>
      <c r="L179">
        <f t="shared" si="48"/>
        <v>28384.846745399711</v>
      </c>
      <c r="M179">
        <f t="shared" si="42"/>
        <v>0</v>
      </c>
      <c r="N179" s="30">
        <f t="shared" si="49"/>
        <v>28384.846745399711</v>
      </c>
      <c r="O179" s="30">
        <f t="shared" si="43"/>
        <v>28384.32999120983</v>
      </c>
      <c r="P179" s="30">
        <f t="shared" si="50"/>
        <v>28384.32999120983</v>
      </c>
      <c r="Q179">
        <f t="shared" si="51"/>
        <v>0</v>
      </c>
      <c r="R179" s="30">
        <f t="shared" si="52"/>
        <v>28384.32999120983</v>
      </c>
      <c r="S179" s="30">
        <f t="shared" si="44"/>
        <v>28384.329991209834</v>
      </c>
      <c r="T179" s="30">
        <f t="shared" si="53"/>
        <v>28384.329991209834</v>
      </c>
      <c r="U179">
        <f t="shared" si="54"/>
        <v>0</v>
      </c>
      <c r="V179" s="30">
        <f t="shared" si="55"/>
        <v>28384.329991209834</v>
      </c>
      <c r="W179" s="30">
        <f t="shared" si="45"/>
        <v>28384.329991209834</v>
      </c>
      <c r="X179" s="30">
        <f t="shared" si="56"/>
        <v>28384.329991209834</v>
      </c>
      <c r="Y179">
        <f t="shared" si="57"/>
        <v>0</v>
      </c>
    </row>
    <row r="180" spans="1:25" x14ac:dyDescent="0.25">
      <c r="A180" s="4" t="s">
        <v>1009</v>
      </c>
      <c r="B180" s="7" t="s">
        <v>517</v>
      </c>
      <c r="C180" s="2" t="s">
        <v>1010</v>
      </c>
      <c r="D180">
        <f>VLOOKUP(B180,'Model allocations'!$A$1:$L$319,3,FALSE)</f>
        <v>210600.07037998692</v>
      </c>
      <c r="E180" s="32">
        <f>VLOOKUP(B180,'Initial adjusted formula count'!$A$1:$P$319,12,FALSE)</f>
        <v>0.18061224489795899</v>
      </c>
      <c r="F180">
        <f>VLOOKUP(B180,'Model allocations'!$A$1:$L$319,8,FALSE)</f>
        <v>189540.06334198822</v>
      </c>
      <c r="G180" s="31">
        <f t="shared" si="46"/>
        <v>0.9</v>
      </c>
      <c r="H180">
        <f t="shared" si="47"/>
        <v>189540.06334198822</v>
      </c>
      <c r="I180">
        <f t="shared" si="39"/>
        <v>0</v>
      </c>
      <c r="J180">
        <f t="shared" si="40"/>
        <v>189540.06334198822</v>
      </c>
      <c r="K180">
        <f t="shared" si="41"/>
        <v>189512.18315096377</v>
      </c>
      <c r="L180">
        <f t="shared" si="48"/>
        <v>189512.18315096377</v>
      </c>
      <c r="M180">
        <f t="shared" si="42"/>
        <v>189540.06334198822</v>
      </c>
      <c r="N180" s="30">
        <f t="shared" si="49"/>
        <v>0</v>
      </c>
      <c r="O180" s="30">
        <f t="shared" si="43"/>
        <v>0</v>
      </c>
      <c r="P180" s="30">
        <f t="shared" si="50"/>
        <v>189540.06334198822</v>
      </c>
      <c r="Q180">
        <f t="shared" si="51"/>
        <v>0</v>
      </c>
      <c r="R180" s="30">
        <f t="shared" si="52"/>
        <v>0</v>
      </c>
      <c r="S180" s="30">
        <f t="shared" si="44"/>
        <v>0</v>
      </c>
      <c r="T180" s="30">
        <f t="shared" si="53"/>
        <v>189540.06334198822</v>
      </c>
      <c r="U180">
        <f t="shared" si="54"/>
        <v>0</v>
      </c>
      <c r="V180" s="30">
        <f t="shared" si="55"/>
        <v>0</v>
      </c>
      <c r="W180" s="30">
        <f t="shared" si="45"/>
        <v>0</v>
      </c>
      <c r="X180" s="30">
        <f t="shared" si="56"/>
        <v>189540.06334198822</v>
      </c>
      <c r="Y180">
        <f t="shared" si="57"/>
        <v>0</v>
      </c>
    </row>
    <row r="181" spans="1:25" x14ac:dyDescent="0.25">
      <c r="A181" s="4" t="s">
        <v>1011</v>
      </c>
      <c r="B181" s="7" t="s">
        <v>193</v>
      </c>
      <c r="C181" s="2" t="s">
        <v>1012</v>
      </c>
      <c r="D181">
        <f>VLOOKUP(B181,'Model allocations'!$A$1:$L$319,3,FALSE)</f>
        <v>961422.50601182424</v>
      </c>
      <c r="E181" s="32">
        <f>VLOOKUP(B181,'Initial adjusted formula count'!$A$1:$P$319,12,FALSE)</f>
        <v>0.105926496055417</v>
      </c>
      <c r="F181">
        <f>VLOOKUP(B181,'Model allocations'!$A$1:$L$319,8,FALSE)</f>
        <v>947161.02667990036</v>
      </c>
      <c r="G181" s="31">
        <f t="shared" si="46"/>
        <v>0.85</v>
      </c>
      <c r="H181">
        <f t="shared" si="47"/>
        <v>817209.13011005055</v>
      </c>
      <c r="I181">
        <f t="shared" si="39"/>
        <v>0</v>
      </c>
      <c r="J181">
        <f t="shared" si="40"/>
        <v>947161.02667990036</v>
      </c>
      <c r="K181">
        <f t="shared" si="41"/>
        <v>947021.70505106298</v>
      </c>
      <c r="L181">
        <f t="shared" si="48"/>
        <v>947021.70505106298</v>
      </c>
      <c r="M181">
        <f t="shared" si="42"/>
        <v>0</v>
      </c>
      <c r="N181" s="30">
        <f t="shared" si="49"/>
        <v>947021.70505106298</v>
      </c>
      <c r="O181" s="30">
        <f t="shared" si="43"/>
        <v>947004.4642521824</v>
      </c>
      <c r="P181" s="30">
        <f t="shared" si="50"/>
        <v>947004.4642521824</v>
      </c>
      <c r="Q181">
        <f t="shared" si="51"/>
        <v>0</v>
      </c>
      <c r="R181" s="30">
        <f t="shared" si="52"/>
        <v>947004.4642521824</v>
      </c>
      <c r="S181" s="30">
        <f t="shared" si="44"/>
        <v>947004.46425218263</v>
      </c>
      <c r="T181" s="30">
        <f t="shared" si="53"/>
        <v>947004.46425218263</v>
      </c>
      <c r="U181">
        <f t="shared" si="54"/>
        <v>0</v>
      </c>
      <c r="V181" s="30">
        <f t="shared" si="55"/>
        <v>947004.46425218263</v>
      </c>
      <c r="W181" s="30">
        <f t="shared" si="45"/>
        <v>947004.46425218275</v>
      </c>
      <c r="X181" s="30">
        <f t="shared" si="56"/>
        <v>947004.46425218275</v>
      </c>
      <c r="Y181">
        <f t="shared" si="57"/>
        <v>0</v>
      </c>
    </row>
    <row r="182" spans="1:25" x14ac:dyDescent="0.25">
      <c r="A182" s="4" t="s">
        <v>1013</v>
      </c>
      <c r="B182" s="7" t="s">
        <v>519</v>
      </c>
      <c r="C182" s="2" t="s">
        <v>1014</v>
      </c>
      <c r="D182">
        <f>VLOOKUP(B182,'Model allocations'!$A$1:$L$319,3,FALSE)</f>
        <v>402498.20400808321</v>
      </c>
      <c r="E182" s="32">
        <f>VLOOKUP(B182,'Initial adjusted formula count'!$A$1:$P$319,12,FALSE)</f>
        <v>0.196373056994819</v>
      </c>
      <c r="F182">
        <f>VLOOKUP(B182,'Model allocations'!$A$1:$L$319,8,FALSE)</f>
        <v>362248.38360727491</v>
      </c>
      <c r="G182" s="31">
        <f t="shared" si="46"/>
        <v>0.9</v>
      </c>
      <c r="H182">
        <f t="shared" si="47"/>
        <v>362248.38360727491</v>
      </c>
      <c r="I182">
        <f t="shared" si="39"/>
        <v>0</v>
      </c>
      <c r="J182">
        <f t="shared" si="40"/>
        <v>362248.38360727491</v>
      </c>
      <c r="K182">
        <f t="shared" si="41"/>
        <v>362195.09907230537</v>
      </c>
      <c r="L182">
        <f t="shared" si="48"/>
        <v>362195.09907230537</v>
      </c>
      <c r="M182">
        <f t="shared" si="42"/>
        <v>362248.38360727491</v>
      </c>
      <c r="N182" s="30">
        <f t="shared" si="49"/>
        <v>0</v>
      </c>
      <c r="O182" s="30">
        <f t="shared" si="43"/>
        <v>0</v>
      </c>
      <c r="P182" s="30">
        <f t="shared" si="50"/>
        <v>362248.38360727491</v>
      </c>
      <c r="Q182">
        <f t="shared" si="51"/>
        <v>0</v>
      </c>
      <c r="R182" s="30">
        <f t="shared" si="52"/>
        <v>0</v>
      </c>
      <c r="S182" s="30">
        <f t="shared" si="44"/>
        <v>0</v>
      </c>
      <c r="T182" s="30">
        <f t="shared" si="53"/>
        <v>362248.38360727491</v>
      </c>
      <c r="U182">
        <f t="shared" si="54"/>
        <v>0</v>
      </c>
      <c r="V182" s="30">
        <f t="shared" si="55"/>
        <v>0</v>
      </c>
      <c r="W182" s="30">
        <f t="shared" si="45"/>
        <v>0</v>
      </c>
      <c r="X182" s="30">
        <f t="shared" si="56"/>
        <v>362248.38360727491</v>
      </c>
      <c r="Y182">
        <f t="shared" si="57"/>
        <v>0</v>
      </c>
    </row>
    <row r="183" spans="1:25" x14ac:dyDescent="0.25">
      <c r="A183" s="4" t="s">
        <v>1015</v>
      </c>
      <c r="B183" s="7" t="s">
        <v>521</v>
      </c>
      <c r="C183" s="2" t="s">
        <v>1016</v>
      </c>
      <c r="D183">
        <f>VLOOKUP(B183,'Model allocations'!$A$1:$L$319,3,FALSE)</f>
        <v>117956.03855271124</v>
      </c>
      <c r="E183" s="32">
        <f>VLOOKUP(B183,'Initial adjusted formula count'!$A$1:$P$319,12,FALSE)</f>
        <v>0.14040728831725599</v>
      </c>
      <c r="F183">
        <f>VLOOKUP(B183,'Model allocations'!$A$1:$L$319,8,FALSE)</f>
        <v>112695.81698007898</v>
      </c>
      <c r="G183" s="31">
        <f t="shared" si="46"/>
        <v>0.85</v>
      </c>
      <c r="H183">
        <f t="shared" si="47"/>
        <v>100262.63276980455</v>
      </c>
      <c r="I183">
        <f t="shared" si="39"/>
        <v>0</v>
      </c>
      <c r="J183">
        <f t="shared" si="40"/>
        <v>112695.81698007898</v>
      </c>
      <c r="K183">
        <f t="shared" si="41"/>
        <v>112679.24011052611</v>
      </c>
      <c r="L183">
        <f t="shared" si="48"/>
        <v>112679.24011052611</v>
      </c>
      <c r="M183">
        <f t="shared" si="42"/>
        <v>0</v>
      </c>
      <c r="N183" s="30">
        <f t="shared" si="49"/>
        <v>112679.24011052611</v>
      </c>
      <c r="O183" s="30">
        <f t="shared" si="43"/>
        <v>112677.18875298444</v>
      </c>
      <c r="P183" s="30">
        <f t="shared" si="50"/>
        <v>112677.18875298444</v>
      </c>
      <c r="Q183">
        <f t="shared" si="51"/>
        <v>0</v>
      </c>
      <c r="R183" s="30">
        <f t="shared" si="52"/>
        <v>112677.18875298444</v>
      </c>
      <c r="S183" s="30">
        <f t="shared" si="44"/>
        <v>112677.18875298444</v>
      </c>
      <c r="T183" s="30">
        <f t="shared" si="53"/>
        <v>112677.18875298444</v>
      </c>
      <c r="U183">
        <f t="shared" si="54"/>
        <v>0</v>
      </c>
      <c r="V183" s="30">
        <f t="shared" si="55"/>
        <v>112677.18875298444</v>
      </c>
      <c r="W183" s="30">
        <f t="shared" si="45"/>
        <v>112677.18875298444</v>
      </c>
      <c r="X183" s="30">
        <f t="shared" si="56"/>
        <v>112677.18875298444</v>
      </c>
      <c r="Y183">
        <f t="shared" si="57"/>
        <v>0</v>
      </c>
    </row>
    <row r="184" spans="1:25" x14ac:dyDescent="0.25">
      <c r="A184" s="4" t="s">
        <v>1017</v>
      </c>
      <c r="B184" s="7" t="s">
        <v>523</v>
      </c>
      <c r="C184" s="2" t="s">
        <v>1018</v>
      </c>
      <c r="D184">
        <f>VLOOKUP(B184,'Model allocations'!$A$1:$L$319,3,FALSE)</f>
        <v>14636.298327566663</v>
      </c>
      <c r="E184" s="32">
        <f>VLOOKUP(B184,'Initial adjusted formula count'!$A$1:$P$319,12,FALSE)</f>
        <v>0.30645161290322598</v>
      </c>
      <c r="F184">
        <f>VLOOKUP(B184,'Model allocations'!$A$1:$L$319,8,FALSE)</f>
        <v>16345.194829171758</v>
      </c>
      <c r="G184" s="31">
        <f t="shared" si="46"/>
        <v>0.95</v>
      </c>
      <c r="H184">
        <f t="shared" si="47"/>
        <v>13904.483411188328</v>
      </c>
      <c r="I184">
        <f t="shared" si="39"/>
        <v>0</v>
      </c>
      <c r="J184">
        <f t="shared" si="40"/>
        <v>16345.194829171758</v>
      </c>
      <c r="K184">
        <f t="shared" si="41"/>
        <v>16342.790550381649</v>
      </c>
      <c r="L184">
        <f t="shared" si="48"/>
        <v>16342.790550381649</v>
      </c>
      <c r="M184">
        <f t="shared" si="42"/>
        <v>0</v>
      </c>
      <c r="N184" s="30">
        <f t="shared" si="49"/>
        <v>16342.790550381649</v>
      </c>
      <c r="O184" s="30">
        <f t="shared" si="43"/>
        <v>16342.49302524202</v>
      </c>
      <c r="P184" s="30">
        <f t="shared" si="50"/>
        <v>16342.49302524202</v>
      </c>
      <c r="Q184">
        <f t="shared" si="51"/>
        <v>0</v>
      </c>
      <c r="R184" s="30">
        <f t="shared" si="52"/>
        <v>16342.49302524202</v>
      </c>
      <c r="S184" s="30">
        <f t="shared" si="44"/>
        <v>16342.493025242024</v>
      </c>
      <c r="T184" s="30">
        <f t="shared" si="53"/>
        <v>16342.493025242024</v>
      </c>
      <c r="U184">
        <f t="shared" si="54"/>
        <v>0</v>
      </c>
      <c r="V184" s="30">
        <f t="shared" si="55"/>
        <v>16342.493025242024</v>
      </c>
      <c r="W184" s="30">
        <f t="shared" si="45"/>
        <v>16342.493025242027</v>
      </c>
      <c r="X184" s="30">
        <f t="shared" si="56"/>
        <v>16342.493025242027</v>
      </c>
      <c r="Y184">
        <f t="shared" si="57"/>
        <v>0</v>
      </c>
    </row>
    <row r="185" spans="1:25" x14ac:dyDescent="0.25">
      <c r="A185" s="4" t="s">
        <v>1019</v>
      </c>
      <c r="B185" s="7" t="s">
        <v>525</v>
      </c>
      <c r="C185" s="2" t="s">
        <v>1020</v>
      </c>
      <c r="D185">
        <f>VLOOKUP(B185,'Model allocations'!$A$1:$L$319,3,FALSE)</f>
        <v>68673.036143701727</v>
      </c>
      <c r="E185" s="32">
        <f>VLOOKUP(B185,'Initial adjusted formula count'!$A$1:$P$319,12,FALSE)</f>
        <v>0.13458262350937</v>
      </c>
      <c r="F185">
        <f>VLOOKUP(B185,'Model allocations'!$A$1:$L$319,8,FALSE)</f>
        <v>67961.599552872023</v>
      </c>
      <c r="G185" s="31">
        <f t="shared" si="46"/>
        <v>0.85</v>
      </c>
      <c r="H185">
        <f t="shared" si="47"/>
        <v>58372.080722146464</v>
      </c>
      <c r="I185">
        <f t="shared" si="39"/>
        <v>0</v>
      </c>
      <c r="J185">
        <f t="shared" si="40"/>
        <v>67961.599552872023</v>
      </c>
      <c r="K185">
        <f t="shared" si="41"/>
        <v>67951.602814744736</v>
      </c>
      <c r="L185">
        <f t="shared" si="48"/>
        <v>67951.602814744736</v>
      </c>
      <c r="M185">
        <f t="shared" si="42"/>
        <v>0</v>
      </c>
      <c r="N185" s="30">
        <f t="shared" si="49"/>
        <v>67951.602814744736</v>
      </c>
      <c r="O185" s="30">
        <f t="shared" si="43"/>
        <v>67950.365736532593</v>
      </c>
      <c r="P185" s="30">
        <f t="shared" si="50"/>
        <v>67950.365736532593</v>
      </c>
      <c r="Q185">
        <f t="shared" si="51"/>
        <v>0</v>
      </c>
      <c r="R185" s="30">
        <f t="shared" si="52"/>
        <v>67950.365736532593</v>
      </c>
      <c r="S185" s="30">
        <f t="shared" si="44"/>
        <v>67950.365736532607</v>
      </c>
      <c r="T185" s="30">
        <f t="shared" si="53"/>
        <v>67950.365736532607</v>
      </c>
      <c r="U185">
        <f t="shared" si="54"/>
        <v>0</v>
      </c>
      <c r="V185" s="30">
        <f t="shared" si="55"/>
        <v>67950.365736532607</v>
      </c>
      <c r="W185" s="30">
        <f t="shared" si="45"/>
        <v>67950.365736532622</v>
      </c>
      <c r="X185" s="30">
        <f t="shared" si="56"/>
        <v>67950.365736532622</v>
      </c>
      <c r="Y185">
        <f t="shared" si="57"/>
        <v>0</v>
      </c>
    </row>
    <row r="186" spans="1:25" x14ac:dyDescent="0.25">
      <c r="A186" s="4" t="s">
        <v>1021</v>
      </c>
      <c r="B186" s="7" t="s">
        <v>294</v>
      </c>
      <c r="C186" s="2" t="s">
        <v>1022</v>
      </c>
      <c r="D186">
        <f>VLOOKUP(B186,'Model allocations'!$A$1:$L$319,3,FALSE)</f>
        <v>0</v>
      </c>
      <c r="E186" s="32">
        <f>VLOOKUP(B186,'Initial adjusted formula count'!$A$1:$P$319,12,FALSE)</f>
        <v>0.13559322033898299</v>
      </c>
      <c r="F186">
        <f>VLOOKUP(B186,'Model allocations'!$A$1:$L$319,8,FALSE)</f>
        <v>20646.561889480115</v>
      </c>
      <c r="G186" s="31">
        <f t="shared" si="46"/>
        <v>0.85</v>
      </c>
      <c r="H186">
        <f t="shared" si="47"/>
        <v>0</v>
      </c>
      <c r="I186">
        <f t="shared" si="39"/>
        <v>0</v>
      </c>
      <c r="J186">
        <f t="shared" si="40"/>
        <v>20646.561889480115</v>
      </c>
      <c r="K186">
        <f t="shared" si="41"/>
        <v>20643.524905745238</v>
      </c>
      <c r="L186">
        <f t="shared" si="48"/>
        <v>20643.524905745238</v>
      </c>
      <c r="M186">
        <f t="shared" si="42"/>
        <v>0</v>
      </c>
      <c r="N186" s="30">
        <f t="shared" si="49"/>
        <v>20643.524905745238</v>
      </c>
      <c r="O186" s="30">
        <f t="shared" si="43"/>
        <v>20643.149084516233</v>
      </c>
      <c r="P186" s="30">
        <f t="shared" si="50"/>
        <v>20643.149084516233</v>
      </c>
      <c r="Q186">
        <f t="shared" si="51"/>
        <v>0</v>
      </c>
      <c r="R186" s="30">
        <f t="shared" si="52"/>
        <v>20643.149084516233</v>
      </c>
      <c r="S186" s="30">
        <f t="shared" si="44"/>
        <v>20643.149084516233</v>
      </c>
      <c r="T186" s="30">
        <f t="shared" si="53"/>
        <v>20643.149084516233</v>
      </c>
      <c r="U186">
        <f t="shared" si="54"/>
        <v>0</v>
      </c>
      <c r="V186" s="30">
        <f t="shared" si="55"/>
        <v>20643.149084516233</v>
      </c>
      <c r="W186" s="30">
        <f t="shared" si="45"/>
        <v>20643.149084516233</v>
      </c>
      <c r="X186" s="30">
        <f t="shared" si="56"/>
        <v>20643.149084516233</v>
      </c>
      <c r="Y186">
        <f t="shared" si="57"/>
        <v>0</v>
      </c>
    </row>
    <row r="187" spans="1:25" x14ac:dyDescent="0.25">
      <c r="A187" s="4" t="s">
        <v>1023</v>
      </c>
      <c r="B187" s="7" t="s">
        <v>527</v>
      </c>
      <c r="C187" s="2" t="s">
        <v>1024</v>
      </c>
      <c r="D187">
        <f>VLOOKUP(B187,'Model allocations'!$A$1:$L$319,3,FALSE)</f>
        <v>25045.460240644166</v>
      </c>
      <c r="E187" s="32">
        <f>VLOOKUP(B187,'Initial adjusted formula count'!$A$1:$P$319,12,FALSE)</f>
        <v>0.28125</v>
      </c>
      <c r="F187">
        <f>VLOOKUP(B187,'Model allocations'!$A$1:$L$319,8,FALSE)</f>
        <v>30969.842834220181</v>
      </c>
      <c r="G187" s="31">
        <f t="shared" si="46"/>
        <v>0.9</v>
      </c>
      <c r="H187">
        <f t="shared" si="47"/>
        <v>22540.914216579749</v>
      </c>
      <c r="I187">
        <f t="shared" si="39"/>
        <v>0</v>
      </c>
      <c r="J187">
        <f t="shared" si="40"/>
        <v>30969.842834220181</v>
      </c>
      <c r="K187">
        <f t="shared" si="41"/>
        <v>30965.287358617865</v>
      </c>
      <c r="L187">
        <f t="shared" si="48"/>
        <v>30965.287358617865</v>
      </c>
      <c r="M187">
        <f t="shared" si="42"/>
        <v>0</v>
      </c>
      <c r="N187" s="30">
        <f t="shared" si="49"/>
        <v>30965.287358617865</v>
      </c>
      <c r="O187" s="30">
        <f t="shared" si="43"/>
        <v>30964.723626774354</v>
      </c>
      <c r="P187" s="30">
        <f t="shared" si="50"/>
        <v>30964.723626774354</v>
      </c>
      <c r="Q187">
        <f t="shared" si="51"/>
        <v>0</v>
      </c>
      <c r="R187" s="30">
        <f t="shared" si="52"/>
        <v>30964.723626774354</v>
      </c>
      <c r="S187" s="30">
        <f t="shared" si="44"/>
        <v>30964.723626774361</v>
      </c>
      <c r="T187" s="30">
        <f t="shared" si="53"/>
        <v>30964.723626774361</v>
      </c>
      <c r="U187">
        <f t="shared" si="54"/>
        <v>0</v>
      </c>
      <c r="V187" s="30">
        <f t="shared" si="55"/>
        <v>30964.723626774361</v>
      </c>
      <c r="W187" s="30">
        <f t="shared" si="45"/>
        <v>30964.723626774365</v>
      </c>
      <c r="X187" s="30">
        <f t="shared" si="56"/>
        <v>30964.723626774365</v>
      </c>
      <c r="Y187">
        <f t="shared" si="57"/>
        <v>0</v>
      </c>
    </row>
    <row r="188" spans="1:25" x14ac:dyDescent="0.25">
      <c r="A188" s="4" t="s">
        <v>1025</v>
      </c>
      <c r="B188" s="7" t="s">
        <v>529</v>
      </c>
      <c r="C188" s="2" t="s">
        <v>1026</v>
      </c>
      <c r="D188">
        <f>VLOOKUP(B188,'Model allocations'!$A$1:$L$319,3,FALSE)</f>
        <v>60171.448679996261</v>
      </c>
      <c r="E188" s="32">
        <f>VLOOKUP(B188,'Initial adjusted formula count'!$A$1:$P$319,12,FALSE)</f>
        <v>0.13026819923371599</v>
      </c>
      <c r="F188">
        <f>VLOOKUP(B188,'Model allocations'!$A$1:$L$319,8,FALSE)</f>
        <v>51145.731377996824</v>
      </c>
      <c r="G188" s="31">
        <f t="shared" si="46"/>
        <v>0.85</v>
      </c>
      <c r="H188">
        <f t="shared" si="47"/>
        <v>51145.731377996824</v>
      </c>
      <c r="I188">
        <f t="shared" si="39"/>
        <v>0</v>
      </c>
      <c r="J188">
        <f t="shared" si="40"/>
        <v>51145.731377996824</v>
      </c>
      <c r="K188">
        <f t="shared" si="41"/>
        <v>51138.208151847371</v>
      </c>
      <c r="L188">
        <f t="shared" si="48"/>
        <v>51138.208151847371</v>
      </c>
      <c r="M188">
        <f t="shared" si="42"/>
        <v>51145.731377996824</v>
      </c>
      <c r="N188" s="30">
        <f t="shared" si="49"/>
        <v>0</v>
      </c>
      <c r="O188" s="30">
        <f t="shared" si="43"/>
        <v>0</v>
      </c>
      <c r="P188" s="30">
        <f t="shared" si="50"/>
        <v>51145.731377996824</v>
      </c>
      <c r="Q188">
        <f t="shared" si="51"/>
        <v>0</v>
      </c>
      <c r="R188" s="30">
        <f t="shared" si="52"/>
        <v>0</v>
      </c>
      <c r="S188" s="30">
        <f t="shared" si="44"/>
        <v>0</v>
      </c>
      <c r="T188" s="30">
        <f t="shared" si="53"/>
        <v>51145.731377996824</v>
      </c>
      <c r="U188">
        <f t="shared" si="54"/>
        <v>0</v>
      </c>
      <c r="V188" s="30">
        <f t="shared" si="55"/>
        <v>0</v>
      </c>
      <c r="W188" s="30">
        <f t="shared" si="45"/>
        <v>0</v>
      </c>
      <c r="X188" s="30">
        <f t="shared" si="56"/>
        <v>51145.731377996824</v>
      </c>
      <c r="Y188">
        <f t="shared" si="57"/>
        <v>0</v>
      </c>
    </row>
    <row r="189" spans="1:25" x14ac:dyDescent="0.25">
      <c r="A189" s="4" t="s">
        <v>1027</v>
      </c>
      <c r="B189" s="7" t="s">
        <v>531</v>
      </c>
      <c r="C189" s="2" t="s">
        <v>1028</v>
      </c>
      <c r="D189">
        <f>VLOOKUP(B189,'Model allocations'!$A$1:$L$319,3,FALSE)</f>
        <v>246332.51475376848</v>
      </c>
      <c r="E189" s="32">
        <f>VLOOKUP(B189,'Initial adjusted formula count'!$A$1:$P$319,12,FALSE)</f>
        <v>0.26056338028169002</v>
      </c>
      <c r="F189">
        <f>VLOOKUP(B189,'Model allocations'!$A$1:$L$319,8,FALSE)</f>
        <v>221699.26327839165</v>
      </c>
      <c r="G189" s="31">
        <f t="shared" si="46"/>
        <v>0.9</v>
      </c>
      <c r="H189">
        <f t="shared" si="47"/>
        <v>221699.26327839165</v>
      </c>
      <c r="I189">
        <f t="shared" si="39"/>
        <v>0</v>
      </c>
      <c r="J189">
        <f t="shared" si="40"/>
        <v>221699.26327839165</v>
      </c>
      <c r="K189">
        <f t="shared" si="41"/>
        <v>221666.65266456574</v>
      </c>
      <c r="L189">
        <f t="shared" si="48"/>
        <v>221666.65266456574</v>
      </c>
      <c r="M189">
        <f t="shared" si="42"/>
        <v>221699.26327839165</v>
      </c>
      <c r="N189" s="30">
        <f t="shared" si="49"/>
        <v>0</v>
      </c>
      <c r="O189" s="30">
        <f t="shared" si="43"/>
        <v>0</v>
      </c>
      <c r="P189" s="30">
        <f t="shared" si="50"/>
        <v>221699.26327839165</v>
      </c>
      <c r="Q189">
        <f t="shared" si="51"/>
        <v>0</v>
      </c>
      <c r="R189" s="30">
        <f t="shared" si="52"/>
        <v>0</v>
      </c>
      <c r="S189" s="30">
        <f t="shared" si="44"/>
        <v>0</v>
      </c>
      <c r="T189" s="30">
        <f t="shared" si="53"/>
        <v>221699.26327839165</v>
      </c>
      <c r="U189">
        <f t="shared" si="54"/>
        <v>0</v>
      </c>
      <c r="V189" s="30">
        <f t="shared" si="55"/>
        <v>0</v>
      </c>
      <c r="W189" s="30">
        <f t="shared" si="45"/>
        <v>0</v>
      </c>
      <c r="X189" s="30">
        <f t="shared" si="56"/>
        <v>221699.26327839165</v>
      </c>
      <c r="Y189">
        <f t="shared" si="57"/>
        <v>0</v>
      </c>
    </row>
    <row r="190" spans="1:25" x14ac:dyDescent="0.25">
      <c r="A190" s="4" t="s">
        <v>1029</v>
      </c>
      <c r="B190" s="7" t="s">
        <v>296</v>
      </c>
      <c r="C190" s="2" t="s">
        <v>1030</v>
      </c>
      <c r="D190">
        <f>VLOOKUP(B190,'Model allocations'!$A$1:$L$319,3,FALSE)</f>
        <v>167239.04096172069</v>
      </c>
      <c r="E190" s="32">
        <f>VLOOKUP(B190,'Initial adjusted formula count'!$A$1:$P$319,12,FALSE)</f>
        <v>5.4478301015697103E-2</v>
      </c>
      <c r="F190">
        <f>VLOOKUP(B190,'Model allocations'!$A$1:$L$319,8,FALSE)</f>
        <v>152268.39393491583</v>
      </c>
      <c r="G190" s="31">
        <f t="shared" si="46"/>
        <v>0.85</v>
      </c>
      <c r="H190">
        <f t="shared" si="47"/>
        <v>142153.18481746258</v>
      </c>
      <c r="I190">
        <f t="shared" si="39"/>
        <v>0</v>
      </c>
      <c r="J190">
        <f t="shared" si="40"/>
        <v>152268.39393491583</v>
      </c>
      <c r="K190">
        <f t="shared" si="41"/>
        <v>152245.99617987114</v>
      </c>
      <c r="L190">
        <f t="shared" si="48"/>
        <v>152245.99617987114</v>
      </c>
      <c r="M190">
        <f t="shared" si="42"/>
        <v>0</v>
      </c>
      <c r="N190" s="30">
        <f t="shared" si="49"/>
        <v>152245.99617987114</v>
      </c>
      <c r="O190" s="30">
        <f t="shared" si="43"/>
        <v>152243.22449830725</v>
      </c>
      <c r="P190" s="30">
        <f t="shared" si="50"/>
        <v>152243.22449830725</v>
      </c>
      <c r="Q190">
        <f t="shared" si="51"/>
        <v>0</v>
      </c>
      <c r="R190" s="30">
        <f t="shared" si="52"/>
        <v>152243.22449830725</v>
      </c>
      <c r="S190" s="30">
        <f t="shared" si="44"/>
        <v>152243.22449830725</v>
      </c>
      <c r="T190" s="30">
        <f t="shared" si="53"/>
        <v>152243.22449830725</v>
      </c>
      <c r="U190">
        <f t="shared" si="54"/>
        <v>0</v>
      </c>
      <c r="V190" s="30">
        <f t="shared" si="55"/>
        <v>152243.22449830725</v>
      </c>
      <c r="W190" s="30">
        <f t="shared" si="45"/>
        <v>152243.22449830725</v>
      </c>
      <c r="X190" s="30">
        <f t="shared" si="56"/>
        <v>152243.22449830725</v>
      </c>
      <c r="Y190">
        <f t="shared" si="57"/>
        <v>0</v>
      </c>
    </row>
    <row r="191" spans="1:25" x14ac:dyDescent="0.25">
      <c r="A191" s="4" t="s">
        <v>1031</v>
      </c>
      <c r="B191" s="7" t="s">
        <v>533</v>
      </c>
      <c r="C191" s="2" t="s">
        <v>1032</v>
      </c>
      <c r="D191">
        <f>VLOOKUP(B191,'Model allocations'!$A$1:$L$319,3,FALSE)</f>
        <v>725510.42890640197</v>
      </c>
      <c r="E191" s="32">
        <f>VLOOKUP(B191,'Initial adjusted formula count'!$A$1:$P$319,12,FALSE)</f>
        <v>0.16240796881767</v>
      </c>
      <c r="F191">
        <f>VLOOKUP(B191,'Model allocations'!$A$1:$L$319,8,FALSE)</f>
        <v>652959.38601576176</v>
      </c>
      <c r="G191" s="31">
        <f t="shared" si="46"/>
        <v>0.9</v>
      </c>
      <c r="H191">
        <f t="shared" si="47"/>
        <v>652959.38601576176</v>
      </c>
      <c r="I191">
        <f t="shared" si="39"/>
        <v>0</v>
      </c>
      <c r="J191">
        <f t="shared" si="40"/>
        <v>652959.38601576176</v>
      </c>
      <c r="K191">
        <f t="shared" si="41"/>
        <v>652863.33965969144</v>
      </c>
      <c r="L191">
        <f t="shared" si="48"/>
        <v>652863.33965969144</v>
      </c>
      <c r="M191">
        <f t="shared" si="42"/>
        <v>652959.38601576176</v>
      </c>
      <c r="N191" s="30">
        <f t="shared" si="49"/>
        <v>0</v>
      </c>
      <c r="O191" s="30">
        <f t="shared" si="43"/>
        <v>0</v>
      </c>
      <c r="P191" s="30">
        <f t="shared" si="50"/>
        <v>652959.38601576176</v>
      </c>
      <c r="Q191">
        <f t="shared" si="51"/>
        <v>0</v>
      </c>
      <c r="R191" s="30">
        <f t="shared" si="52"/>
        <v>0</v>
      </c>
      <c r="S191" s="30">
        <f t="shared" si="44"/>
        <v>0</v>
      </c>
      <c r="T191" s="30">
        <f t="shared" si="53"/>
        <v>652959.38601576176</v>
      </c>
      <c r="U191">
        <f t="shared" si="54"/>
        <v>0</v>
      </c>
      <c r="V191" s="30">
        <f t="shared" si="55"/>
        <v>0</v>
      </c>
      <c r="W191" s="30">
        <f t="shared" si="45"/>
        <v>0</v>
      </c>
      <c r="X191" s="30">
        <f t="shared" si="56"/>
        <v>652959.38601576176</v>
      </c>
      <c r="Y191">
        <f t="shared" si="57"/>
        <v>0</v>
      </c>
    </row>
    <row r="192" spans="1:25" x14ac:dyDescent="0.25">
      <c r="A192" s="4" t="s">
        <v>1033</v>
      </c>
      <c r="B192" s="7" t="s">
        <v>535</v>
      </c>
      <c r="C192" s="2" t="s">
        <v>1034</v>
      </c>
      <c r="D192">
        <f>VLOOKUP(B192,'Model allocations'!$A$1:$L$319,3,FALSE)</f>
        <v>10570.659903242589</v>
      </c>
      <c r="E192" s="32">
        <f>VLOOKUP(B192,'Initial adjusted formula count'!$A$1:$P$319,12,FALSE)</f>
        <v>0.217391304347826</v>
      </c>
      <c r="F192">
        <f>VLOOKUP(B192,'Model allocations'!$A$1:$L$319,8,FALSE)</f>
        <v>9513.5939129183298</v>
      </c>
      <c r="G192" s="31">
        <f t="shared" si="46"/>
        <v>0.9</v>
      </c>
      <c r="H192">
        <f t="shared" si="47"/>
        <v>9513.5939129183298</v>
      </c>
      <c r="I192">
        <f t="shared" si="39"/>
        <v>0</v>
      </c>
      <c r="J192">
        <f t="shared" si="40"/>
        <v>9513.5939129183298</v>
      </c>
      <c r="K192">
        <f t="shared" si="41"/>
        <v>9512.194521090847</v>
      </c>
      <c r="L192">
        <f t="shared" si="48"/>
        <v>9512.194521090847</v>
      </c>
      <c r="M192">
        <f t="shared" si="42"/>
        <v>9513.5939129183298</v>
      </c>
      <c r="N192" s="30">
        <f t="shared" si="49"/>
        <v>0</v>
      </c>
      <c r="O192" s="30">
        <f t="shared" si="43"/>
        <v>0</v>
      </c>
      <c r="P192" s="30">
        <f t="shared" si="50"/>
        <v>9513.5939129183298</v>
      </c>
      <c r="Q192">
        <f t="shared" si="51"/>
        <v>0</v>
      </c>
      <c r="R192" s="30">
        <f t="shared" si="52"/>
        <v>0</v>
      </c>
      <c r="S192" s="30">
        <f t="shared" si="44"/>
        <v>0</v>
      </c>
      <c r="T192" s="30">
        <f t="shared" si="53"/>
        <v>9513.5939129183298</v>
      </c>
      <c r="U192">
        <f t="shared" si="54"/>
        <v>0</v>
      </c>
      <c r="V192" s="30">
        <f t="shared" si="55"/>
        <v>0</v>
      </c>
      <c r="W192" s="30">
        <f t="shared" si="45"/>
        <v>0</v>
      </c>
      <c r="X192" s="30">
        <f t="shared" si="56"/>
        <v>9513.5939129183298</v>
      </c>
      <c r="Y192">
        <f t="shared" si="57"/>
        <v>0</v>
      </c>
    </row>
    <row r="193" spans="1:25" x14ac:dyDescent="0.25">
      <c r="A193" s="4" t="s">
        <v>1035</v>
      </c>
      <c r="B193" s="7" t="s">
        <v>537</v>
      </c>
      <c r="C193" s="2" t="s">
        <v>1036</v>
      </c>
      <c r="D193">
        <f>VLOOKUP(B193,'Model allocations'!$A$1:$L$319,3,FALSE)</f>
        <v>18582.115662413416</v>
      </c>
      <c r="E193" s="32">
        <f>VLOOKUP(B193,'Initial adjusted formula count'!$A$1:$P$319,12,FALSE)</f>
        <v>4.6413502109704602E-2</v>
      </c>
      <c r="F193">
        <f>VLOOKUP(B193,'Model allocations'!$A$1:$L$319,8,FALSE)</f>
        <v>15794.798313051404</v>
      </c>
      <c r="G193" s="31">
        <f t="shared" si="46"/>
        <v>0.85</v>
      </c>
      <c r="H193">
        <f t="shared" si="47"/>
        <v>15794.798313051404</v>
      </c>
      <c r="I193">
        <f t="shared" si="39"/>
        <v>0</v>
      </c>
      <c r="J193">
        <f t="shared" si="40"/>
        <v>15794.798313051404</v>
      </c>
      <c r="K193">
        <f t="shared" si="41"/>
        <v>15792.474994242726</v>
      </c>
      <c r="L193">
        <f t="shared" si="48"/>
        <v>15792.474994242726</v>
      </c>
      <c r="M193">
        <f t="shared" si="42"/>
        <v>15794.798313051404</v>
      </c>
      <c r="N193" s="30">
        <f t="shared" si="49"/>
        <v>0</v>
      </c>
      <c r="O193" s="30">
        <f t="shared" si="43"/>
        <v>0</v>
      </c>
      <c r="P193" s="30">
        <f t="shared" si="50"/>
        <v>15794.798313051404</v>
      </c>
      <c r="Q193">
        <f t="shared" si="51"/>
        <v>0</v>
      </c>
      <c r="R193" s="30">
        <f t="shared" si="52"/>
        <v>0</v>
      </c>
      <c r="S193" s="30">
        <f t="shared" si="44"/>
        <v>0</v>
      </c>
      <c r="T193" s="30">
        <f t="shared" si="53"/>
        <v>15794.798313051404</v>
      </c>
      <c r="U193">
        <f t="shared" si="54"/>
        <v>0</v>
      </c>
      <c r="V193" s="30">
        <f t="shared" si="55"/>
        <v>0</v>
      </c>
      <c r="W193" s="30">
        <f t="shared" si="45"/>
        <v>0</v>
      </c>
      <c r="X193" s="30">
        <f t="shared" si="56"/>
        <v>15794.798313051404</v>
      </c>
      <c r="Y193">
        <f t="shared" si="57"/>
        <v>0</v>
      </c>
    </row>
    <row r="194" spans="1:25" x14ac:dyDescent="0.25">
      <c r="A194" s="4" t="s">
        <v>1037</v>
      </c>
      <c r="B194" s="7" t="s">
        <v>539</v>
      </c>
      <c r="C194" s="2" t="s">
        <v>1038</v>
      </c>
      <c r="D194">
        <f>VLOOKUP(B194,'Model allocations'!$A$1:$L$319,3,FALSE)</f>
        <v>2265402.2746698791</v>
      </c>
      <c r="E194" s="32">
        <f>VLOOKUP(B194,'Initial adjusted formula count'!$A$1:$P$319,12,FALSE)</f>
        <v>0.11864739034550401</v>
      </c>
      <c r="F194">
        <f>VLOOKUP(B194,'Model allocations'!$A$1:$L$319,8,FALSE)</f>
        <v>2082721.9306013067</v>
      </c>
      <c r="G194" s="31">
        <f t="shared" si="46"/>
        <v>0.85</v>
      </c>
      <c r="H194">
        <f t="shared" si="47"/>
        <v>1925591.9334693972</v>
      </c>
      <c r="I194">
        <f t="shared" si="39"/>
        <v>0</v>
      </c>
      <c r="J194">
        <f t="shared" si="40"/>
        <v>2082721.9306013067</v>
      </c>
      <c r="K194">
        <f t="shared" si="41"/>
        <v>2082415.5748670513</v>
      </c>
      <c r="L194">
        <f t="shared" si="48"/>
        <v>2082415.5748670513</v>
      </c>
      <c r="M194">
        <f t="shared" si="42"/>
        <v>0</v>
      </c>
      <c r="N194" s="30">
        <f t="shared" si="49"/>
        <v>2082415.5748670513</v>
      </c>
      <c r="O194" s="30">
        <f t="shared" si="43"/>
        <v>2082377.6639005754</v>
      </c>
      <c r="P194" s="30">
        <f t="shared" si="50"/>
        <v>2082377.6639005754</v>
      </c>
      <c r="Q194">
        <f t="shared" si="51"/>
        <v>0</v>
      </c>
      <c r="R194" s="30">
        <f t="shared" si="52"/>
        <v>2082377.6639005754</v>
      </c>
      <c r="S194" s="30">
        <f t="shared" si="44"/>
        <v>2082377.6639005754</v>
      </c>
      <c r="T194" s="30">
        <f t="shared" si="53"/>
        <v>2082377.6639005754</v>
      </c>
      <c r="U194">
        <f t="shared" si="54"/>
        <v>0</v>
      </c>
      <c r="V194" s="30">
        <f t="shared" si="55"/>
        <v>2082377.6639005754</v>
      </c>
      <c r="W194" s="30">
        <f t="shared" si="45"/>
        <v>2082377.6639005754</v>
      </c>
      <c r="X194" s="30">
        <f t="shared" si="56"/>
        <v>2082377.6639005754</v>
      </c>
      <c r="Y194">
        <f t="shared" si="57"/>
        <v>0</v>
      </c>
    </row>
    <row r="195" spans="1:25" x14ac:dyDescent="0.25">
      <c r="A195" s="4" t="s">
        <v>1039</v>
      </c>
      <c r="B195" s="7" t="s">
        <v>541</v>
      </c>
      <c r="C195" s="2" t="s">
        <v>1040</v>
      </c>
      <c r="D195">
        <f>VLOOKUP(B195,'Model allocations'!$A$1:$L$319,3,FALSE)</f>
        <v>52220.866872429186</v>
      </c>
      <c r="E195" s="32">
        <f>VLOOKUP(B195,'Initial adjusted formula count'!$A$1:$P$319,12,FALSE)</f>
        <v>0.13265306122449</v>
      </c>
      <c r="F195">
        <f>VLOOKUP(B195,'Model allocations'!$A$1:$L$319,8,FALSE)</f>
        <v>44387.736841564809</v>
      </c>
      <c r="G195" s="31">
        <f t="shared" si="46"/>
        <v>0.85</v>
      </c>
      <c r="H195">
        <f t="shared" si="47"/>
        <v>44387.736841564809</v>
      </c>
      <c r="I195">
        <f t="shared" si="39"/>
        <v>0</v>
      </c>
      <c r="J195">
        <f t="shared" si="40"/>
        <v>44387.736841564809</v>
      </c>
      <c r="K195">
        <f t="shared" si="41"/>
        <v>44381.207675326994</v>
      </c>
      <c r="L195">
        <f t="shared" si="48"/>
        <v>44381.207675326994</v>
      </c>
      <c r="M195">
        <f t="shared" si="42"/>
        <v>44387.736841564809</v>
      </c>
      <c r="N195" s="30">
        <f t="shared" si="49"/>
        <v>0</v>
      </c>
      <c r="O195" s="30">
        <f t="shared" si="43"/>
        <v>0</v>
      </c>
      <c r="P195" s="30">
        <f t="shared" si="50"/>
        <v>44387.736841564809</v>
      </c>
      <c r="Q195">
        <f t="shared" si="51"/>
        <v>0</v>
      </c>
      <c r="R195" s="30">
        <f t="shared" si="52"/>
        <v>0</v>
      </c>
      <c r="S195" s="30">
        <f t="shared" si="44"/>
        <v>0</v>
      </c>
      <c r="T195" s="30">
        <f t="shared" si="53"/>
        <v>44387.736841564809</v>
      </c>
      <c r="U195">
        <f t="shared" si="54"/>
        <v>0</v>
      </c>
      <c r="V195" s="30">
        <f t="shared" si="55"/>
        <v>0</v>
      </c>
      <c r="W195" s="30">
        <f t="shared" si="45"/>
        <v>0</v>
      </c>
      <c r="X195" s="30">
        <f t="shared" si="56"/>
        <v>44387.736841564809</v>
      </c>
      <c r="Y195">
        <f t="shared" si="57"/>
        <v>0</v>
      </c>
    </row>
    <row r="196" spans="1:25" x14ac:dyDescent="0.25">
      <c r="A196" s="4" t="s">
        <v>1041</v>
      </c>
      <c r="B196" s="7" t="s">
        <v>195</v>
      </c>
      <c r="C196" s="2" t="s">
        <v>1042</v>
      </c>
      <c r="D196">
        <f>VLOOKUP(B196,'Model allocations'!$A$1:$L$319,3,FALSE)</f>
        <v>8079.1807227884419</v>
      </c>
      <c r="E196" s="32">
        <f>VLOOKUP(B196,'Initial adjusted formula count'!$A$1:$P$319,12,FALSE)</f>
        <v>8.04597701149425E-2</v>
      </c>
      <c r="F196">
        <f>VLOOKUP(B196,'Model allocations'!$A$1:$L$319,8,FALSE)</f>
        <v>0</v>
      </c>
      <c r="G196" s="31">
        <f t="shared" si="46"/>
        <v>0.85</v>
      </c>
      <c r="H196">
        <f t="shared" si="47"/>
        <v>0</v>
      </c>
      <c r="I196">
        <f t="shared" ref="I196:I259" si="58">IF(F196&lt;H196,H196,0)</f>
        <v>0</v>
      </c>
      <c r="J196">
        <f t="shared" ref="J196:J259" si="59">IF(I196=0,F196,0)</f>
        <v>0</v>
      </c>
      <c r="K196">
        <f t="shared" ref="K196:K259" si="60">(J196/$J$3)*($F$3-$I$3)</f>
        <v>0</v>
      </c>
      <c r="L196">
        <f t="shared" si="48"/>
        <v>0</v>
      </c>
      <c r="M196">
        <f t="shared" ref="M196:M259" si="61">IF(L196&lt;H196,H196,0)</f>
        <v>0</v>
      </c>
      <c r="N196" s="30">
        <f t="shared" si="49"/>
        <v>0</v>
      </c>
      <c r="O196" s="30">
        <f t="shared" ref="O196:O259" si="62">((N196/$N$3)*($F$3-$I$3-$M$3))</f>
        <v>0</v>
      </c>
      <c r="P196" s="30">
        <f t="shared" si="50"/>
        <v>0</v>
      </c>
      <c r="Q196">
        <f t="shared" si="51"/>
        <v>0</v>
      </c>
      <c r="R196" s="30">
        <f t="shared" si="52"/>
        <v>0</v>
      </c>
      <c r="S196" s="30">
        <f t="shared" ref="S196:S259" si="63">((R196/$R$3)*($F$3-$I$3-$M$3-$Q$3))</f>
        <v>0</v>
      </c>
      <c r="T196" s="30">
        <f t="shared" si="53"/>
        <v>0</v>
      </c>
      <c r="U196">
        <f t="shared" si="54"/>
        <v>0</v>
      </c>
      <c r="V196" s="30">
        <f t="shared" si="55"/>
        <v>0</v>
      </c>
      <c r="W196" s="30">
        <f t="shared" ref="W196:W259" si="64">((V196/$V$3)*($F$3-$I$3-$M$3-$Q$3-$U$3))</f>
        <v>0</v>
      </c>
      <c r="X196" s="30">
        <f t="shared" si="56"/>
        <v>0</v>
      </c>
      <c r="Y196">
        <f t="shared" si="57"/>
        <v>0</v>
      </c>
    </row>
    <row r="197" spans="1:25" x14ac:dyDescent="0.25">
      <c r="A197" s="4" t="s">
        <v>1043</v>
      </c>
      <c r="B197" s="7" t="s">
        <v>298</v>
      </c>
      <c r="C197" s="2" t="s">
        <v>1044</v>
      </c>
      <c r="D197">
        <f>VLOOKUP(B197,'Model allocations'!$A$1:$L$319,3,FALSE)</f>
        <v>33022.018757565515</v>
      </c>
      <c r="E197" s="32">
        <f>VLOOKUP(B197,'Initial adjusted formula count'!$A$1:$P$319,12,FALSE)</f>
        <v>0.120481927710843</v>
      </c>
      <c r="F197">
        <f>VLOOKUP(B197,'Model allocations'!$A$1:$L$319,8,FALSE)</f>
        <v>28068.715943930685</v>
      </c>
      <c r="G197" s="31">
        <f t="shared" ref="G197:G260" si="65">IF(E197&lt;0.15,0.85,IF(AND(E197&gt;=0.15,E197&lt;0.3),0.9,0.95))</f>
        <v>0.85</v>
      </c>
      <c r="H197">
        <f t="shared" ref="H197:H260" si="66">IF(F197 = 0, 0, D197*G197)</f>
        <v>28068.715943930685</v>
      </c>
      <c r="I197">
        <f t="shared" si="58"/>
        <v>0</v>
      </c>
      <c r="J197">
        <f t="shared" si="59"/>
        <v>28068.715943930685</v>
      </c>
      <c r="K197">
        <f t="shared" si="60"/>
        <v>28064.58720645677</v>
      </c>
      <c r="L197">
        <f t="shared" ref="L197:L260" si="67">I197+K197</f>
        <v>28064.58720645677</v>
      </c>
      <c r="M197">
        <f t="shared" si="61"/>
        <v>28068.715943930685</v>
      </c>
      <c r="N197" s="30">
        <f t="shared" ref="N197:N260" si="68">IF($I197+$M197=0,L197,0)</f>
        <v>0</v>
      </c>
      <c r="O197" s="30">
        <f t="shared" si="62"/>
        <v>0</v>
      </c>
      <c r="P197" s="30">
        <f t="shared" ref="P197:P260" si="69">$I197+$M197+O197</f>
        <v>28068.715943930685</v>
      </c>
      <c r="Q197">
        <f t="shared" ref="Q197:Q260" si="70">IF(P197&lt;H197,H197,0)</f>
        <v>0</v>
      </c>
      <c r="R197" s="30">
        <f t="shared" ref="R197:R260" si="71">IF($I197+$M197+$Q197=0,P197,0)</f>
        <v>0</v>
      </c>
      <c r="S197" s="30">
        <f t="shared" si="63"/>
        <v>0</v>
      </c>
      <c r="T197" s="30">
        <f t="shared" ref="T197:T260" si="72">$I197+$M197+$Q197+S197</f>
        <v>28068.715943930685</v>
      </c>
      <c r="U197">
        <f t="shared" ref="U197:U260" si="73">IF(T197&lt;H197,H197,0)</f>
        <v>0</v>
      </c>
      <c r="V197" s="30">
        <f t="shared" ref="V197:V260" si="74">IF($I197+$M197+$Q197+U197=0,T197,0)</f>
        <v>0</v>
      </c>
      <c r="W197" s="30">
        <f t="shared" si="64"/>
        <v>0</v>
      </c>
      <c r="X197" s="30">
        <f t="shared" ref="X197:X260" si="75">$I197+$M197+$Q197+$U197+W197</f>
        <v>28068.715943930685</v>
      </c>
      <c r="Y197">
        <f t="shared" ref="Y197:Y260" si="76">IF(X197&lt;H197,H197,0)</f>
        <v>0</v>
      </c>
    </row>
    <row r="198" spans="1:25" x14ac:dyDescent="0.25">
      <c r="A198" s="4" t="s">
        <v>1045</v>
      </c>
      <c r="B198" s="7" t="s">
        <v>197</v>
      </c>
      <c r="C198" s="2" t="s">
        <v>1046</v>
      </c>
      <c r="D198">
        <f>VLOOKUP(B198,'Model allocations'!$A$1:$L$319,3,FALSE)</f>
        <v>515451.73011390259</v>
      </c>
      <c r="E198" s="32">
        <f>VLOOKUP(B198,'Initial adjusted formula count'!$A$1:$P$319,12,FALSE)</f>
        <v>4.5707438158007402E-2</v>
      </c>
      <c r="F198">
        <f>VLOOKUP(B198,'Model allocations'!$A$1:$L$319,8,FALSE)</f>
        <v>459386.00204093277</v>
      </c>
      <c r="G198" s="31">
        <f t="shared" si="65"/>
        <v>0.85</v>
      </c>
      <c r="H198">
        <f t="shared" si="66"/>
        <v>438133.97059681721</v>
      </c>
      <c r="I198">
        <f t="shared" si="58"/>
        <v>0</v>
      </c>
      <c r="J198">
        <f t="shared" si="59"/>
        <v>459386.00204093277</v>
      </c>
      <c r="K198">
        <f t="shared" si="60"/>
        <v>459318.42915283178</v>
      </c>
      <c r="L198">
        <f t="shared" si="67"/>
        <v>459318.42915283178</v>
      </c>
      <c r="M198">
        <f t="shared" si="61"/>
        <v>0</v>
      </c>
      <c r="N198" s="30">
        <f t="shared" si="68"/>
        <v>459318.42915283178</v>
      </c>
      <c r="O198" s="30">
        <f t="shared" si="62"/>
        <v>459310.06713048636</v>
      </c>
      <c r="P198" s="30">
        <f t="shared" si="69"/>
        <v>459310.06713048636</v>
      </c>
      <c r="Q198">
        <f t="shared" si="70"/>
        <v>0</v>
      </c>
      <c r="R198" s="30">
        <f t="shared" si="71"/>
        <v>459310.06713048636</v>
      </c>
      <c r="S198" s="30">
        <f t="shared" si="63"/>
        <v>459310.06713048648</v>
      </c>
      <c r="T198" s="30">
        <f t="shared" si="72"/>
        <v>459310.06713048648</v>
      </c>
      <c r="U198">
        <f t="shared" si="73"/>
        <v>0</v>
      </c>
      <c r="V198" s="30">
        <f t="shared" si="74"/>
        <v>459310.06713048648</v>
      </c>
      <c r="W198" s="30">
        <f t="shared" si="64"/>
        <v>459310.06713048654</v>
      </c>
      <c r="X198" s="30">
        <f t="shared" si="75"/>
        <v>459310.06713048654</v>
      </c>
      <c r="Y198">
        <f t="shared" si="76"/>
        <v>0</v>
      </c>
    </row>
    <row r="199" spans="1:25" x14ac:dyDescent="0.25">
      <c r="A199" s="4" t="s">
        <v>55</v>
      </c>
      <c r="B199" s="7" t="s">
        <v>87</v>
      </c>
      <c r="C199" s="2" t="s">
        <v>1047</v>
      </c>
      <c r="D199">
        <f>VLOOKUP(B199,'Model allocations'!$A$1:$L$319,3,FALSE)</f>
        <v>22450.489803870918</v>
      </c>
      <c r="E199" s="32">
        <f>VLOOKUP(B199,'Initial adjusted formula count'!$A$1:$P$319,12,FALSE)</f>
        <v>9.7774084557936902E-2</v>
      </c>
      <c r="F199">
        <f>VLOOKUP(B199,'Model allocations'!$A$1:$L$319,8,FALSE)</f>
        <v>23732.659631786646</v>
      </c>
      <c r="G199" s="31">
        <f t="shared" si="65"/>
        <v>0.85</v>
      </c>
      <c r="H199">
        <f t="shared" si="66"/>
        <v>19082.916333290279</v>
      </c>
      <c r="I199">
        <f t="shared" si="58"/>
        <v>0</v>
      </c>
      <c r="J199">
        <f t="shared" si="59"/>
        <v>23732.659631786646</v>
      </c>
      <c r="K199">
        <f t="shared" si="60"/>
        <v>23729.168701835555</v>
      </c>
      <c r="L199">
        <f t="shared" si="67"/>
        <v>23729.168701835555</v>
      </c>
      <c r="M199">
        <f t="shared" si="61"/>
        <v>0</v>
      </c>
      <c r="N199" s="30">
        <f t="shared" si="68"/>
        <v>23729.168701835555</v>
      </c>
      <c r="O199" s="30">
        <f t="shared" si="62"/>
        <v>23728.736705585616</v>
      </c>
      <c r="P199" s="30">
        <f t="shared" si="69"/>
        <v>23728.736705585616</v>
      </c>
      <c r="Q199">
        <f t="shared" si="70"/>
        <v>0</v>
      </c>
      <c r="R199" s="30">
        <f t="shared" si="71"/>
        <v>23728.736705585616</v>
      </c>
      <c r="S199" s="30">
        <f t="shared" si="63"/>
        <v>23728.736705585619</v>
      </c>
      <c r="T199" s="30">
        <f t="shared" si="72"/>
        <v>23728.736705585619</v>
      </c>
      <c r="U199">
        <f t="shared" si="73"/>
        <v>0</v>
      </c>
      <c r="V199" s="30">
        <f t="shared" si="74"/>
        <v>23728.736705585619</v>
      </c>
      <c r="W199" s="30">
        <f t="shared" si="64"/>
        <v>23728.736705585623</v>
      </c>
      <c r="X199" s="30">
        <f t="shared" si="75"/>
        <v>23728.736705585623</v>
      </c>
      <c r="Y199">
        <f t="shared" si="76"/>
        <v>0</v>
      </c>
    </row>
    <row r="200" spans="1:25" x14ac:dyDescent="0.25">
      <c r="A200" s="4" t="s">
        <v>1048</v>
      </c>
      <c r="B200" s="7" t="s">
        <v>543</v>
      </c>
      <c r="C200" s="2" t="s">
        <v>1049</v>
      </c>
      <c r="D200">
        <f>VLOOKUP(B200,'Model allocations'!$A$1:$L$319,3,FALSE)</f>
        <v>201171.59999743209</v>
      </c>
      <c r="E200" s="32">
        <f>VLOOKUP(B200,'Initial adjusted formula count'!$A$1:$P$319,12,FALSE)</f>
        <v>0.124748490945674</v>
      </c>
      <c r="F200">
        <f>VLOOKUP(B200,'Model allocations'!$A$1:$L$319,8,FALSE)</f>
        <v>170995.85999781726</v>
      </c>
      <c r="G200" s="31">
        <f t="shared" si="65"/>
        <v>0.85</v>
      </c>
      <c r="H200">
        <f t="shared" si="66"/>
        <v>170995.85999781726</v>
      </c>
      <c r="I200">
        <f t="shared" si="58"/>
        <v>0</v>
      </c>
      <c r="J200">
        <f t="shared" si="59"/>
        <v>170995.85999781726</v>
      </c>
      <c r="K200">
        <f t="shared" si="60"/>
        <v>170970.70754636679</v>
      </c>
      <c r="L200">
        <f t="shared" si="67"/>
        <v>170970.70754636679</v>
      </c>
      <c r="M200">
        <f t="shared" si="61"/>
        <v>170995.85999781726</v>
      </c>
      <c r="N200" s="30">
        <f t="shared" si="68"/>
        <v>0</v>
      </c>
      <c r="O200" s="30">
        <f t="shared" si="62"/>
        <v>0</v>
      </c>
      <c r="P200" s="30">
        <f t="shared" si="69"/>
        <v>170995.85999781726</v>
      </c>
      <c r="Q200">
        <f t="shared" si="70"/>
        <v>0</v>
      </c>
      <c r="R200" s="30">
        <f t="shared" si="71"/>
        <v>0</v>
      </c>
      <c r="S200" s="30">
        <f t="shared" si="63"/>
        <v>0</v>
      </c>
      <c r="T200" s="30">
        <f t="shared" si="72"/>
        <v>170995.85999781726</v>
      </c>
      <c r="U200">
        <f t="shared" si="73"/>
        <v>0</v>
      </c>
      <c r="V200" s="30">
        <f t="shared" si="74"/>
        <v>0</v>
      </c>
      <c r="W200" s="30">
        <f t="shared" si="64"/>
        <v>0</v>
      </c>
      <c r="X200" s="30">
        <f t="shared" si="75"/>
        <v>170995.85999781726</v>
      </c>
      <c r="Y200">
        <f t="shared" si="76"/>
        <v>0</v>
      </c>
    </row>
    <row r="201" spans="1:25" x14ac:dyDescent="0.25">
      <c r="A201" s="4" t="s">
        <v>1050</v>
      </c>
      <c r="B201" s="7" t="s">
        <v>545</v>
      </c>
      <c r="C201" s="2" t="s">
        <v>1051</v>
      </c>
      <c r="D201">
        <f>VLOOKUP(B201,'Model allocations'!$A$1:$L$319,3,FALSE)</f>
        <v>47667.166264451793</v>
      </c>
      <c r="E201" s="32">
        <f>VLOOKUP(B201,'Initial adjusted formula count'!$A$1:$P$319,12,FALSE)</f>
        <v>0.17241379310344801</v>
      </c>
      <c r="F201">
        <f>VLOOKUP(B201,'Model allocations'!$A$1:$L$319,8,FALSE)</f>
        <v>55917.771784008648</v>
      </c>
      <c r="G201" s="31">
        <f t="shared" si="65"/>
        <v>0.9</v>
      </c>
      <c r="H201">
        <f t="shared" si="66"/>
        <v>42900.449638006612</v>
      </c>
      <c r="I201">
        <f t="shared" si="58"/>
        <v>0</v>
      </c>
      <c r="J201">
        <f t="shared" si="59"/>
        <v>55917.771784008648</v>
      </c>
      <c r="K201">
        <f t="shared" si="60"/>
        <v>55909.546619726694</v>
      </c>
      <c r="L201">
        <f t="shared" si="67"/>
        <v>55909.546619726694</v>
      </c>
      <c r="M201">
        <f t="shared" si="61"/>
        <v>0</v>
      </c>
      <c r="N201" s="30">
        <f t="shared" si="68"/>
        <v>55909.546619726694</v>
      </c>
      <c r="O201" s="30">
        <f t="shared" si="62"/>
        <v>55908.528770564808</v>
      </c>
      <c r="P201" s="30">
        <f t="shared" si="69"/>
        <v>55908.528770564808</v>
      </c>
      <c r="Q201">
        <f t="shared" si="70"/>
        <v>0</v>
      </c>
      <c r="R201" s="30">
        <f t="shared" si="71"/>
        <v>55908.528770564808</v>
      </c>
      <c r="S201" s="30">
        <f t="shared" si="63"/>
        <v>55908.528770564822</v>
      </c>
      <c r="T201" s="30">
        <f t="shared" si="72"/>
        <v>55908.528770564822</v>
      </c>
      <c r="U201">
        <f t="shared" si="73"/>
        <v>0</v>
      </c>
      <c r="V201" s="30">
        <f t="shared" si="74"/>
        <v>55908.528770564822</v>
      </c>
      <c r="W201" s="30">
        <f t="shared" si="64"/>
        <v>55908.52877056483</v>
      </c>
      <c r="X201" s="30">
        <f t="shared" si="75"/>
        <v>55908.52877056483</v>
      </c>
      <c r="Y201">
        <f t="shared" si="76"/>
        <v>0</v>
      </c>
    </row>
    <row r="202" spans="1:25" x14ac:dyDescent="0.25">
      <c r="A202" s="4" t="s">
        <v>1052</v>
      </c>
      <c r="B202" s="7" t="s">
        <v>547</v>
      </c>
      <c r="C202" s="2" t="s">
        <v>1053</v>
      </c>
      <c r="D202">
        <f>VLOOKUP(B202,'Model allocations'!$A$1:$L$319,3,FALSE)</f>
        <v>578133.78393888311</v>
      </c>
      <c r="E202" s="32">
        <f>VLOOKUP(B202,'Initial adjusted formula count'!$A$1:$P$319,12,FALSE)</f>
        <v>0.140625</v>
      </c>
      <c r="F202">
        <f>VLOOKUP(B202,'Model allocations'!$A$1:$L$319,8,FALSE)</f>
        <v>518744.86747318791</v>
      </c>
      <c r="G202" s="31">
        <f t="shared" si="65"/>
        <v>0.85</v>
      </c>
      <c r="H202">
        <f t="shared" si="66"/>
        <v>491413.71634805063</v>
      </c>
      <c r="I202">
        <f t="shared" si="58"/>
        <v>0</v>
      </c>
      <c r="J202">
        <f t="shared" si="59"/>
        <v>518744.86747318791</v>
      </c>
      <c r="K202">
        <f t="shared" si="60"/>
        <v>518668.56325684913</v>
      </c>
      <c r="L202">
        <f t="shared" si="67"/>
        <v>518668.56325684913</v>
      </c>
      <c r="M202">
        <f t="shared" si="61"/>
        <v>0</v>
      </c>
      <c r="N202" s="30">
        <f t="shared" si="68"/>
        <v>518668.56325684913</v>
      </c>
      <c r="O202" s="30">
        <f t="shared" si="62"/>
        <v>518659.1207484703</v>
      </c>
      <c r="P202" s="30">
        <f t="shared" si="69"/>
        <v>518659.1207484703</v>
      </c>
      <c r="Q202">
        <f t="shared" si="70"/>
        <v>0</v>
      </c>
      <c r="R202" s="30">
        <f t="shared" si="71"/>
        <v>518659.1207484703</v>
      </c>
      <c r="S202" s="30">
        <f t="shared" si="63"/>
        <v>518659.12074847042</v>
      </c>
      <c r="T202" s="30">
        <f t="shared" si="72"/>
        <v>518659.12074847042</v>
      </c>
      <c r="U202">
        <f t="shared" si="73"/>
        <v>0</v>
      </c>
      <c r="V202" s="30">
        <f t="shared" si="74"/>
        <v>518659.12074847042</v>
      </c>
      <c r="W202" s="30">
        <f t="shared" si="64"/>
        <v>518659.12074847048</v>
      </c>
      <c r="X202" s="30">
        <f t="shared" si="75"/>
        <v>518659.12074847048</v>
      </c>
      <c r="Y202">
        <f t="shared" si="76"/>
        <v>0</v>
      </c>
    </row>
    <row r="203" spans="1:25" x14ac:dyDescent="0.25">
      <c r="A203" s="4" t="s">
        <v>1054</v>
      </c>
      <c r="B203" s="7" t="s">
        <v>549</v>
      </c>
      <c r="C203" s="2" t="s">
        <v>1055</v>
      </c>
      <c r="D203">
        <f>VLOOKUP(B203,'Model allocations'!$A$1:$L$319,3,FALSE)</f>
        <v>217329.96144300909</v>
      </c>
      <c r="E203" s="32">
        <f>VLOOKUP(B203,'Initial adjusted formula count'!$A$1:$P$319,12,FALSE)</f>
        <v>0.13839285714285701</v>
      </c>
      <c r="F203">
        <f>VLOOKUP(B203,'Model allocations'!$A$1:$L$319,8,FALSE)</f>
        <v>184730.46722655772</v>
      </c>
      <c r="G203" s="31">
        <f t="shared" si="65"/>
        <v>0.85</v>
      </c>
      <c r="H203">
        <f t="shared" si="66"/>
        <v>184730.46722655772</v>
      </c>
      <c r="I203">
        <f t="shared" si="58"/>
        <v>0</v>
      </c>
      <c r="J203">
        <f t="shared" si="59"/>
        <v>184730.46722655772</v>
      </c>
      <c r="K203">
        <f t="shared" si="60"/>
        <v>184703.29449788231</v>
      </c>
      <c r="L203">
        <f t="shared" si="67"/>
        <v>184703.29449788231</v>
      </c>
      <c r="M203">
        <f t="shared" si="61"/>
        <v>184730.46722655772</v>
      </c>
      <c r="N203" s="30">
        <f t="shared" si="68"/>
        <v>0</v>
      </c>
      <c r="O203" s="30">
        <f t="shared" si="62"/>
        <v>0</v>
      </c>
      <c r="P203" s="30">
        <f t="shared" si="69"/>
        <v>184730.46722655772</v>
      </c>
      <c r="Q203">
        <f t="shared" si="70"/>
        <v>0</v>
      </c>
      <c r="R203" s="30">
        <f t="shared" si="71"/>
        <v>0</v>
      </c>
      <c r="S203" s="30">
        <f t="shared" si="63"/>
        <v>0</v>
      </c>
      <c r="T203" s="30">
        <f t="shared" si="72"/>
        <v>184730.46722655772</v>
      </c>
      <c r="U203">
        <f t="shared" si="73"/>
        <v>0</v>
      </c>
      <c r="V203" s="30">
        <f t="shared" si="74"/>
        <v>0</v>
      </c>
      <c r="W203" s="30">
        <f t="shared" si="64"/>
        <v>0</v>
      </c>
      <c r="X203" s="30">
        <f t="shared" si="75"/>
        <v>184730.46722655772</v>
      </c>
      <c r="Y203">
        <f t="shared" si="76"/>
        <v>0</v>
      </c>
    </row>
    <row r="204" spans="1:25" x14ac:dyDescent="0.25">
      <c r="A204" s="4" t="s">
        <v>1056</v>
      </c>
      <c r="B204" s="7" t="s">
        <v>551</v>
      </c>
      <c r="C204" s="2" t="s">
        <v>1057</v>
      </c>
      <c r="D204">
        <f>VLOOKUP(B204,'Model allocations'!$A$1:$L$319,3,FALSE)</f>
        <v>39587.985541663358</v>
      </c>
      <c r="E204" s="32">
        <f>VLOOKUP(B204,'Initial adjusted formula count'!$A$1:$P$319,12,FALSE)</f>
        <v>0.14202898550724599</v>
      </c>
      <c r="F204">
        <f>VLOOKUP(B204,'Model allocations'!$A$1:$L$319,8,FALSE)</f>
        <v>42153.397191021919</v>
      </c>
      <c r="G204" s="31">
        <f t="shared" si="65"/>
        <v>0.85</v>
      </c>
      <c r="H204">
        <f t="shared" si="66"/>
        <v>33649.787710413853</v>
      </c>
      <c r="I204">
        <f t="shared" si="58"/>
        <v>0</v>
      </c>
      <c r="J204">
        <f t="shared" si="59"/>
        <v>42153.397191021919</v>
      </c>
      <c r="K204">
        <f t="shared" si="60"/>
        <v>42147.196682563212</v>
      </c>
      <c r="L204">
        <f t="shared" si="67"/>
        <v>42147.196682563212</v>
      </c>
      <c r="M204">
        <f t="shared" si="61"/>
        <v>0</v>
      </c>
      <c r="N204" s="30">
        <f t="shared" si="68"/>
        <v>42147.196682563212</v>
      </c>
      <c r="O204" s="30">
        <f t="shared" si="62"/>
        <v>42146.429380887326</v>
      </c>
      <c r="P204" s="30">
        <f t="shared" si="69"/>
        <v>42146.429380887326</v>
      </c>
      <c r="Q204">
        <f t="shared" si="70"/>
        <v>0</v>
      </c>
      <c r="R204" s="30">
        <f t="shared" si="71"/>
        <v>42146.429380887326</v>
      </c>
      <c r="S204" s="30">
        <f t="shared" si="63"/>
        <v>42146.429380887334</v>
      </c>
      <c r="T204" s="30">
        <f t="shared" si="72"/>
        <v>42146.429380887334</v>
      </c>
      <c r="U204">
        <f t="shared" si="73"/>
        <v>0</v>
      </c>
      <c r="V204" s="30">
        <f t="shared" si="74"/>
        <v>42146.429380887334</v>
      </c>
      <c r="W204" s="30">
        <f t="shared" si="64"/>
        <v>42146.429380887334</v>
      </c>
      <c r="X204" s="30">
        <f t="shared" si="75"/>
        <v>42146.429380887334</v>
      </c>
      <c r="Y204">
        <f t="shared" si="76"/>
        <v>0</v>
      </c>
    </row>
    <row r="205" spans="1:25" x14ac:dyDescent="0.25">
      <c r="A205" s="4" t="s">
        <v>34</v>
      </c>
      <c r="B205" s="7" t="s">
        <v>81</v>
      </c>
      <c r="C205" s="2" t="s">
        <v>1058</v>
      </c>
      <c r="D205">
        <f>VLOOKUP(B205,'Model allocations'!$A$1:$L$319,3,FALSE)</f>
        <v>71371.675082509653</v>
      </c>
      <c r="E205" s="32">
        <f>VLOOKUP(B205,'Initial adjusted formula count'!$A$1:$P$319,12,FALSE)</f>
        <v>0.123366242058152</v>
      </c>
      <c r="F205">
        <f>VLOOKUP(B205,'Model allocations'!$A$1:$L$319,8,FALSE)</f>
        <v>54904.04342196689</v>
      </c>
      <c r="G205" s="31">
        <f t="shared" si="65"/>
        <v>0.85</v>
      </c>
      <c r="H205">
        <f t="shared" si="66"/>
        <v>60665.923820133205</v>
      </c>
      <c r="I205">
        <f t="shared" si="58"/>
        <v>60665.923820133205</v>
      </c>
      <c r="J205">
        <f t="shared" si="59"/>
        <v>0</v>
      </c>
      <c r="K205">
        <f t="shared" si="60"/>
        <v>0</v>
      </c>
      <c r="L205">
        <f t="shared" si="67"/>
        <v>60665.923820133205</v>
      </c>
      <c r="M205">
        <f t="shared" si="61"/>
        <v>0</v>
      </c>
      <c r="N205" s="30">
        <f t="shared" si="68"/>
        <v>0</v>
      </c>
      <c r="O205" s="30">
        <f t="shared" si="62"/>
        <v>0</v>
      </c>
      <c r="P205" s="30">
        <f t="shared" si="69"/>
        <v>60665.923820133205</v>
      </c>
      <c r="Q205">
        <f t="shared" si="70"/>
        <v>0</v>
      </c>
      <c r="R205" s="30">
        <f t="shared" si="71"/>
        <v>0</v>
      </c>
      <c r="S205" s="30">
        <f t="shared" si="63"/>
        <v>0</v>
      </c>
      <c r="T205" s="30">
        <f t="shared" si="72"/>
        <v>60665.923820133205</v>
      </c>
      <c r="U205">
        <f t="shared" si="73"/>
        <v>0</v>
      </c>
      <c r="V205" s="30">
        <f t="shared" si="74"/>
        <v>0</v>
      </c>
      <c r="W205" s="30">
        <f t="shared" si="64"/>
        <v>0</v>
      </c>
      <c r="X205" s="30">
        <f t="shared" si="75"/>
        <v>60665.923820133205</v>
      </c>
      <c r="Y205">
        <f t="shared" si="76"/>
        <v>0</v>
      </c>
    </row>
    <row r="206" spans="1:25" x14ac:dyDescent="0.25">
      <c r="A206" s="4" t="s">
        <v>1059</v>
      </c>
      <c r="B206" s="7" t="s">
        <v>553</v>
      </c>
      <c r="C206" s="2" t="s">
        <v>1060</v>
      </c>
      <c r="D206">
        <f>VLOOKUP(B206,'Model allocations'!$A$1:$L$319,3,FALSE)</f>
        <v>363492.66723858559</v>
      </c>
      <c r="E206" s="32">
        <f>VLOOKUP(B206,'Initial adjusted formula count'!$A$1:$P$319,12,FALSE)</f>
        <v>0.11789038262668</v>
      </c>
      <c r="F206">
        <f>VLOOKUP(B206,'Model allocations'!$A$1:$L$319,8,FALSE)</f>
        <v>308968.76715279772</v>
      </c>
      <c r="G206" s="31">
        <f t="shared" si="65"/>
        <v>0.85</v>
      </c>
      <c r="H206">
        <f t="shared" si="66"/>
        <v>308968.76715279772</v>
      </c>
      <c r="I206">
        <f t="shared" si="58"/>
        <v>0</v>
      </c>
      <c r="J206">
        <f t="shared" si="59"/>
        <v>308968.76715279772</v>
      </c>
      <c r="K206">
        <f t="shared" si="60"/>
        <v>308923.31972549966</v>
      </c>
      <c r="L206">
        <f t="shared" si="67"/>
        <v>308923.31972549966</v>
      </c>
      <c r="M206">
        <f t="shared" si="61"/>
        <v>308968.76715279772</v>
      </c>
      <c r="N206" s="30">
        <f t="shared" si="68"/>
        <v>0</v>
      </c>
      <c r="O206" s="30">
        <f t="shared" si="62"/>
        <v>0</v>
      </c>
      <c r="P206" s="30">
        <f t="shared" si="69"/>
        <v>308968.76715279772</v>
      </c>
      <c r="Q206">
        <f t="shared" si="70"/>
        <v>0</v>
      </c>
      <c r="R206" s="30">
        <f t="shared" si="71"/>
        <v>0</v>
      </c>
      <c r="S206" s="30">
        <f t="shared" si="63"/>
        <v>0</v>
      </c>
      <c r="T206" s="30">
        <f t="shared" si="72"/>
        <v>308968.76715279772</v>
      </c>
      <c r="U206">
        <f t="shared" si="73"/>
        <v>0</v>
      </c>
      <c r="V206" s="30">
        <f t="shared" si="74"/>
        <v>0</v>
      </c>
      <c r="W206" s="30">
        <f t="shared" si="64"/>
        <v>0</v>
      </c>
      <c r="X206" s="30">
        <f t="shared" si="75"/>
        <v>308968.76715279772</v>
      </c>
      <c r="Y206">
        <f t="shared" si="76"/>
        <v>0</v>
      </c>
    </row>
    <row r="207" spans="1:25" x14ac:dyDescent="0.25">
      <c r="A207" s="4" t="s">
        <v>21</v>
      </c>
      <c r="B207" s="7" t="s">
        <v>61</v>
      </c>
      <c r="C207" s="2" t="s">
        <v>1061</v>
      </c>
      <c r="D207">
        <f>VLOOKUP(B207,'Model allocations'!$A$1:$L$319,3,FALSE)</f>
        <v>285698.07870035851</v>
      </c>
      <c r="E207" s="32">
        <f>VLOOKUP(B207,'Initial adjusted formula count'!$A$1:$P$319,12,FALSE)</f>
        <v>0.10242579001174899</v>
      </c>
      <c r="F207">
        <f>VLOOKUP(B207,'Model allocations'!$A$1:$L$319,8,FALSE)</f>
        <v>271016.78801015322</v>
      </c>
      <c r="G207" s="31">
        <f t="shared" si="65"/>
        <v>0.85</v>
      </c>
      <c r="H207">
        <f t="shared" si="66"/>
        <v>242843.36689530473</v>
      </c>
      <c r="I207">
        <f t="shared" si="58"/>
        <v>0</v>
      </c>
      <c r="J207">
        <f t="shared" si="59"/>
        <v>271016.78801015322</v>
      </c>
      <c r="K207">
        <f t="shared" si="60"/>
        <v>270976.9230882611</v>
      </c>
      <c r="L207">
        <f t="shared" si="67"/>
        <v>270976.9230882611</v>
      </c>
      <c r="M207">
        <f t="shared" si="61"/>
        <v>0</v>
      </c>
      <c r="N207" s="30">
        <f t="shared" si="68"/>
        <v>270976.9230882611</v>
      </c>
      <c r="O207" s="30">
        <f t="shared" si="62"/>
        <v>270971.98987648007</v>
      </c>
      <c r="P207" s="30">
        <f t="shared" si="69"/>
        <v>270971.98987648007</v>
      </c>
      <c r="Q207">
        <f t="shared" si="70"/>
        <v>0</v>
      </c>
      <c r="R207" s="30">
        <f t="shared" si="71"/>
        <v>270971.98987648007</v>
      </c>
      <c r="S207" s="30">
        <f t="shared" si="63"/>
        <v>270971.98987648007</v>
      </c>
      <c r="T207" s="30">
        <f t="shared" si="72"/>
        <v>270971.98987648007</v>
      </c>
      <c r="U207">
        <f t="shared" si="73"/>
        <v>0</v>
      </c>
      <c r="V207" s="30">
        <f t="shared" si="74"/>
        <v>270971.98987648007</v>
      </c>
      <c r="W207" s="30">
        <f t="shared" si="64"/>
        <v>270971.98987648007</v>
      </c>
      <c r="X207" s="30">
        <f t="shared" si="75"/>
        <v>270971.98987648007</v>
      </c>
      <c r="Y207">
        <f t="shared" si="76"/>
        <v>0</v>
      </c>
    </row>
    <row r="208" spans="1:25" x14ac:dyDescent="0.25">
      <c r="A208" s="4" t="s">
        <v>20</v>
      </c>
      <c r="B208" s="7" t="s">
        <v>74</v>
      </c>
      <c r="C208" s="2" t="s">
        <v>1062</v>
      </c>
      <c r="D208">
        <f>VLOOKUP(B208,'Model allocations'!$A$1:$L$319,3,FALSE)</f>
        <v>14856.08269361475</v>
      </c>
      <c r="E208" s="32">
        <f>VLOOKUP(B208,'Initial adjusted formula count'!$A$1:$P$319,12,FALSE)</f>
        <v>0.11209878960701999</v>
      </c>
      <c r="F208">
        <f>VLOOKUP(B208,'Model allocations'!$A$1:$L$319,8,FALSE)</f>
        <v>15454.25820638312</v>
      </c>
      <c r="G208" s="31">
        <f t="shared" si="65"/>
        <v>0.85</v>
      </c>
      <c r="H208">
        <f t="shared" si="66"/>
        <v>12627.670289572538</v>
      </c>
      <c r="I208">
        <f t="shared" si="58"/>
        <v>0</v>
      </c>
      <c r="J208">
        <f t="shared" si="59"/>
        <v>15454.25820638312</v>
      </c>
      <c r="K208">
        <f t="shared" si="60"/>
        <v>15451.984978953846</v>
      </c>
      <c r="L208">
        <f t="shared" si="67"/>
        <v>15451.984978953846</v>
      </c>
      <c r="M208">
        <f t="shared" si="61"/>
        <v>0</v>
      </c>
      <c r="N208" s="30">
        <f t="shared" si="68"/>
        <v>15451.984978953846</v>
      </c>
      <c r="O208" s="30">
        <f t="shared" si="62"/>
        <v>15451.703671182431</v>
      </c>
      <c r="P208" s="30">
        <f t="shared" si="69"/>
        <v>15451.703671182431</v>
      </c>
      <c r="Q208">
        <f t="shared" si="70"/>
        <v>0</v>
      </c>
      <c r="R208" s="30">
        <f t="shared" si="71"/>
        <v>15451.703671182431</v>
      </c>
      <c r="S208" s="30">
        <f t="shared" si="63"/>
        <v>15451.703671182435</v>
      </c>
      <c r="T208" s="30">
        <f t="shared" si="72"/>
        <v>15451.703671182435</v>
      </c>
      <c r="U208">
        <f t="shared" si="73"/>
        <v>0</v>
      </c>
      <c r="V208" s="30">
        <f t="shared" si="74"/>
        <v>15451.703671182435</v>
      </c>
      <c r="W208" s="30">
        <f t="shared" si="64"/>
        <v>15451.703671182437</v>
      </c>
      <c r="X208" s="30">
        <f t="shared" si="75"/>
        <v>15451.703671182437</v>
      </c>
      <c r="Y208">
        <f t="shared" si="76"/>
        <v>0</v>
      </c>
    </row>
    <row r="209" spans="1:25" x14ac:dyDescent="0.25">
      <c r="A209" s="4" t="s">
        <v>1063</v>
      </c>
      <c r="B209" s="7" t="s">
        <v>199</v>
      </c>
      <c r="C209" s="2" t="s">
        <v>1064</v>
      </c>
      <c r="D209">
        <f>VLOOKUP(B209,'Model allocations'!$A$1:$L$319,3,FALSE)</f>
        <v>1529388.9108238518</v>
      </c>
      <c r="E209" s="32">
        <f>VLOOKUP(B209,'Initial adjusted formula count'!$A$1:$P$319,12,FALSE)</f>
        <v>7.2384904478546799E-2</v>
      </c>
      <c r="F209">
        <f>VLOOKUP(B209,'Model allocations'!$A$1:$L$319,8,FALSE)</f>
        <v>1590645.5389020308</v>
      </c>
      <c r="G209" s="31">
        <f t="shared" si="65"/>
        <v>0.85</v>
      </c>
      <c r="H209">
        <f t="shared" si="66"/>
        <v>1299980.574200274</v>
      </c>
      <c r="I209">
        <f t="shared" si="58"/>
        <v>0</v>
      </c>
      <c r="J209">
        <f t="shared" si="59"/>
        <v>1590645.5389020308</v>
      </c>
      <c r="K209">
        <f t="shared" si="60"/>
        <v>1590411.5646134564</v>
      </c>
      <c r="L209">
        <f t="shared" si="67"/>
        <v>1590411.5646134564</v>
      </c>
      <c r="M209">
        <f t="shared" si="61"/>
        <v>0</v>
      </c>
      <c r="N209" s="30">
        <f t="shared" si="68"/>
        <v>1590411.5646134564</v>
      </c>
      <c r="O209" s="30">
        <f t="shared" si="62"/>
        <v>1590382.6107196051</v>
      </c>
      <c r="P209" s="30">
        <f t="shared" si="69"/>
        <v>1590382.6107196051</v>
      </c>
      <c r="Q209">
        <f t="shared" si="70"/>
        <v>0</v>
      </c>
      <c r="R209" s="30">
        <f t="shared" si="71"/>
        <v>1590382.6107196051</v>
      </c>
      <c r="S209" s="30">
        <f t="shared" si="63"/>
        <v>1590382.6107196053</v>
      </c>
      <c r="T209" s="30">
        <f t="shared" si="72"/>
        <v>1590382.6107196053</v>
      </c>
      <c r="U209">
        <f t="shared" si="73"/>
        <v>0</v>
      </c>
      <c r="V209" s="30">
        <f t="shared" si="74"/>
        <v>1590382.6107196053</v>
      </c>
      <c r="W209" s="30">
        <f t="shared" si="64"/>
        <v>1590382.6107196056</v>
      </c>
      <c r="X209" s="30">
        <f t="shared" si="75"/>
        <v>1590382.6107196056</v>
      </c>
      <c r="Y209">
        <f t="shared" si="76"/>
        <v>0</v>
      </c>
    </row>
    <row r="210" spans="1:25" x14ac:dyDescent="0.25">
      <c r="A210" s="4" t="s">
        <v>1065</v>
      </c>
      <c r="B210" s="7" t="s">
        <v>555</v>
      </c>
      <c r="C210" s="2" t="s">
        <v>1066</v>
      </c>
      <c r="D210">
        <f>VLOOKUP(B210,'Model allocations'!$A$1:$L$319,3,FALSE)</f>
        <v>0</v>
      </c>
      <c r="E210" s="32">
        <f>VLOOKUP(B210,'Initial adjusted formula count'!$A$1:$P$319,12,FALSE)</f>
        <v>0.34375</v>
      </c>
      <c r="F210">
        <f>VLOOKUP(B210,'Model allocations'!$A$1:$L$319,8,FALSE)</f>
        <v>9463.0075326783881</v>
      </c>
      <c r="G210" s="31">
        <f t="shared" si="65"/>
        <v>0.95</v>
      </c>
      <c r="H210">
        <f t="shared" si="66"/>
        <v>0</v>
      </c>
      <c r="I210">
        <f t="shared" si="58"/>
        <v>0</v>
      </c>
      <c r="J210">
        <f t="shared" si="59"/>
        <v>9463.0075326783881</v>
      </c>
      <c r="K210">
        <f t="shared" si="60"/>
        <v>9461.6155817999042</v>
      </c>
      <c r="L210">
        <f t="shared" si="67"/>
        <v>9461.6155817999042</v>
      </c>
      <c r="M210">
        <f t="shared" si="61"/>
        <v>0</v>
      </c>
      <c r="N210" s="30">
        <f t="shared" si="68"/>
        <v>9461.6155817999042</v>
      </c>
      <c r="O210" s="30">
        <f t="shared" si="62"/>
        <v>9461.4433304032773</v>
      </c>
      <c r="P210" s="30">
        <f t="shared" si="69"/>
        <v>9461.4433304032773</v>
      </c>
      <c r="Q210">
        <f t="shared" si="70"/>
        <v>0</v>
      </c>
      <c r="R210" s="30">
        <f t="shared" si="71"/>
        <v>9461.4433304032773</v>
      </c>
      <c r="S210" s="30">
        <f t="shared" si="63"/>
        <v>9461.4433304032791</v>
      </c>
      <c r="T210" s="30">
        <f t="shared" si="72"/>
        <v>9461.4433304032791</v>
      </c>
      <c r="U210">
        <f t="shared" si="73"/>
        <v>0</v>
      </c>
      <c r="V210" s="30">
        <f t="shared" si="74"/>
        <v>9461.4433304032791</v>
      </c>
      <c r="W210" s="30">
        <f t="shared" si="64"/>
        <v>9461.4433304032791</v>
      </c>
      <c r="X210" s="30">
        <f t="shared" si="75"/>
        <v>9461.4433304032791</v>
      </c>
      <c r="Y210">
        <f t="shared" si="76"/>
        <v>0</v>
      </c>
    </row>
    <row r="211" spans="1:25" x14ac:dyDescent="0.25">
      <c r="A211" s="4" t="s">
        <v>1067</v>
      </c>
      <c r="B211" s="7" t="s">
        <v>557</v>
      </c>
      <c r="C211" s="2" t="s">
        <v>1068</v>
      </c>
      <c r="D211">
        <f>VLOOKUP(B211,'Model allocations'!$A$1:$L$319,3,FALSE)</f>
        <v>23038.617737836408</v>
      </c>
      <c r="E211" s="32">
        <f>VLOOKUP(B211,'Initial adjusted formula count'!$A$1:$P$319,12,FALSE)</f>
        <v>0.14572864321608001</v>
      </c>
      <c r="F211">
        <f>VLOOKUP(B211,'Model allocations'!$A$1:$L$319,8,FALSE)</f>
        <v>24947.928949788471</v>
      </c>
      <c r="G211" s="31">
        <f t="shared" si="65"/>
        <v>0.85</v>
      </c>
      <c r="H211">
        <f t="shared" si="66"/>
        <v>19582.825077160946</v>
      </c>
      <c r="I211">
        <f t="shared" si="58"/>
        <v>0</v>
      </c>
      <c r="J211">
        <f t="shared" si="59"/>
        <v>24947.928949788471</v>
      </c>
      <c r="K211">
        <f t="shared" si="60"/>
        <v>24944.259261108829</v>
      </c>
      <c r="L211">
        <f t="shared" si="67"/>
        <v>24944.259261108829</v>
      </c>
      <c r="M211">
        <f t="shared" si="61"/>
        <v>0</v>
      </c>
      <c r="N211" s="30">
        <f t="shared" si="68"/>
        <v>24944.259261108829</v>
      </c>
      <c r="O211" s="30">
        <f t="shared" si="62"/>
        <v>24943.805143790447</v>
      </c>
      <c r="P211" s="30">
        <f t="shared" si="69"/>
        <v>24943.805143790447</v>
      </c>
      <c r="Q211">
        <f t="shared" si="70"/>
        <v>0</v>
      </c>
      <c r="R211" s="30">
        <f t="shared" si="71"/>
        <v>24943.805143790447</v>
      </c>
      <c r="S211" s="30">
        <f t="shared" si="63"/>
        <v>24943.805143790451</v>
      </c>
      <c r="T211" s="30">
        <f t="shared" si="72"/>
        <v>24943.805143790451</v>
      </c>
      <c r="U211">
        <f t="shared" si="73"/>
        <v>0</v>
      </c>
      <c r="V211" s="30">
        <f t="shared" si="74"/>
        <v>24943.805143790451</v>
      </c>
      <c r="W211" s="30">
        <f t="shared" si="64"/>
        <v>24943.805143790454</v>
      </c>
      <c r="X211" s="30">
        <f t="shared" si="75"/>
        <v>24943.805143790454</v>
      </c>
      <c r="Y211">
        <f t="shared" si="76"/>
        <v>0</v>
      </c>
    </row>
    <row r="212" spans="1:25" x14ac:dyDescent="0.25">
      <c r="A212" s="4" t="s">
        <v>1069</v>
      </c>
      <c r="B212" s="7" t="s">
        <v>559</v>
      </c>
      <c r="C212" s="2" t="s">
        <v>1070</v>
      </c>
      <c r="D212">
        <f>VLOOKUP(B212,'Model allocations'!$A$1:$L$319,3,FALSE)</f>
        <v>274024.02979944251</v>
      </c>
      <c r="E212" s="32">
        <f>VLOOKUP(B212,'Initial adjusted formula count'!$A$1:$P$319,12,FALSE)</f>
        <v>0.23464163822525599</v>
      </c>
      <c r="F212">
        <f>VLOOKUP(B212,'Model allocations'!$A$1:$L$319,8,FALSE)</f>
        <v>246621.62681949825</v>
      </c>
      <c r="G212" s="31">
        <f t="shared" si="65"/>
        <v>0.9</v>
      </c>
      <c r="H212">
        <f t="shared" si="66"/>
        <v>246621.62681949825</v>
      </c>
      <c r="I212">
        <f t="shared" si="58"/>
        <v>0</v>
      </c>
      <c r="J212">
        <f t="shared" si="59"/>
        <v>246621.62681949825</v>
      </c>
      <c r="K212">
        <f t="shared" si="60"/>
        <v>246585.35027750893</v>
      </c>
      <c r="L212">
        <f t="shared" si="67"/>
        <v>246585.35027750893</v>
      </c>
      <c r="M212">
        <f t="shared" si="61"/>
        <v>246621.62681949825</v>
      </c>
      <c r="N212" s="30">
        <f t="shared" si="68"/>
        <v>0</v>
      </c>
      <c r="O212" s="30">
        <f t="shared" si="62"/>
        <v>0</v>
      </c>
      <c r="P212" s="30">
        <f t="shared" si="69"/>
        <v>246621.62681949825</v>
      </c>
      <c r="Q212">
        <f t="shared" si="70"/>
        <v>0</v>
      </c>
      <c r="R212" s="30">
        <f t="shared" si="71"/>
        <v>0</v>
      </c>
      <c r="S212" s="30">
        <f t="shared" si="63"/>
        <v>0</v>
      </c>
      <c r="T212" s="30">
        <f t="shared" si="72"/>
        <v>246621.62681949825</v>
      </c>
      <c r="U212">
        <f t="shared" si="73"/>
        <v>0</v>
      </c>
      <c r="V212" s="30">
        <f t="shared" si="74"/>
        <v>0</v>
      </c>
      <c r="W212" s="30">
        <f t="shared" si="64"/>
        <v>0</v>
      </c>
      <c r="X212" s="30">
        <f t="shared" si="75"/>
        <v>246621.62681949825</v>
      </c>
      <c r="Y212">
        <f t="shared" si="76"/>
        <v>0</v>
      </c>
    </row>
    <row r="213" spans="1:25" x14ac:dyDescent="0.25">
      <c r="A213" s="4" t="s">
        <v>1071</v>
      </c>
      <c r="B213" s="7" t="s">
        <v>449</v>
      </c>
      <c r="C213" s="2" t="s">
        <v>1072</v>
      </c>
      <c r="D213">
        <f>VLOOKUP(B213,'Model allocations'!$A$1:$L$319,3,FALSE)</f>
        <v>33124.640963432605</v>
      </c>
      <c r="E213" s="32">
        <f>VLOOKUP(B213,'Initial adjusted formula count'!$A$1:$P$319,12,FALSE)</f>
        <v>0.229885057471264</v>
      </c>
      <c r="F213">
        <f>VLOOKUP(B213,'Model allocations'!$A$1:$L$319,8,FALSE)</f>
        <v>34410.936482466866</v>
      </c>
      <c r="G213" s="31">
        <f t="shared" si="65"/>
        <v>0.9</v>
      </c>
      <c r="H213">
        <f t="shared" si="66"/>
        <v>29812.176867089343</v>
      </c>
      <c r="I213">
        <f t="shared" si="58"/>
        <v>0</v>
      </c>
      <c r="J213">
        <f t="shared" si="59"/>
        <v>34410.936482466866</v>
      </c>
      <c r="K213">
        <f t="shared" si="60"/>
        <v>34405.874842908743</v>
      </c>
      <c r="L213">
        <f t="shared" si="67"/>
        <v>34405.874842908743</v>
      </c>
      <c r="M213">
        <f t="shared" si="61"/>
        <v>0</v>
      </c>
      <c r="N213" s="30">
        <f t="shared" si="68"/>
        <v>34405.874842908743</v>
      </c>
      <c r="O213" s="30">
        <f t="shared" si="62"/>
        <v>34405.248474193737</v>
      </c>
      <c r="P213" s="30">
        <f t="shared" si="69"/>
        <v>34405.248474193737</v>
      </c>
      <c r="Q213">
        <f t="shared" si="70"/>
        <v>0</v>
      </c>
      <c r="R213" s="30">
        <f t="shared" si="71"/>
        <v>34405.248474193737</v>
      </c>
      <c r="S213" s="30">
        <f t="shared" si="63"/>
        <v>34405.248474193737</v>
      </c>
      <c r="T213" s="30">
        <f t="shared" si="72"/>
        <v>34405.248474193737</v>
      </c>
      <c r="U213">
        <f t="shared" si="73"/>
        <v>0</v>
      </c>
      <c r="V213" s="30">
        <f t="shared" si="74"/>
        <v>34405.248474193737</v>
      </c>
      <c r="W213" s="30">
        <f t="shared" si="64"/>
        <v>34405.248474193737</v>
      </c>
      <c r="X213" s="30">
        <f t="shared" si="75"/>
        <v>34405.248474193737</v>
      </c>
      <c r="Y213">
        <f t="shared" si="76"/>
        <v>0</v>
      </c>
    </row>
    <row r="214" spans="1:25" x14ac:dyDescent="0.25">
      <c r="A214" s="4" t="s">
        <v>1073</v>
      </c>
      <c r="B214" s="7" t="s">
        <v>561</v>
      </c>
      <c r="C214" s="2" t="s">
        <v>1074</v>
      </c>
      <c r="D214">
        <f>VLOOKUP(B214,'Model allocations'!$A$1:$L$319,3,FALSE)</f>
        <v>447076.54259291297</v>
      </c>
      <c r="E214" s="32">
        <f>VLOOKUP(B214,'Initial adjusted formula count'!$A$1:$P$319,12,FALSE)</f>
        <v>0.152104591836735</v>
      </c>
      <c r="F214">
        <f>VLOOKUP(B214,'Model allocations'!$A$1:$L$319,8,FALSE)</f>
        <v>410350.41755341738</v>
      </c>
      <c r="G214" s="31">
        <f t="shared" si="65"/>
        <v>0.9</v>
      </c>
      <c r="H214">
        <f t="shared" si="66"/>
        <v>402368.88833362167</v>
      </c>
      <c r="I214">
        <f t="shared" si="58"/>
        <v>0</v>
      </c>
      <c r="J214">
        <f t="shared" si="59"/>
        <v>410350.41755341738</v>
      </c>
      <c r="K214">
        <f t="shared" si="60"/>
        <v>410290.05750168674</v>
      </c>
      <c r="L214">
        <f t="shared" si="67"/>
        <v>410290.05750168674</v>
      </c>
      <c r="M214">
        <f t="shared" si="61"/>
        <v>0</v>
      </c>
      <c r="N214" s="30">
        <f t="shared" si="68"/>
        <v>410290.05750168674</v>
      </c>
      <c r="O214" s="30">
        <f t="shared" si="62"/>
        <v>410282.58805476024</v>
      </c>
      <c r="P214" s="30">
        <f t="shared" si="69"/>
        <v>410282.58805476024</v>
      </c>
      <c r="Q214">
        <f t="shared" si="70"/>
        <v>0</v>
      </c>
      <c r="R214" s="30">
        <f t="shared" si="71"/>
        <v>410282.58805476024</v>
      </c>
      <c r="S214" s="30">
        <f t="shared" si="63"/>
        <v>410282.5880547603</v>
      </c>
      <c r="T214" s="30">
        <f t="shared" si="72"/>
        <v>410282.5880547603</v>
      </c>
      <c r="U214">
        <f t="shared" si="73"/>
        <v>0</v>
      </c>
      <c r="V214" s="30">
        <f t="shared" si="74"/>
        <v>410282.5880547603</v>
      </c>
      <c r="W214" s="30">
        <f t="shared" si="64"/>
        <v>410282.58805476036</v>
      </c>
      <c r="X214" s="30">
        <f t="shared" si="75"/>
        <v>410282.58805476036</v>
      </c>
      <c r="Y214">
        <f t="shared" si="76"/>
        <v>0</v>
      </c>
    </row>
    <row r="215" spans="1:25" x14ac:dyDescent="0.25">
      <c r="A215" s="4" t="s">
        <v>1075</v>
      </c>
      <c r="B215" s="7" t="s">
        <v>201</v>
      </c>
      <c r="C215" s="2" t="s">
        <v>1076</v>
      </c>
      <c r="D215">
        <f>VLOOKUP(B215,'Model allocations'!$A$1:$L$319,3,FALSE)</f>
        <v>130074.80963689386</v>
      </c>
      <c r="E215" s="32">
        <f>VLOOKUP(B215,'Initial adjusted formula count'!$A$1:$P$319,12,FALSE)</f>
        <v>0.106341463414634</v>
      </c>
      <c r="F215">
        <f>VLOOKUP(B215,'Model allocations'!$A$1:$L$319,8,FALSE)</f>
        <v>110563.58819135977</v>
      </c>
      <c r="G215" s="31">
        <f t="shared" si="65"/>
        <v>0.85</v>
      </c>
      <c r="H215">
        <f t="shared" si="66"/>
        <v>110563.58819135977</v>
      </c>
      <c r="I215">
        <f t="shared" si="58"/>
        <v>0</v>
      </c>
      <c r="J215">
        <f t="shared" si="59"/>
        <v>110563.58819135977</v>
      </c>
      <c r="K215">
        <f t="shared" si="60"/>
        <v>110547.32495969902</v>
      </c>
      <c r="L215">
        <f t="shared" si="67"/>
        <v>110547.32495969902</v>
      </c>
      <c r="M215">
        <f t="shared" si="61"/>
        <v>110563.58819135977</v>
      </c>
      <c r="N215" s="30">
        <f t="shared" si="68"/>
        <v>0</v>
      </c>
      <c r="O215" s="30">
        <f t="shared" si="62"/>
        <v>0</v>
      </c>
      <c r="P215" s="30">
        <f t="shared" si="69"/>
        <v>110563.58819135977</v>
      </c>
      <c r="Q215">
        <f t="shared" si="70"/>
        <v>0</v>
      </c>
      <c r="R215" s="30">
        <f t="shared" si="71"/>
        <v>0</v>
      </c>
      <c r="S215" s="30">
        <f t="shared" si="63"/>
        <v>0</v>
      </c>
      <c r="T215" s="30">
        <f t="shared" si="72"/>
        <v>110563.58819135977</v>
      </c>
      <c r="U215">
        <f t="shared" si="73"/>
        <v>0</v>
      </c>
      <c r="V215" s="30">
        <f t="shared" si="74"/>
        <v>0</v>
      </c>
      <c r="W215" s="30">
        <f t="shared" si="64"/>
        <v>0</v>
      </c>
      <c r="X215" s="30">
        <f t="shared" si="75"/>
        <v>110563.58819135977</v>
      </c>
      <c r="Y215">
        <f t="shared" si="76"/>
        <v>0</v>
      </c>
    </row>
    <row r="216" spans="1:25" x14ac:dyDescent="0.25">
      <c r="A216" s="4" t="s">
        <v>15</v>
      </c>
      <c r="B216" s="7" t="s">
        <v>72</v>
      </c>
      <c r="C216" s="2" t="s">
        <v>1077</v>
      </c>
      <c r="D216">
        <f>VLOOKUP(B216,'Model allocations'!$A$1:$L$319,3,FALSE)</f>
        <v>45401.054598303781</v>
      </c>
      <c r="E216" s="32">
        <f>VLOOKUP(B216,'Initial adjusted formula count'!$A$1:$P$319,12,FALSE)</f>
        <v>0.154542884503613</v>
      </c>
      <c r="F216">
        <f>VLOOKUP(B216,'Model allocations'!$A$1:$L$319,8,FALSE)</f>
        <v>49269.88785428775</v>
      </c>
      <c r="G216" s="31">
        <f t="shared" si="65"/>
        <v>0.9</v>
      </c>
      <c r="H216">
        <f t="shared" si="66"/>
        <v>40860.949138473406</v>
      </c>
      <c r="I216">
        <f t="shared" si="58"/>
        <v>0</v>
      </c>
      <c r="J216">
        <f t="shared" si="59"/>
        <v>49269.88785428775</v>
      </c>
      <c r="K216">
        <f t="shared" si="60"/>
        <v>49262.640553316596</v>
      </c>
      <c r="L216">
        <f t="shared" si="67"/>
        <v>49262.640553316596</v>
      </c>
      <c r="M216">
        <f t="shared" si="61"/>
        <v>0</v>
      </c>
      <c r="N216" s="30">
        <f t="shared" si="68"/>
        <v>49262.640553316596</v>
      </c>
      <c r="O216" s="30">
        <f t="shared" si="62"/>
        <v>49261.743712965865</v>
      </c>
      <c r="P216" s="30">
        <f t="shared" si="69"/>
        <v>49261.743712965865</v>
      </c>
      <c r="Q216">
        <f t="shared" si="70"/>
        <v>0</v>
      </c>
      <c r="R216" s="30">
        <f t="shared" si="71"/>
        <v>49261.743712965865</v>
      </c>
      <c r="S216" s="30">
        <f t="shared" si="63"/>
        <v>49261.743712965872</v>
      </c>
      <c r="T216" s="30">
        <f t="shared" si="72"/>
        <v>49261.743712965872</v>
      </c>
      <c r="U216">
        <f t="shared" si="73"/>
        <v>0</v>
      </c>
      <c r="V216" s="30">
        <f t="shared" si="74"/>
        <v>49261.743712965872</v>
      </c>
      <c r="W216" s="30">
        <f t="shared" si="64"/>
        <v>49261.743712965879</v>
      </c>
      <c r="X216" s="30">
        <f t="shared" si="75"/>
        <v>49261.743712965879</v>
      </c>
      <c r="Y216">
        <f t="shared" si="76"/>
        <v>0</v>
      </c>
    </row>
    <row r="217" spans="1:25" x14ac:dyDescent="0.25">
      <c r="A217" s="4" t="s">
        <v>22</v>
      </c>
      <c r="B217" s="7" t="s">
        <v>75</v>
      </c>
      <c r="C217" s="2" t="s">
        <v>1078</v>
      </c>
      <c r="D217">
        <f>VLOOKUP(B217,'Model allocations'!$A$1:$L$319,3,FALSE)</f>
        <v>61859.745539706004</v>
      </c>
      <c r="E217" s="32">
        <f>VLOOKUP(B217,'Initial adjusted formula count'!$A$1:$P$319,12,FALSE)</f>
        <v>0.24748669826425601</v>
      </c>
      <c r="F217">
        <f>VLOOKUP(B217,'Model allocations'!$A$1:$L$319,8,FALSE)</f>
        <v>65588.011319609854</v>
      </c>
      <c r="G217" s="31">
        <f t="shared" si="65"/>
        <v>0.9</v>
      </c>
      <c r="H217">
        <f t="shared" si="66"/>
        <v>55673.770985735406</v>
      </c>
      <c r="I217">
        <f t="shared" si="58"/>
        <v>0</v>
      </c>
      <c r="J217">
        <f t="shared" si="59"/>
        <v>65588.011319609854</v>
      </c>
      <c r="K217">
        <f t="shared" si="60"/>
        <v>65578.363721881629</v>
      </c>
      <c r="L217">
        <f t="shared" si="67"/>
        <v>65578.363721881629</v>
      </c>
      <c r="M217">
        <f t="shared" si="61"/>
        <v>0</v>
      </c>
      <c r="N217" s="30">
        <f t="shared" si="68"/>
        <v>65578.363721881629</v>
      </c>
      <c r="O217" s="30">
        <f t="shared" si="62"/>
        <v>65577.169849160637</v>
      </c>
      <c r="P217" s="30">
        <f t="shared" si="69"/>
        <v>65577.169849160637</v>
      </c>
      <c r="Q217">
        <f t="shared" si="70"/>
        <v>0</v>
      </c>
      <c r="R217" s="30">
        <f t="shared" si="71"/>
        <v>65577.169849160637</v>
      </c>
      <c r="S217" s="30">
        <f t="shared" si="63"/>
        <v>65577.169849160637</v>
      </c>
      <c r="T217" s="30">
        <f t="shared" si="72"/>
        <v>65577.169849160637</v>
      </c>
      <c r="U217">
        <f t="shared" si="73"/>
        <v>0</v>
      </c>
      <c r="V217" s="30">
        <f t="shared" si="74"/>
        <v>65577.169849160637</v>
      </c>
      <c r="W217" s="30">
        <f t="shared" si="64"/>
        <v>65577.169849160637</v>
      </c>
      <c r="X217" s="30">
        <f t="shared" si="75"/>
        <v>65577.169849160637</v>
      </c>
      <c r="Y217">
        <f t="shared" si="76"/>
        <v>0</v>
      </c>
    </row>
    <row r="218" spans="1:25" x14ac:dyDescent="0.25">
      <c r="A218" s="4" t="s">
        <v>1079</v>
      </c>
      <c r="B218" s="7" t="s">
        <v>563</v>
      </c>
      <c r="C218" s="2" t="s">
        <v>1080</v>
      </c>
      <c r="D218">
        <f>VLOOKUP(B218,'Model allocations'!$A$1:$L$319,3,FALSE)</f>
        <v>88870.987950672847</v>
      </c>
      <c r="E218" s="32">
        <f>VLOOKUP(B218,'Initial adjusted formula count'!$A$1:$P$319,12,FALSE)</f>
        <v>0.17965023847376799</v>
      </c>
      <c r="F218">
        <f>VLOOKUP(B218,'Model allocations'!$A$1:$L$319,8,FALSE)</f>
        <v>97210.895562968872</v>
      </c>
      <c r="G218" s="31">
        <f t="shared" si="65"/>
        <v>0.9</v>
      </c>
      <c r="H218">
        <f t="shared" si="66"/>
        <v>79983.889155605561</v>
      </c>
      <c r="I218">
        <f t="shared" si="58"/>
        <v>0</v>
      </c>
      <c r="J218">
        <f t="shared" si="59"/>
        <v>97210.895562968872</v>
      </c>
      <c r="K218">
        <f t="shared" si="60"/>
        <v>97196.596431217171</v>
      </c>
      <c r="L218">
        <f t="shared" si="67"/>
        <v>97196.596431217171</v>
      </c>
      <c r="M218">
        <f t="shared" si="61"/>
        <v>0</v>
      </c>
      <c r="N218" s="30">
        <f t="shared" si="68"/>
        <v>97196.596431217171</v>
      </c>
      <c r="O218" s="30">
        <f t="shared" si="62"/>
        <v>97194.826939597275</v>
      </c>
      <c r="P218" s="30">
        <f t="shared" si="69"/>
        <v>97194.826939597275</v>
      </c>
      <c r="Q218">
        <f t="shared" si="70"/>
        <v>0</v>
      </c>
      <c r="R218" s="30">
        <f t="shared" si="71"/>
        <v>97194.826939597275</v>
      </c>
      <c r="S218" s="30">
        <f t="shared" si="63"/>
        <v>97194.826939597289</v>
      </c>
      <c r="T218" s="30">
        <f t="shared" si="72"/>
        <v>97194.826939597289</v>
      </c>
      <c r="U218">
        <f t="shared" si="73"/>
        <v>0</v>
      </c>
      <c r="V218" s="30">
        <f t="shared" si="74"/>
        <v>97194.826939597289</v>
      </c>
      <c r="W218" s="30">
        <f t="shared" si="64"/>
        <v>97194.826939597304</v>
      </c>
      <c r="X218" s="30">
        <f t="shared" si="75"/>
        <v>97194.826939597304</v>
      </c>
      <c r="Y218">
        <f t="shared" si="76"/>
        <v>0</v>
      </c>
    </row>
    <row r="219" spans="1:25" x14ac:dyDescent="0.25">
      <c r="A219" s="4" t="s">
        <v>1081</v>
      </c>
      <c r="B219" s="7" t="s">
        <v>565</v>
      </c>
      <c r="C219" s="2" t="s">
        <v>1082</v>
      </c>
      <c r="D219">
        <f>VLOOKUP(B219,'Model allocations'!$A$1:$L$319,3,FALSE)</f>
        <v>101369.9180464802</v>
      </c>
      <c r="E219" s="32">
        <f>VLOOKUP(B219,'Initial adjusted formula count'!$A$1:$P$319,12,FALSE)</f>
        <v>0.12676056338028199</v>
      </c>
      <c r="F219">
        <f>VLOOKUP(B219,'Model allocations'!$A$1:$L$319,8,FALSE)</f>
        <v>108394.44991977059</v>
      </c>
      <c r="G219" s="31">
        <f t="shared" si="65"/>
        <v>0.85</v>
      </c>
      <c r="H219">
        <f t="shared" si="66"/>
        <v>86164.430339508166</v>
      </c>
      <c r="I219">
        <f t="shared" si="58"/>
        <v>0</v>
      </c>
      <c r="J219">
        <f t="shared" si="59"/>
        <v>108394.44991977059</v>
      </c>
      <c r="K219">
        <f t="shared" si="60"/>
        <v>108378.50575516249</v>
      </c>
      <c r="L219">
        <f t="shared" si="67"/>
        <v>108378.50575516249</v>
      </c>
      <c r="M219">
        <f t="shared" si="61"/>
        <v>0</v>
      </c>
      <c r="N219" s="30">
        <f t="shared" si="68"/>
        <v>108378.50575516249</v>
      </c>
      <c r="O219" s="30">
        <f t="shared" si="62"/>
        <v>108376.53269371022</v>
      </c>
      <c r="P219" s="30">
        <f t="shared" si="69"/>
        <v>108376.53269371022</v>
      </c>
      <c r="Q219">
        <f t="shared" si="70"/>
        <v>0</v>
      </c>
      <c r="R219" s="30">
        <f t="shared" si="71"/>
        <v>108376.53269371022</v>
      </c>
      <c r="S219" s="30">
        <f t="shared" si="63"/>
        <v>108376.53269371025</v>
      </c>
      <c r="T219" s="30">
        <f t="shared" si="72"/>
        <v>108376.53269371025</v>
      </c>
      <c r="U219">
        <f t="shared" si="73"/>
        <v>0</v>
      </c>
      <c r="V219" s="30">
        <f t="shared" si="74"/>
        <v>108376.53269371025</v>
      </c>
      <c r="W219" s="30">
        <f t="shared" si="64"/>
        <v>108376.53269371027</v>
      </c>
      <c r="X219" s="30">
        <f t="shared" si="75"/>
        <v>108376.53269371027</v>
      </c>
      <c r="Y219">
        <f t="shared" si="76"/>
        <v>0</v>
      </c>
    </row>
    <row r="220" spans="1:25" x14ac:dyDescent="0.25">
      <c r="A220" s="4" t="s">
        <v>1083</v>
      </c>
      <c r="B220" s="7" t="s">
        <v>567</v>
      </c>
      <c r="C220" s="2" t="s">
        <v>1084</v>
      </c>
      <c r="D220">
        <f>VLOOKUP(B220,'Model allocations'!$A$1:$L$319,3,FALSE)</f>
        <v>1961431.0315907416</v>
      </c>
      <c r="E220" s="32">
        <f>VLOOKUP(B220,'Initial adjusted formula count'!$A$1:$P$319,12,FALSE)</f>
        <v>0.13021053749922801</v>
      </c>
      <c r="F220">
        <f>VLOOKUP(B220,'Model allocations'!$A$1:$L$319,8,FALSE)</f>
        <v>1950824.3072887254</v>
      </c>
      <c r="G220" s="31">
        <f t="shared" si="65"/>
        <v>0.85</v>
      </c>
      <c r="H220">
        <f t="shared" si="66"/>
        <v>1667216.3768521303</v>
      </c>
      <c r="I220">
        <f t="shared" si="58"/>
        <v>0</v>
      </c>
      <c r="J220">
        <f t="shared" si="59"/>
        <v>1950824.3072887254</v>
      </c>
      <c r="K220">
        <f t="shared" si="60"/>
        <v>1950537.3528929981</v>
      </c>
      <c r="L220">
        <f t="shared" si="67"/>
        <v>1950537.3528929981</v>
      </c>
      <c r="M220">
        <f t="shared" si="61"/>
        <v>0</v>
      </c>
      <c r="N220" s="30">
        <f t="shared" si="68"/>
        <v>1950537.3528929981</v>
      </c>
      <c r="O220" s="30">
        <f t="shared" si="62"/>
        <v>1950501.8428069768</v>
      </c>
      <c r="P220" s="30">
        <f t="shared" si="69"/>
        <v>1950501.8428069768</v>
      </c>
      <c r="Q220">
        <f t="shared" si="70"/>
        <v>0</v>
      </c>
      <c r="R220" s="30">
        <f t="shared" si="71"/>
        <v>1950501.8428069768</v>
      </c>
      <c r="S220" s="30">
        <f t="shared" si="63"/>
        <v>1950501.8428069772</v>
      </c>
      <c r="T220" s="30">
        <f t="shared" si="72"/>
        <v>1950501.8428069772</v>
      </c>
      <c r="U220">
        <f t="shared" si="73"/>
        <v>0</v>
      </c>
      <c r="V220" s="30">
        <f t="shared" si="74"/>
        <v>1950501.8428069772</v>
      </c>
      <c r="W220" s="30">
        <f t="shared" si="64"/>
        <v>1950501.8428069775</v>
      </c>
      <c r="X220" s="30">
        <f t="shared" si="75"/>
        <v>1950501.8428069775</v>
      </c>
      <c r="Y220">
        <f t="shared" si="76"/>
        <v>0</v>
      </c>
    </row>
    <row r="221" spans="1:25" x14ac:dyDescent="0.25">
      <c r="A221" s="4" t="s">
        <v>1085</v>
      </c>
      <c r="B221" s="7" t="s">
        <v>568</v>
      </c>
      <c r="C221" s="2" t="s">
        <v>1086</v>
      </c>
      <c r="D221">
        <f>VLOOKUP(B221,'Model allocations'!$A$1:$L$319,3,FALSE)</f>
        <v>73994.619322698141</v>
      </c>
      <c r="E221" s="32">
        <f>VLOOKUP(B221,'Initial adjusted formula count'!$A$1:$P$319,12,FALSE)</f>
        <v>0.247910863509749</v>
      </c>
      <c r="F221">
        <f>VLOOKUP(B221,'Model allocations'!$A$1:$L$319,8,FALSE)</f>
        <v>76564.333673488742</v>
      </c>
      <c r="G221" s="31">
        <f t="shared" si="65"/>
        <v>0.9</v>
      </c>
      <c r="H221">
        <f t="shared" si="66"/>
        <v>66595.157390428329</v>
      </c>
      <c r="I221">
        <f t="shared" si="58"/>
        <v>0</v>
      </c>
      <c r="J221">
        <f t="shared" si="59"/>
        <v>76564.333673488742</v>
      </c>
      <c r="K221">
        <f t="shared" si="60"/>
        <v>76553.071525471911</v>
      </c>
      <c r="L221">
        <f t="shared" si="67"/>
        <v>76553.071525471911</v>
      </c>
      <c r="M221">
        <f t="shared" si="61"/>
        <v>0</v>
      </c>
      <c r="N221" s="30">
        <f t="shared" si="68"/>
        <v>76553.071525471911</v>
      </c>
      <c r="O221" s="30">
        <f t="shared" si="62"/>
        <v>76551.677855081012</v>
      </c>
      <c r="P221" s="30">
        <f t="shared" si="69"/>
        <v>76551.677855081012</v>
      </c>
      <c r="Q221">
        <f t="shared" si="70"/>
        <v>0</v>
      </c>
      <c r="R221" s="30">
        <f t="shared" si="71"/>
        <v>76551.677855081012</v>
      </c>
      <c r="S221" s="30">
        <f t="shared" si="63"/>
        <v>76551.677855081012</v>
      </c>
      <c r="T221" s="30">
        <f t="shared" si="72"/>
        <v>76551.677855081012</v>
      </c>
      <c r="U221">
        <f t="shared" si="73"/>
        <v>0</v>
      </c>
      <c r="V221" s="30">
        <f t="shared" si="74"/>
        <v>76551.677855081012</v>
      </c>
      <c r="W221" s="30">
        <f t="shared" si="64"/>
        <v>76551.677855081012</v>
      </c>
      <c r="X221" s="30">
        <f t="shared" si="75"/>
        <v>76551.677855081012</v>
      </c>
      <c r="Y221">
        <f t="shared" si="76"/>
        <v>0</v>
      </c>
    </row>
    <row r="222" spans="1:25" x14ac:dyDescent="0.25">
      <c r="A222" s="4" t="s">
        <v>1087</v>
      </c>
      <c r="B222" s="7" t="s">
        <v>203</v>
      </c>
      <c r="C222" s="2" t="s">
        <v>1088</v>
      </c>
      <c r="D222">
        <f>VLOOKUP(B222,'Model allocations'!$A$1:$L$319,3,FALSE)</f>
        <v>1224803.7975747276</v>
      </c>
      <c r="E222" s="32">
        <f>VLOOKUP(B222,'Initial adjusted formula count'!$A$1:$P$319,12,FALSE)</f>
        <v>8.6653322141150596E-2</v>
      </c>
      <c r="F222">
        <f>VLOOKUP(B222,'Model allocations'!$A$1:$L$319,8,FALSE)</f>
        <v>1154486.9189867631</v>
      </c>
      <c r="G222" s="31">
        <f t="shared" si="65"/>
        <v>0.85</v>
      </c>
      <c r="H222">
        <f t="shared" si="66"/>
        <v>1041083.2279385184</v>
      </c>
      <c r="I222">
        <f t="shared" si="58"/>
        <v>0</v>
      </c>
      <c r="J222">
        <f t="shared" si="59"/>
        <v>1154486.9189867631</v>
      </c>
      <c r="K222">
        <f t="shared" si="60"/>
        <v>1154317.100979588</v>
      </c>
      <c r="L222">
        <f t="shared" si="67"/>
        <v>1154317.100979588</v>
      </c>
      <c r="M222">
        <f t="shared" si="61"/>
        <v>0</v>
      </c>
      <c r="N222" s="30">
        <f t="shared" si="68"/>
        <v>1154317.100979588</v>
      </c>
      <c r="O222" s="30">
        <f t="shared" si="62"/>
        <v>1154296.0863091995</v>
      </c>
      <c r="P222" s="30">
        <f t="shared" si="69"/>
        <v>1154296.0863091995</v>
      </c>
      <c r="Q222">
        <f t="shared" si="70"/>
        <v>0</v>
      </c>
      <c r="R222" s="30">
        <f t="shared" si="71"/>
        <v>1154296.0863091995</v>
      </c>
      <c r="S222" s="30">
        <f t="shared" si="63"/>
        <v>1154296.0863091997</v>
      </c>
      <c r="T222" s="30">
        <f t="shared" si="72"/>
        <v>1154296.0863091997</v>
      </c>
      <c r="U222">
        <f t="shared" si="73"/>
        <v>0</v>
      </c>
      <c r="V222" s="30">
        <f t="shared" si="74"/>
        <v>1154296.0863091997</v>
      </c>
      <c r="W222" s="30">
        <f t="shared" si="64"/>
        <v>1154296.0863091997</v>
      </c>
      <c r="X222" s="30">
        <f t="shared" si="75"/>
        <v>1154296.0863091997</v>
      </c>
      <c r="Y222">
        <f t="shared" si="76"/>
        <v>0</v>
      </c>
    </row>
    <row r="223" spans="1:25" x14ac:dyDescent="0.25">
      <c r="A223" s="4" t="s">
        <v>1089</v>
      </c>
      <c r="B223" s="7" t="s">
        <v>205</v>
      </c>
      <c r="C223" s="2" t="s">
        <v>1090</v>
      </c>
      <c r="D223">
        <f>VLOOKUP(B223,'Model allocations'!$A$1:$L$319,3,FALSE)</f>
        <v>214098.28915389362</v>
      </c>
      <c r="E223" s="32">
        <f>VLOOKUP(B223,'Initial adjusted formula count'!$A$1:$P$319,12,FALSE)</f>
        <v>4.3057571359458202E-2</v>
      </c>
      <c r="F223">
        <f>VLOOKUP(B223,'Model allocations'!$A$1:$L$319,8,FALSE)</f>
        <v>181983.54578080957</v>
      </c>
      <c r="G223" s="31">
        <f t="shared" si="65"/>
        <v>0.85</v>
      </c>
      <c r="H223">
        <f t="shared" si="66"/>
        <v>181983.54578080957</v>
      </c>
      <c r="I223">
        <f t="shared" si="58"/>
        <v>0</v>
      </c>
      <c r="J223">
        <f t="shared" si="59"/>
        <v>181983.54578080957</v>
      </c>
      <c r="K223">
        <f t="shared" si="60"/>
        <v>181956.77710757914</v>
      </c>
      <c r="L223">
        <f t="shared" si="67"/>
        <v>181956.77710757914</v>
      </c>
      <c r="M223">
        <f t="shared" si="61"/>
        <v>181983.54578080957</v>
      </c>
      <c r="N223" s="30">
        <f t="shared" si="68"/>
        <v>0</v>
      </c>
      <c r="O223" s="30">
        <f t="shared" si="62"/>
        <v>0</v>
      </c>
      <c r="P223" s="30">
        <f t="shared" si="69"/>
        <v>181983.54578080957</v>
      </c>
      <c r="Q223">
        <f t="shared" si="70"/>
        <v>0</v>
      </c>
      <c r="R223" s="30">
        <f t="shared" si="71"/>
        <v>0</v>
      </c>
      <c r="S223" s="30">
        <f t="shared" si="63"/>
        <v>0</v>
      </c>
      <c r="T223" s="30">
        <f t="shared" si="72"/>
        <v>181983.54578080957</v>
      </c>
      <c r="U223">
        <f t="shared" si="73"/>
        <v>0</v>
      </c>
      <c r="V223" s="30">
        <f t="shared" si="74"/>
        <v>0</v>
      </c>
      <c r="W223" s="30">
        <f t="shared" si="64"/>
        <v>0</v>
      </c>
      <c r="X223" s="30">
        <f t="shared" si="75"/>
        <v>181983.54578080957</v>
      </c>
      <c r="Y223">
        <f t="shared" si="76"/>
        <v>0</v>
      </c>
    </row>
    <row r="224" spans="1:25" x14ac:dyDescent="0.25">
      <c r="A224" s="4" t="s">
        <v>1091</v>
      </c>
      <c r="B224" s="7" t="s">
        <v>207</v>
      </c>
      <c r="C224" s="2" t="s">
        <v>1092</v>
      </c>
      <c r="D224">
        <f>VLOOKUP(B224,'Model allocations'!$A$1:$L$319,3,FALSE)</f>
        <v>46051.330119894112</v>
      </c>
      <c r="E224" s="32">
        <f>VLOOKUP(B224,'Initial adjusted formula count'!$A$1:$P$319,12,FALSE)</f>
        <v>0.142517814726841</v>
      </c>
      <c r="F224">
        <f>VLOOKUP(B224,'Model allocations'!$A$1:$L$319,8,FALSE)</f>
        <v>51616.404723700296</v>
      </c>
      <c r="G224" s="31">
        <f t="shared" si="65"/>
        <v>0.85</v>
      </c>
      <c r="H224">
        <f t="shared" si="66"/>
        <v>39143.630601909994</v>
      </c>
      <c r="I224">
        <f t="shared" si="58"/>
        <v>0</v>
      </c>
      <c r="J224">
        <f t="shared" si="59"/>
        <v>51616.404723700296</v>
      </c>
      <c r="K224">
        <f t="shared" si="60"/>
        <v>51608.812264363107</v>
      </c>
      <c r="L224">
        <f t="shared" si="67"/>
        <v>51608.812264363107</v>
      </c>
      <c r="M224">
        <f t="shared" si="61"/>
        <v>0</v>
      </c>
      <c r="N224" s="30">
        <f t="shared" si="68"/>
        <v>51608.812264363107</v>
      </c>
      <c r="O224" s="30">
        <f t="shared" si="62"/>
        <v>51607.872711290591</v>
      </c>
      <c r="P224" s="30">
        <f t="shared" si="69"/>
        <v>51607.872711290591</v>
      </c>
      <c r="Q224">
        <f t="shared" si="70"/>
        <v>0</v>
      </c>
      <c r="R224" s="30">
        <f t="shared" si="71"/>
        <v>51607.872711290591</v>
      </c>
      <c r="S224" s="30">
        <f t="shared" si="63"/>
        <v>51607.872711290598</v>
      </c>
      <c r="T224" s="30">
        <f t="shared" si="72"/>
        <v>51607.872711290598</v>
      </c>
      <c r="U224">
        <f t="shared" si="73"/>
        <v>0</v>
      </c>
      <c r="V224" s="30">
        <f t="shared" si="74"/>
        <v>51607.872711290598</v>
      </c>
      <c r="W224" s="30">
        <f t="shared" si="64"/>
        <v>51607.872711290605</v>
      </c>
      <c r="X224" s="30">
        <f t="shared" si="75"/>
        <v>51607.872711290605</v>
      </c>
      <c r="Y224">
        <f t="shared" si="76"/>
        <v>0</v>
      </c>
    </row>
    <row r="225" spans="1:25" x14ac:dyDescent="0.25">
      <c r="A225" s="4" t="s">
        <v>1093</v>
      </c>
      <c r="B225" s="7" t="s">
        <v>300</v>
      </c>
      <c r="C225" s="2" t="s">
        <v>1094</v>
      </c>
      <c r="D225">
        <f>VLOOKUP(B225,'Model allocations'!$A$1:$L$319,3,FALSE)</f>
        <v>223474.59205701313</v>
      </c>
      <c r="E225" s="32">
        <f>VLOOKUP(B225,'Initial adjusted formula count'!$A$1:$P$319,12,FALSE)</f>
        <v>0.131862745098039</v>
      </c>
      <c r="F225">
        <f>VLOOKUP(B225,'Model allocations'!$A$1:$L$319,8,FALSE)</f>
        <v>231413.54784458969</v>
      </c>
      <c r="G225" s="31">
        <f t="shared" si="65"/>
        <v>0.85</v>
      </c>
      <c r="H225">
        <f t="shared" si="66"/>
        <v>189953.40324846117</v>
      </c>
      <c r="I225">
        <f t="shared" si="58"/>
        <v>0</v>
      </c>
      <c r="J225">
        <f t="shared" si="59"/>
        <v>231413.54784458969</v>
      </c>
      <c r="K225">
        <f t="shared" si="60"/>
        <v>231379.5083185613</v>
      </c>
      <c r="L225">
        <f t="shared" si="67"/>
        <v>231379.5083185613</v>
      </c>
      <c r="M225">
        <f t="shared" si="61"/>
        <v>0</v>
      </c>
      <c r="N225" s="30">
        <f t="shared" si="68"/>
        <v>231379.5083185613</v>
      </c>
      <c r="O225" s="30">
        <f t="shared" si="62"/>
        <v>231375.29598895289</v>
      </c>
      <c r="P225" s="30">
        <f t="shared" si="69"/>
        <v>231375.29598895289</v>
      </c>
      <c r="Q225">
        <f t="shared" si="70"/>
        <v>0</v>
      </c>
      <c r="R225" s="30">
        <f t="shared" si="71"/>
        <v>231375.29598895289</v>
      </c>
      <c r="S225" s="30">
        <f t="shared" si="63"/>
        <v>231375.29598895292</v>
      </c>
      <c r="T225" s="30">
        <f t="shared" si="72"/>
        <v>231375.29598895292</v>
      </c>
      <c r="U225">
        <f t="shared" si="73"/>
        <v>0</v>
      </c>
      <c r="V225" s="30">
        <f t="shared" si="74"/>
        <v>231375.29598895292</v>
      </c>
      <c r="W225" s="30">
        <f t="shared" si="64"/>
        <v>231375.29598895292</v>
      </c>
      <c r="X225" s="30">
        <f t="shared" si="75"/>
        <v>231375.29598895292</v>
      </c>
      <c r="Y225">
        <f t="shared" si="76"/>
        <v>0</v>
      </c>
    </row>
    <row r="226" spans="1:25" x14ac:dyDescent="0.25">
      <c r="A226" s="4" t="s">
        <v>1095</v>
      </c>
      <c r="B226" s="7" t="s">
        <v>209</v>
      </c>
      <c r="C226" s="2" t="s">
        <v>1096</v>
      </c>
      <c r="D226">
        <f>VLOOKUP(B226,'Model allocations'!$A$1:$L$319,3,FALSE)</f>
        <v>168854.87710627841</v>
      </c>
      <c r="E226" s="32">
        <f>VLOOKUP(B226,'Initial adjusted formula count'!$A$1:$P$319,12,FALSE)</f>
        <v>3.4935644864722899E-2</v>
      </c>
      <c r="F226">
        <f>VLOOKUP(B226,'Model allocations'!$A$1:$L$319,8,FALSE)</f>
        <v>143526.64554033664</v>
      </c>
      <c r="G226" s="31">
        <f t="shared" si="65"/>
        <v>0.85</v>
      </c>
      <c r="H226">
        <f t="shared" si="66"/>
        <v>143526.64554033664</v>
      </c>
      <c r="I226">
        <f t="shared" si="58"/>
        <v>0</v>
      </c>
      <c r="J226">
        <f t="shared" si="59"/>
        <v>143526.64554033664</v>
      </c>
      <c r="K226">
        <f t="shared" si="60"/>
        <v>143505.53364333604</v>
      </c>
      <c r="L226">
        <f t="shared" si="67"/>
        <v>143505.53364333604</v>
      </c>
      <c r="M226">
        <f t="shared" si="61"/>
        <v>143526.64554033664</v>
      </c>
      <c r="N226" s="30">
        <f t="shared" si="68"/>
        <v>0</v>
      </c>
      <c r="O226" s="30">
        <f t="shared" si="62"/>
        <v>0</v>
      </c>
      <c r="P226" s="30">
        <f t="shared" si="69"/>
        <v>143526.64554033664</v>
      </c>
      <c r="Q226">
        <f t="shared" si="70"/>
        <v>0</v>
      </c>
      <c r="R226" s="30">
        <f t="shared" si="71"/>
        <v>0</v>
      </c>
      <c r="S226" s="30">
        <f t="shared" si="63"/>
        <v>0</v>
      </c>
      <c r="T226" s="30">
        <f t="shared" si="72"/>
        <v>143526.64554033664</v>
      </c>
      <c r="U226">
        <f t="shared" si="73"/>
        <v>0</v>
      </c>
      <c r="V226" s="30">
        <f t="shared" si="74"/>
        <v>0</v>
      </c>
      <c r="W226" s="30">
        <f t="shared" si="64"/>
        <v>0</v>
      </c>
      <c r="X226" s="30">
        <f t="shared" si="75"/>
        <v>143526.64554033664</v>
      </c>
      <c r="Y226">
        <f t="shared" si="76"/>
        <v>0</v>
      </c>
    </row>
    <row r="227" spans="1:25" x14ac:dyDescent="0.25">
      <c r="A227" s="4" t="s">
        <v>1097</v>
      </c>
      <c r="B227" s="7" t="s">
        <v>570</v>
      </c>
      <c r="C227" s="2" t="s">
        <v>1098</v>
      </c>
      <c r="D227">
        <f>VLOOKUP(B227,'Model allocations'!$A$1:$L$319,3,FALSE)</f>
        <v>294082.17830949934</v>
      </c>
      <c r="E227" s="32">
        <f>VLOOKUP(B227,'Initial adjusted formula count'!$A$1:$P$319,12,FALSE)</f>
        <v>0.104561970125151</v>
      </c>
      <c r="F227">
        <f>VLOOKUP(B227,'Model allocations'!$A$1:$L$319,8,FALSE)</f>
        <v>249969.85156307442</v>
      </c>
      <c r="G227" s="31">
        <f t="shared" si="65"/>
        <v>0.85</v>
      </c>
      <c r="H227">
        <f t="shared" si="66"/>
        <v>249969.85156307442</v>
      </c>
      <c r="I227">
        <f t="shared" si="58"/>
        <v>0</v>
      </c>
      <c r="J227">
        <f t="shared" si="59"/>
        <v>249969.85156307442</v>
      </c>
      <c r="K227">
        <f t="shared" si="60"/>
        <v>249933.08251758057</v>
      </c>
      <c r="L227">
        <f t="shared" si="67"/>
        <v>249933.08251758057</v>
      </c>
      <c r="M227">
        <f t="shared" si="61"/>
        <v>249969.85156307442</v>
      </c>
      <c r="N227" s="30">
        <f t="shared" si="68"/>
        <v>0</v>
      </c>
      <c r="O227" s="30">
        <f t="shared" si="62"/>
        <v>0</v>
      </c>
      <c r="P227" s="30">
        <f t="shared" si="69"/>
        <v>249969.85156307442</v>
      </c>
      <c r="Q227">
        <f t="shared" si="70"/>
        <v>0</v>
      </c>
      <c r="R227" s="30">
        <f t="shared" si="71"/>
        <v>0</v>
      </c>
      <c r="S227" s="30">
        <f t="shared" si="63"/>
        <v>0</v>
      </c>
      <c r="T227" s="30">
        <f t="shared" si="72"/>
        <v>249969.85156307442</v>
      </c>
      <c r="U227">
        <f t="shared" si="73"/>
        <v>0</v>
      </c>
      <c r="V227" s="30">
        <f t="shared" si="74"/>
        <v>0</v>
      </c>
      <c r="W227" s="30">
        <f t="shared" si="64"/>
        <v>0</v>
      </c>
      <c r="X227" s="30">
        <f t="shared" si="75"/>
        <v>249969.85156307442</v>
      </c>
      <c r="Y227">
        <f t="shared" si="76"/>
        <v>0</v>
      </c>
    </row>
    <row r="228" spans="1:25" x14ac:dyDescent="0.25">
      <c r="A228" s="4" t="s">
        <v>1099</v>
      </c>
      <c r="B228" s="7" t="s">
        <v>302</v>
      </c>
      <c r="C228" s="2" t="s">
        <v>1100</v>
      </c>
      <c r="D228">
        <f>VLOOKUP(B228,'Model allocations'!$A$1:$L$319,3,FALSE)</f>
        <v>8079.1807227884419</v>
      </c>
      <c r="E228" s="32">
        <f>VLOOKUP(B228,'Initial adjusted formula count'!$A$1:$P$319,12,FALSE)</f>
        <v>0.119047619047619</v>
      </c>
      <c r="F228">
        <f>VLOOKUP(B228,'Model allocations'!$A$1:$L$319,8,FALSE)</f>
        <v>0</v>
      </c>
      <c r="G228" s="31">
        <f t="shared" si="65"/>
        <v>0.85</v>
      </c>
      <c r="H228">
        <f t="shared" si="66"/>
        <v>0</v>
      </c>
      <c r="I228">
        <f t="shared" si="58"/>
        <v>0</v>
      </c>
      <c r="J228">
        <f t="shared" si="59"/>
        <v>0</v>
      </c>
      <c r="K228">
        <f t="shared" si="60"/>
        <v>0</v>
      </c>
      <c r="L228">
        <f t="shared" si="67"/>
        <v>0</v>
      </c>
      <c r="M228">
        <f t="shared" si="61"/>
        <v>0</v>
      </c>
      <c r="N228" s="30">
        <f t="shared" si="68"/>
        <v>0</v>
      </c>
      <c r="O228" s="30">
        <f t="shared" si="62"/>
        <v>0</v>
      </c>
      <c r="P228" s="30">
        <f t="shared" si="69"/>
        <v>0</v>
      </c>
      <c r="Q228">
        <f t="shared" si="70"/>
        <v>0</v>
      </c>
      <c r="R228" s="30">
        <f t="shared" si="71"/>
        <v>0</v>
      </c>
      <c r="S228" s="30">
        <f t="shared" si="63"/>
        <v>0</v>
      </c>
      <c r="T228" s="30">
        <f t="shared" si="72"/>
        <v>0</v>
      </c>
      <c r="U228">
        <f t="shared" si="73"/>
        <v>0</v>
      </c>
      <c r="V228" s="30">
        <f t="shared" si="74"/>
        <v>0</v>
      </c>
      <c r="W228" s="30">
        <f t="shared" si="64"/>
        <v>0</v>
      </c>
      <c r="X228" s="30">
        <f t="shared" si="75"/>
        <v>0</v>
      </c>
      <c r="Y228">
        <f t="shared" si="76"/>
        <v>0</v>
      </c>
    </row>
    <row r="229" spans="1:25" x14ac:dyDescent="0.25">
      <c r="A229" s="4" t="s">
        <v>1101</v>
      </c>
      <c r="B229" s="7" t="s">
        <v>572</v>
      </c>
      <c r="C229" s="2" t="s">
        <v>1102</v>
      </c>
      <c r="D229">
        <f>VLOOKUP(B229,'Model allocations'!$A$1:$L$319,3,FALSE)</f>
        <v>30700.886746596065</v>
      </c>
      <c r="E229" s="32">
        <f>VLOOKUP(B229,'Initial adjusted formula count'!$A$1:$P$319,12,FALSE)</f>
        <v>0.139240506329114</v>
      </c>
      <c r="F229">
        <f>VLOOKUP(B229,'Model allocations'!$A$1:$L$319,8,FALSE)</f>
        <v>28389.022598035164</v>
      </c>
      <c r="G229" s="31">
        <f t="shared" si="65"/>
        <v>0.85</v>
      </c>
      <c r="H229">
        <f t="shared" si="66"/>
        <v>26095.753734606653</v>
      </c>
      <c r="I229">
        <f t="shared" si="58"/>
        <v>0</v>
      </c>
      <c r="J229">
        <f t="shared" si="59"/>
        <v>28389.022598035164</v>
      </c>
      <c r="K229">
        <f t="shared" si="60"/>
        <v>28384.846745399711</v>
      </c>
      <c r="L229">
        <f t="shared" si="67"/>
        <v>28384.846745399711</v>
      </c>
      <c r="M229">
        <f t="shared" si="61"/>
        <v>0</v>
      </c>
      <c r="N229" s="30">
        <f t="shared" si="68"/>
        <v>28384.846745399711</v>
      </c>
      <c r="O229" s="30">
        <f t="shared" si="62"/>
        <v>28384.32999120983</v>
      </c>
      <c r="P229" s="30">
        <f t="shared" si="69"/>
        <v>28384.32999120983</v>
      </c>
      <c r="Q229">
        <f t="shared" si="70"/>
        <v>0</v>
      </c>
      <c r="R229" s="30">
        <f t="shared" si="71"/>
        <v>28384.32999120983</v>
      </c>
      <c r="S229" s="30">
        <f t="shared" si="63"/>
        <v>28384.329991209834</v>
      </c>
      <c r="T229" s="30">
        <f t="shared" si="72"/>
        <v>28384.329991209834</v>
      </c>
      <c r="U229">
        <f t="shared" si="73"/>
        <v>0</v>
      </c>
      <c r="V229" s="30">
        <f t="shared" si="74"/>
        <v>28384.329991209834</v>
      </c>
      <c r="W229" s="30">
        <f t="shared" si="64"/>
        <v>28384.329991209834</v>
      </c>
      <c r="X229" s="30">
        <f t="shared" si="75"/>
        <v>28384.329991209834</v>
      </c>
      <c r="Y229">
        <f t="shared" si="76"/>
        <v>0</v>
      </c>
    </row>
    <row r="230" spans="1:25" x14ac:dyDescent="0.25">
      <c r="A230" s="4" t="s">
        <v>1103</v>
      </c>
      <c r="B230" s="7" t="s">
        <v>574</v>
      </c>
      <c r="C230" s="2" t="s">
        <v>1104</v>
      </c>
      <c r="D230">
        <f>VLOOKUP(B230,'Model allocations'!$A$1:$L$319,3,FALSE)</f>
        <v>269541.7995922488</v>
      </c>
      <c r="E230" s="32">
        <f>VLOOKUP(B230,'Initial adjusted formula count'!$A$1:$P$319,12,FALSE)</f>
        <v>0.16048632218844999</v>
      </c>
      <c r="F230">
        <f>VLOOKUP(B230,'Model allocations'!$A$1:$L$319,8,FALSE)</f>
        <v>242587.61963302392</v>
      </c>
      <c r="G230" s="31">
        <f t="shared" si="65"/>
        <v>0.9</v>
      </c>
      <c r="H230">
        <f t="shared" si="66"/>
        <v>242587.61963302392</v>
      </c>
      <c r="I230">
        <f t="shared" si="58"/>
        <v>0</v>
      </c>
      <c r="J230">
        <f t="shared" si="59"/>
        <v>242587.61963302392</v>
      </c>
      <c r="K230">
        <f t="shared" si="60"/>
        <v>242551.93646896729</v>
      </c>
      <c r="L230">
        <f t="shared" si="67"/>
        <v>242551.93646896729</v>
      </c>
      <c r="M230">
        <f t="shared" si="61"/>
        <v>242587.61963302392</v>
      </c>
      <c r="N230" s="30">
        <f t="shared" si="68"/>
        <v>0</v>
      </c>
      <c r="O230" s="30">
        <f t="shared" si="62"/>
        <v>0</v>
      </c>
      <c r="P230" s="30">
        <f t="shared" si="69"/>
        <v>242587.61963302392</v>
      </c>
      <c r="Q230">
        <f t="shared" si="70"/>
        <v>0</v>
      </c>
      <c r="R230" s="30">
        <f t="shared" si="71"/>
        <v>0</v>
      </c>
      <c r="S230" s="30">
        <f t="shared" si="63"/>
        <v>0</v>
      </c>
      <c r="T230" s="30">
        <f t="shared" si="72"/>
        <v>242587.61963302392</v>
      </c>
      <c r="U230">
        <f t="shared" si="73"/>
        <v>0</v>
      </c>
      <c r="V230" s="30">
        <f t="shared" si="74"/>
        <v>0</v>
      </c>
      <c r="W230" s="30">
        <f t="shared" si="64"/>
        <v>0</v>
      </c>
      <c r="X230" s="30">
        <f t="shared" si="75"/>
        <v>242587.61963302392</v>
      </c>
      <c r="Y230">
        <f t="shared" si="76"/>
        <v>0</v>
      </c>
    </row>
    <row r="231" spans="1:25" x14ac:dyDescent="0.25">
      <c r="A231" s="4" t="s">
        <v>1105</v>
      </c>
      <c r="B231" s="7" t="s">
        <v>211</v>
      </c>
      <c r="C231" s="2" t="s">
        <v>1106</v>
      </c>
      <c r="D231">
        <f>VLOOKUP(B231,'Model allocations'!$A$1:$L$319,3,FALSE)</f>
        <v>96950.168673461274</v>
      </c>
      <c r="E231" s="32">
        <f>VLOOKUP(B231,'Initial adjusted formula count'!$A$1:$P$319,12,FALSE)</f>
        <v>8.8764044943820203E-2</v>
      </c>
      <c r="F231">
        <f>VLOOKUP(B231,'Model allocations'!$A$1:$L$319,8,FALSE)</f>
        <v>82407.643372442079</v>
      </c>
      <c r="G231" s="31">
        <f t="shared" si="65"/>
        <v>0.85</v>
      </c>
      <c r="H231">
        <f t="shared" si="66"/>
        <v>82407.643372442079</v>
      </c>
      <c r="I231">
        <f t="shared" si="58"/>
        <v>0</v>
      </c>
      <c r="J231">
        <f t="shared" si="59"/>
        <v>82407.643372442079</v>
      </c>
      <c r="K231">
        <f t="shared" si="60"/>
        <v>82395.521709092442</v>
      </c>
      <c r="L231">
        <f t="shared" si="67"/>
        <v>82395.521709092442</v>
      </c>
      <c r="M231">
        <f t="shared" si="61"/>
        <v>82407.643372442079</v>
      </c>
      <c r="N231" s="30">
        <f t="shared" si="68"/>
        <v>0</v>
      </c>
      <c r="O231" s="30">
        <f t="shared" si="62"/>
        <v>0</v>
      </c>
      <c r="P231" s="30">
        <f t="shared" si="69"/>
        <v>82407.643372442079</v>
      </c>
      <c r="Q231">
        <f t="shared" si="70"/>
        <v>0</v>
      </c>
      <c r="R231" s="30">
        <f t="shared" si="71"/>
        <v>0</v>
      </c>
      <c r="S231" s="30">
        <f t="shared" si="63"/>
        <v>0</v>
      </c>
      <c r="T231" s="30">
        <f t="shared" si="72"/>
        <v>82407.643372442079</v>
      </c>
      <c r="U231">
        <f t="shared" si="73"/>
        <v>0</v>
      </c>
      <c r="V231" s="30">
        <f t="shared" si="74"/>
        <v>0</v>
      </c>
      <c r="W231" s="30">
        <f t="shared" si="64"/>
        <v>0</v>
      </c>
      <c r="X231" s="30">
        <f t="shared" si="75"/>
        <v>82407.643372442079</v>
      </c>
      <c r="Y231">
        <f t="shared" si="76"/>
        <v>0</v>
      </c>
    </row>
    <row r="232" spans="1:25" x14ac:dyDescent="0.25">
      <c r="A232" s="4" t="s">
        <v>1107</v>
      </c>
      <c r="B232" s="7" t="s">
        <v>576</v>
      </c>
      <c r="C232" s="2" t="s">
        <v>1108</v>
      </c>
      <c r="D232">
        <f>VLOOKUP(B232,'Model allocations'!$A$1:$L$319,3,FALSE)</f>
        <v>17774.197590134576</v>
      </c>
      <c r="E232" s="32">
        <f>VLOOKUP(B232,'Initial adjusted formula count'!$A$1:$P$319,12,FALSE)</f>
        <v>0.163636363636364</v>
      </c>
      <c r="F232">
        <f>VLOOKUP(B232,'Model allocations'!$A$1:$L$319,8,FALSE)</f>
        <v>15996.777831121119</v>
      </c>
      <c r="G232" s="31">
        <f t="shared" si="65"/>
        <v>0.9</v>
      </c>
      <c r="H232">
        <f t="shared" si="66"/>
        <v>15996.777831121119</v>
      </c>
      <c r="I232">
        <f t="shared" si="58"/>
        <v>0</v>
      </c>
      <c r="J232">
        <f t="shared" si="59"/>
        <v>15996.777831121119</v>
      </c>
      <c r="K232">
        <f t="shared" si="60"/>
        <v>15994.424802353249</v>
      </c>
      <c r="L232">
        <f t="shared" si="67"/>
        <v>15994.424802353249</v>
      </c>
      <c r="M232">
        <f t="shared" si="61"/>
        <v>15996.777831121119</v>
      </c>
      <c r="N232" s="30">
        <f t="shared" si="68"/>
        <v>0</v>
      </c>
      <c r="O232" s="30">
        <f t="shared" si="62"/>
        <v>0</v>
      </c>
      <c r="P232" s="30">
        <f t="shared" si="69"/>
        <v>15996.777831121119</v>
      </c>
      <c r="Q232">
        <f t="shared" si="70"/>
        <v>0</v>
      </c>
      <c r="R232" s="30">
        <f t="shared" si="71"/>
        <v>0</v>
      </c>
      <c r="S232" s="30">
        <f t="shared" si="63"/>
        <v>0</v>
      </c>
      <c r="T232" s="30">
        <f t="shared" si="72"/>
        <v>15996.777831121119</v>
      </c>
      <c r="U232">
        <f t="shared" si="73"/>
        <v>0</v>
      </c>
      <c r="V232" s="30">
        <f t="shared" si="74"/>
        <v>0</v>
      </c>
      <c r="W232" s="30">
        <f t="shared" si="64"/>
        <v>0</v>
      </c>
      <c r="X232" s="30">
        <f t="shared" si="75"/>
        <v>15996.777831121119</v>
      </c>
      <c r="Y232">
        <f t="shared" si="76"/>
        <v>0</v>
      </c>
    </row>
    <row r="233" spans="1:25" x14ac:dyDescent="0.25">
      <c r="A233" s="8" t="s">
        <v>53</v>
      </c>
      <c r="B233" s="7" t="s">
        <v>86</v>
      </c>
      <c r="C233" s="2" t="s">
        <v>1109</v>
      </c>
      <c r="D233">
        <f>VLOOKUP(B233,'Model allocations'!$A$1:$L$319,3,FALSE)</f>
        <v>15812.640371767773</v>
      </c>
      <c r="E233" s="32">
        <f>VLOOKUP(B233,'Initial adjusted formula count'!$A$1:$P$319,12,FALSE)</f>
        <v>0.161881229070443</v>
      </c>
      <c r="F233">
        <f>VLOOKUP(B233,'Model allocations'!$A$1:$L$319,8,FALSE)</f>
        <v>18843.975139539496</v>
      </c>
      <c r="G233" s="31">
        <f t="shared" si="65"/>
        <v>0.9</v>
      </c>
      <c r="H233">
        <f t="shared" si="66"/>
        <v>14231.376334590996</v>
      </c>
      <c r="I233">
        <f t="shared" si="58"/>
        <v>0</v>
      </c>
      <c r="J233">
        <f t="shared" si="59"/>
        <v>18843.975139539496</v>
      </c>
      <c r="K233">
        <f t="shared" si="60"/>
        <v>18841.203305356859</v>
      </c>
      <c r="L233">
        <f t="shared" si="67"/>
        <v>18841.203305356859</v>
      </c>
      <c r="M233">
        <f t="shared" si="61"/>
        <v>0</v>
      </c>
      <c r="N233" s="30">
        <f t="shared" si="68"/>
        <v>18841.203305356859</v>
      </c>
      <c r="O233" s="30">
        <f t="shared" si="62"/>
        <v>18840.86029590404</v>
      </c>
      <c r="P233" s="30">
        <f t="shared" si="69"/>
        <v>18840.86029590404</v>
      </c>
      <c r="Q233">
        <f t="shared" si="70"/>
        <v>0</v>
      </c>
      <c r="R233" s="30">
        <f t="shared" si="71"/>
        <v>18840.86029590404</v>
      </c>
      <c r="S233" s="30">
        <f t="shared" si="63"/>
        <v>18840.860295904044</v>
      </c>
      <c r="T233" s="30">
        <f t="shared" si="72"/>
        <v>18840.860295904044</v>
      </c>
      <c r="U233">
        <f t="shared" si="73"/>
        <v>0</v>
      </c>
      <c r="V233" s="30">
        <f t="shared" si="74"/>
        <v>18840.860295904044</v>
      </c>
      <c r="W233" s="30">
        <f t="shared" si="64"/>
        <v>18840.860295904047</v>
      </c>
      <c r="X233" s="30">
        <f t="shared" si="75"/>
        <v>18840.860295904047</v>
      </c>
      <c r="Y233">
        <f t="shared" si="76"/>
        <v>0</v>
      </c>
    </row>
    <row r="234" spans="1:25" x14ac:dyDescent="0.25">
      <c r="A234" s="4" t="s">
        <v>49</v>
      </c>
      <c r="B234" s="7" t="s">
        <v>85</v>
      </c>
      <c r="C234" s="2" t="s">
        <v>1110</v>
      </c>
      <c r="D234">
        <f>VLOOKUP(B234,'Model allocations'!$A$1:$L$319,3,FALSE)</f>
        <v>0</v>
      </c>
      <c r="E234" s="32">
        <f>VLOOKUP(B234,'Initial adjusted formula count'!$A$1:$P$319,12,FALSE)</f>
        <v>6.2873869957482995E-2</v>
      </c>
      <c r="F234">
        <f>VLOOKUP(B234,'Model allocations'!$A$1:$L$319,8,FALSE)</f>
        <v>0</v>
      </c>
      <c r="G234" s="31">
        <f t="shared" si="65"/>
        <v>0.85</v>
      </c>
      <c r="H234">
        <f t="shared" si="66"/>
        <v>0</v>
      </c>
      <c r="I234">
        <f t="shared" si="58"/>
        <v>0</v>
      </c>
      <c r="J234">
        <f t="shared" si="59"/>
        <v>0</v>
      </c>
      <c r="K234">
        <f t="shared" si="60"/>
        <v>0</v>
      </c>
      <c r="L234">
        <f t="shared" si="67"/>
        <v>0</v>
      </c>
      <c r="M234">
        <f t="shared" si="61"/>
        <v>0</v>
      </c>
      <c r="N234" s="30">
        <f t="shared" si="68"/>
        <v>0</v>
      </c>
      <c r="O234" s="30">
        <f t="shared" si="62"/>
        <v>0</v>
      </c>
      <c r="P234" s="30">
        <f t="shared" si="69"/>
        <v>0</v>
      </c>
      <c r="Q234">
        <f t="shared" si="70"/>
        <v>0</v>
      </c>
      <c r="R234" s="30">
        <f t="shared" si="71"/>
        <v>0</v>
      </c>
      <c r="S234" s="30">
        <f t="shared" si="63"/>
        <v>0</v>
      </c>
      <c r="T234" s="30">
        <f t="shared" si="72"/>
        <v>0</v>
      </c>
      <c r="U234">
        <f t="shared" si="73"/>
        <v>0</v>
      </c>
      <c r="V234" s="30">
        <f t="shared" si="74"/>
        <v>0</v>
      </c>
      <c r="W234" s="30">
        <f t="shared" si="64"/>
        <v>0</v>
      </c>
      <c r="X234" s="30">
        <f t="shared" si="75"/>
        <v>0</v>
      </c>
      <c r="Y234">
        <f t="shared" si="76"/>
        <v>0</v>
      </c>
    </row>
    <row r="235" spans="1:25" x14ac:dyDescent="0.25">
      <c r="A235" s="4" t="s">
        <v>25</v>
      </c>
      <c r="B235" s="7" t="s">
        <v>62</v>
      </c>
      <c r="C235" s="2" t="s">
        <v>1111</v>
      </c>
      <c r="D235">
        <f>VLOOKUP(B235,'Model allocations'!$A$1:$L$319,3,FALSE)</f>
        <v>5592102.5008489871</v>
      </c>
      <c r="E235" s="32">
        <f>VLOOKUP(B235,'Initial adjusted formula count'!$A$1:$P$319,12,FALSE)</f>
        <v>8.5160606529718103E-2</v>
      </c>
      <c r="F235">
        <f>VLOOKUP(B235,'Model allocations'!$A$1:$L$319,8,FALSE)</f>
        <v>4981204.749301061</v>
      </c>
      <c r="G235" s="31">
        <f t="shared" si="65"/>
        <v>0.85</v>
      </c>
      <c r="H235">
        <f t="shared" si="66"/>
        <v>4753287.125721639</v>
      </c>
      <c r="I235">
        <f t="shared" si="58"/>
        <v>0</v>
      </c>
      <c r="J235">
        <f t="shared" si="59"/>
        <v>4981204.749301061</v>
      </c>
      <c r="K235">
        <f t="shared" si="60"/>
        <v>4980472.0443652608</v>
      </c>
      <c r="L235">
        <f t="shared" si="67"/>
        <v>4980472.0443652608</v>
      </c>
      <c r="M235">
        <f t="shared" si="61"/>
        <v>0</v>
      </c>
      <c r="N235" s="30">
        <f t="shared" si="68"/>
        <v>4980472.0443652608</v>
      </c>
      <c r="O235" s="30">
        <f t="shared" si="62"/>
        <v>4980381.373458365</v>
      </c>
      <c r="P235" s="30">
        <f t="shared" si="69"/>
        <v>4980381.373458365</v>
      </c>
      <c r="Q235">
        <f t="shared" si="70"/>
        <v>0</v>
      </c>
      <c r="R235" s="30">
        <f t="shared" si="71"/>
        <v>4980381.373458365</v>
      </c>
      <c r="S235" s="30">
        <f t="shared" si="63"/>
        <v>4980381.373458365</v>
      </c>
      <c r="T235" s="30">
        <f t="shared" si="72"/>
        <v>4980381.373458365</v>
      </c>
      <c r="U235">
        <f t="shared" si="73"/>
        <v>0</v>
      </c>
      <c r="V235" s="30">
        <f t="shared" si="74"/>
        <v>4980381.373458365</v>
      </c>
      <c r="W235" s="30">
        <f t="shared" si="64"/>
        <v>4980381.373458365</v>
      </c>
      <c r="X235" s="30">
        <f t="shared" si="75"/>
        <v>4980381.373458365</v>
      </c>
      <c r="Y235">
        <f t="shared" si="76"/>
        <v>0</v>
      </c>
    </row>
    <row r="236" spans="1:25" x14ac:dyDescent="0.25">
      <c r="A236" s="4" t="s">
        <v>1112</v>
      </c>
      <c r="B236" s="7" t="s">
        <v>304</v>
      </c>
      <c r="C236" s="2" t="s">
        <v>1113</v>
      </c>
      <c r="D236">
        <f>VLOOKUP(B236,'Model allocations'!$A$1:$L$319,3,FALSE)</f>
        <v>525954.66505352745</v>
      </c>
      <c r="E236" s="32">
        <f>VLOOKUP(B236,'Initial adjusted formula count'!$A$1:$P$319,12,FALSE)</f>
        <v>0.1206762534007</v>
      </c>
      <c r="F236">
        <f>VLOOKUP(B236,'Model allocations'!$A$1:$L$319,8,FALSE)</f>
        <v>534229.78889029787</v>
      </c>
      <c r="G236" s="31">
        <f t="shared" si="65"/>
        <v>0.85</v>
      </c>
      <c r="H236">
        <f t="shared" si="66"/>
        <v>447061.46529549832</v>
      </c>
      <c r="I236">
        <f t="shared" si="58"/>
        <v>0</v>
      </c>
      <c r="J236">
        <f t="shared" si="59"/>
        <v>534229.78889029787</v>
      </c>
      <c r="K236">
        <f t="shared" si="60"/>
        <v>534151.20693615801</v>
      </c>
      <c r="L236">
        <f t="shared" si="67"/>
        <v>534151.20693615801</v>
      </c>
      <c r="M236">
        <f t="shared" si="61"/>
        <v>0</v>
      </c>
      <c r="N236" s="30">
        <f t="shared" si="68"/>
        <v>534151.20693615801</v>
      </c>
      <c r="O236" s="30">
        <f t="shared" si="62"/>
        <v>534141.48256185756</v>
      </c>
      <c r="P236" s="30">
        <f t="shared" si="69"/>
        <v>534141.48256185756</v>
      </c>
      <c r="Q236">
        <f t="shared" si="70"/>
        <v>0</v>
      </c>
      <c r="R236" s="30">
        <f t="shared" si="71"/>
        <v>534141.48256185756</v>
      </c>
      <c r="S236" s="30">
        <f t="shared" si="63"/>
        <v>534141.48256185756</v>
      </c>
      <c r="T236" s="30">
        <f t="shared" si="72"/>
        <v>534141.48256185756</v>
      </c>
      <c r="U236">
        <f t="shared" si="73"/>
        <v>0</v>
      </c>
      <c r="V236" s="30">
        <f t="shared" si="74"/>
        <v>534141.48256185756</v>
      </c>
      <c r="W236" s="30">
        <f t="shared" si="64"/>
        <v>534141.48256185756</v>
      </c>
      <c r="X236" s="30">
        <f t="shared" si="75"/>
        <v>534141.48256185756</v>
      </c>
      <c r="Y236">
        <f t="shared" si="76"/>
        <v>0</v>
      </c>
    </row>
    <row r="237" spans="1:25" x14ac:dyDescent="0.25">
      <c r="A237" s="4" t="s">
        <v>1114</v>
      </c>
      <c r="B237" s="7" t="s">
        <v>578</v>
      </c>
      <c r="C237" s="2" t="s">
        <v>1115</v>
      </c>
      <c r="D237">
        <f>VLOOKUP(B237,'Model allocations'!$A$1:$L$319,3,FALSE)</f>
        <v>375681.90360966249</v>
      </c>
      <c r="E237" s="32">
        <f>VLOOKUP(B237,'Initial adjusted formula count'!$A$1:$P$319,12,FALSE)</f>
        <v>0.11419679195594901</v>
      </c>
      <c r="F237">
        <f>VLOOKUP(B237,'Model allocations'!$A$1:$L$319,8,FALSE)</f>
        <v>410350.41755341738</v>
      </c>
      <c r="G237" s="31">
        <f t="shared" si="65"/>
        <v>0.85</v>
      </c>
      <c r="H237">
        <f t="shared" si="66"/>
        <v>319329.61806821311</v>
      </c>
      <c r="I237">
        <f t="shared" si="58"/>
        <v>0</v>
      </c>
      <c r="J237">
        <f t="shared" si="59"/>
        <v>410350.41755341738</v>
      </c>
      <c r="K237">
        <f t="shared" si="60"/>
        <v>410290.05750168674</v>
      </c>
      <c r="L237">
        <f t="shared" si="67"/>
        <v>410290.05750168674</v>
      </c>
      <c r="M237">
        <f t="shared" si="61"/>
        <v>0</v>
      </c>
      <c r="N237" s="30">
        <f t="shared" si="68"/>
        <v>410290.05750168674</v>
      </c>
      <c r="O237" s="30">
        <f t="shared" si="62"/>
        <v>410282.58805476024</v>
      </c>
      <c r="P237" s="30">
        <f t="shared" si="69"/>
        <v>410282.58805476024</v>
      </c>
      <c r="Q237">
        <f t="shared" si="70"/>
        <v>0</v>
      </c>
      <c r="R237" s="30">
        <f t="shared" si="71"/>
        <v>410282.58805476024</v>
      </c>
      <c r="S237" s="30">
        <f t="shared" si="63"/>
        <v>410282.5880547603</v>
      </c>
      <c r="T237" s="30">
        <f t="shared" si="72"/>
        <v>410282.5880547603</v>
      </c>
      <c r="U237">
        <f t="shared" si="73"/>
        <v>0</v>
      </c>
      <c r="V237" s="30">
        <f t="shared" si="74"/>
        <v>410282.5880547603</v>
      </c>
      <c r="W237" s="30">
        <f t="shared" si="64"/>
        <v>410282.58805476036</v>
      </c>
      <c r="X237" s="30">
        <f t="shared" si="75"/>
        <v>410282.58805476036</v>
      </c>
      <c r="Y237">
        <f t="shared" si="76"/>
        <v>0</v>
      </c>
    </row>
    <row r="238" spans="1:25" x14ac:dyDescent="0.25">
      <c r="A238" s="4" t="s">
        <v>1116</v>
      </c>
      <c r="B238" s="7" t="s">
        <v>580</v>
      </c>
      <c r="C238" s="2" t="s">
        <v>1117</v>
      </c>
      <c r="D238">
        <f>VLOOKUP(B238,'Model allocations'!$A$1:$L$319,3,FALSE)</f>
        <v>63017.609637749825</v>
      </c>
      <c r="E238" s="32">
        <f>VLOOKUP(B238,'Initial adjusted formula count'!$A$1:$P$319,12,FALSE)</f>
        <v>0.27564102564102599</v>
      </c>
      <c r="F238">
        <f>VLOOKUP(B238,'Model allocations'!$A$1:$L$319,8,FALSE)</f>
        <v>73983.513437303729</v>
      </c>
      <c r="G238" s="31">
        <f t="shared" si="65"/>
        <v>0.9</v>
      </c>
      <c r="H238">
        <f t="shared" si="66"/>
        <v>56715.84867397484</v>
      </c>
      <c r="I238">
        <f t="shared" si="58"/>
        <v>0</v>
      </c>
      <c r="J238">
        <f t="shared" si="59"/>
        <v>73983.513437303729</v>
      </c>
      <c r="K238">
        <f t="shared" si="60"/>
        <v>73972.63091225375</v>
      </c>
      <c r="L238">
        <f t="shared" si="67"/>
        <v>73972.63091225375</v>
      </c>
      <c r="M238">
        <f t="shared" si="61"/>
        <v>0</v>
      </c>
      <c r="N238" s="30">
        <f t="shared" si="68"/>
        <v>73972.63091225375</v>
      </c>
      <c r="O238" s="30">
        <f t="shared" si="62"/>
        <v>73971.284219516485</v>
      </c>
      <c r="P238" s="30">
        <f t="shared" si="69"/>
        <v>73971.284219516485</v>
      </c>
      <c r="Q238">
        <f t="shared" si="70"/>
        <v>0</v>
      </c>
      <c r="R238" s="30">
        <f t="shared" si="71"/>
        <v>73971.284219516485</v>
      </c>
      <c r="S238" s="30">
        <f t="shared" si="63"/>
        <v>73971.284219516499</v>
      </c>
      <c r="T238" s="30">
        <f t="shared" si="72"/>
        <v>73971.284219516499</v>
      </c>
      <c r="U238">
        <f t="shared" si="73"/>
        <v>0</v>
      </c>
      <c r="V238" s="30">
        <f t="shared" si="74"/>
        <v>73971.284219516499</v>
      </c>
      <c r="W238" s="30">
        <f t="shared" si="64"/>
        <v>73971.284219516499</v>
      </c>
      <c r="X238" s="30">
        <f t="shared" si="75"/>
        <v>73971.284219516499</v>
      </c>
      <c r="Y238">
        <f t="shared" si="76"/>
        <v>0</v>
      </c>
    </row>
    <row r="239" spans="1:25" x14ac:dyDescent="0.25">
      <c r="A239" s="4" t="s">
        <v>1118</v>
      </c>
      <c r="B239" s="7" t="s">
        <v>582</v>
      </c>
      <c r="C239" s="2" t="s">
        <v>1119</v>
      </c>
      <c r="D239">
        <f>VLOOKUP(B239,'Model allocations'!$A$1:$L$319,3,FALSE)</f>
        <v>403151.11806714331</v>
      </c>
      <c r="E239" s="32">
        <f>VLOOKUP(B239,'Initial adjusted formula count'!$A$1:$P$319,12,FALSE)</f>
        <v>0.13420050761421301</v>
      </c>
      <c r="F239">
        <f>VLOOKUP(B239,'Model allocations'!$A$1:$L$319,8,FALSE)</f>
        <v>363895.6533020871</v>
      </c>
      <c r="G239" s="31">
        <f t="shared" si="65"/>
        <v>0.85</v>
      </c>
      <c r="H239">
        <f t="shared" si="66"/>
        <v>342678.45035707182</v>
      </c>
      <c r="I239">
        <f t="shared" si="58"/>
        <v>0</v>
      </c>
      <c r="J239">
        <f t="shared" si="59"/>
        <v>363895.6533020871</v>
      </c>
      <c r="K239">
        <f t="shared" si="60"/>
        <v>363842.12646375992</v>
      </c>
      <c r="L239">
        <f t="shared" si="67"/>
        <v>363842.12646375992</v>
      </c>
      <c r="M239">
        <f t="shared" si="61"/>
        <v>0</v>
      </c>
      <c r="N239" s="30">
        <f t="shared" si="68"/>
        <v>363842.12646375992</v>
      </c>
      <c r="O239" s="30">
        <f t="shared" si="62"/>
        <v>363835.50261459872</v>
      </c>
      <c r="P239" s="30">
        <f t="shared" si="69"/>
        <v>363835.50261459872</v>
      </c>
      <c r="Q239">
        <f t="shared" si="70"/>
        <v>0</v>
      </c>
      <c r="R239" s="30">
        <f t="shared" si="71"/>
        <v>363835.50261459872</v>
      </c>
      <c r="S239" s="30">
        <f t="shared" si="63"/>
        <v>363835.50261459878</v>
      </c>
      <c r="T239" s="30">
        <f t="shared" si="72"/>
        <v>363835.50261459878</v>
      </c>
      <c r="U239">
        <f t="shared" si="73"/>
        <v>0</v>
      </c>
      <c r="V239" s="30">
        <f t="shared" si="74"/>
        <v>363835.50261459878</v>
      </c>
      <c r="W239" s="30">
        <f t="shared" si="64"/>
        <v>363835.50261459884</v>
      </c>
      <c r="X239" s="30">
        <f t="shared" si="75"/>
        <v>363835.50261459884</v>
      </c>
      <c r="Y239">
        <f t="shared" si="76"/>
        <v>0</v>
      </c>
    </row>
    <row r="240" spans="1:25" x14ac:dyDescent="0.25">
      <c r="A240" s="4" t="s">
        <v>1120</v>
      </c>
      <c r="B240" s="7" t="s">
        <v>213</v>
      </c>
      <c r="C240" s="2" t="s">
        <v>1121</v>
      </c>
      <c r="D240">
        <f>VLOOKUP(B240,'Model allocations'!$A$1:$L$319,3,FALSE)</f>
        <v>0</v>
      </c>
      <c r="E240" s="32">
        <f>VLOOKUP(B240,'Initial adjusted formula count'!$A$1:$P$319,12,FALSE)</f>
        <v>4.5454545454545497E-2</v>
      </c>
      <c r="F240">
        <f>VLOOKUP(B240,'Model allocations'!$A$1:$L$319,8,FALSE)</f>
        <v>0</v>
      </c>
      <c r="G240" s="31">
        <f t="shared" si="65"/>
        <v>0.85</v>
      </c>
      <c r="H240">
        <f t="shared" si="66"/>
        <v>0</v>
      </c>
      <c r="I240">
        <f t="shared" si="58"/>
        <v>0</v>
      </c>
      <c r="J240">
        <f t="shared" si="59"/>
        <v>0</v>
      </c>
      <c r="K240">
        <f t="shared" si="60"/>
        <v>0</v>
      </c>
      <c r="L240">
        <f t="shared" si="67"/>
        <v>0</v>
      </c>
      <c r="M240">
        <f t="shared" si="61"/>
        <v>0</v>
      </c>
      <c r="N240" s="30">
        <f t="shared" si="68"/>
        <v>0</v>
      </c>
      <c r="O240" s="30">
        <f t="shared" si="62"/>
        <v>0</v>
      </c>
      <c r="P240" s="30">
        <f t="shared" si="69"/>
        <v>0</v>
      </c>
      <c r="Q240">
        <f t="shared" si="70"/>
        <v>0</v>
      </c>
      <c r="R240" s="30">
        <f t="shared" si="71"/>
        <v>0</v>
      </c>
      <c r="S240" s="30">
        <f t="shared" si="63"/>
        <v>0</v>
      </c>
      <c r="T240" s="30">
        <f t="shared" si="72"/>
        <v>0</v>
      </c>
      <c r="U240">
        <f t="shared" si="73"/>
        <v>0</v>
      </c>
      <c r="V240" s="30">
        <f t="shared" si="74"/>
        <v>0</v>
      </c>
      <c r="W240" s="30">
        <f t="shared" si="64"/>
        <v>0</v>
      </c>
      <c r="X240" s="30">
        <f t="shared" si="75"/>
        <v>0</v>
      </c>
      <c r="Y240">
        <f t="shared" si="76"/>
        <v>0</v>
      </c>
    </row>
    <row r="241" spans="1:25" x14ac:dyDescent="0.25">
      <c r="A241" s="4" t="s">
        <v>1122</v>
      </c>
      <c r="B241" s="7" t="s">
        <v>584</v>
      </c>
      <c r="C241" s="2" t="s">
        <v>1123</v>
      </c>
      <c r="D241">
        <f>VLOOKUP(B241,'Model allocations'!$A$1:$L$319,3,FALSE)</f>
        <v>704574.33643415046</v>
      </c>
      <c r="E241" s="32">
        <f>VLOOKUP(B241,'Initial adjusted formula count'!$A$1:$P$319,12,FALSE)</f>
        <v>0.168850072780204</v>
      </c>
      <c r="F241">
        <f>VLOOKUP(B241,'Model allocations'!$A$1:$L$319,8,FALSE)</f>
        <v>634116.90279073548</v>
      </c>
      <c r="G241" s="31">
        <f t="shared" si="65"/>
        <v>0.9</v>
      </c>
      <c r="H241">
        <f t="shared" si="66"/>
        <v>634116.90279073548</v>
      </c>
      <c r="I241">
        <f t="shared" si="58"/>
        <v>0</v>
      </c>
      <c r="J241">
        <f t="shared" si="59"/>
        <v>634116.90279073548</v>
      </c>
      <c r="K241">
        <f t="shared" si="60"/>
        <v>634023.62804939633</v>
      </c>
      <c r="L241">
        <f t="shared" si="67"/>
        <v>634023.62804939633</v>
      </c>
      <c r="M241">
        <f t="shared" si="61"/>
        <v>634116.90279073548</v>
      </c>
      <c r="N241" s="30">
        <f t="shared" si="68"/>
        <v>0</v>
      </c>
      <c r="O241" s="30">
        <f t="shared" si="62"/>
        <v>0</v>
      </c>
      <c r="P241" s="30">
        <f t="shared" si="69"/>
        <v>634116.90279073548</v>
      </c>
      <c r="Q241">
        <f t="shared" si="70"/>
        <v>0</v>
      </c>
      <c r="R241" s="30">
        <f t="shared" si="71"/>
        <v>0</v>
      </c>
      <c r="S241" s="30">
        <f t="shared" si="63"/>
        <v>0</v>
      </c>
      <c r="T241" s="30">
        <f t="shared" si="72"/>
        <v>634116.90279073548</v>
      </c>
      <c r="U241">
        <f t="shared" si="73"/>
        <v>0</v>
      </c>
      <c r="V241" s="30">
        <f t="shared" si="74"/>
        <v>0</v>
      </c>
      <c r="W241" s="30">
        <f t="shared" si="64"/>
        <v>0</v>
      </c>
      <c r="X241" s="30">
        <f t="shared" si="75"/>
        <v>634116.90279073548</v>
      </c>
      <c r="Y241">
        <f t="shared" si="76"/>
        <v>0</v>
      </c>
    </row>
    <row r="242" spans="1:25" x14ac:dyDescent="0.25">
      <c r="A242" s="4" t="s">
        <v>1124</v>
      </c>
      <c r="B242" s="7" t="s">
        <v>215</v>
      </c>
      <c r="C242" s="2" t="s">
        <v>1125</v>
      </c>
      <c r="D242">
        <f>VLOOKUP(B242,'Model allocations'!$A$1:$L$319,3,FALSE)</f>
        <v>654413.63854586368</v>
      </c>
      <c r="E242" s="32">
        <f>VLOOKUP(B242,'Initial adjusted formula count'!$A$1:$P$319,12,FALSE)</f>
        <v>5.9815802229762502E-2</v>
      </c>
      <c r="F242">
        <f>VLOOKUP(B242,'Model allocations'!$A$1:$L$319,8,FALSE)</f>
        <v>556251.59276398411</v>
      </c>
      <c r="G242" s="31">
        <f t="shared" si="65"/>
        <v>0.85</v>
      </c>
      <c r="H242">
        <f t="shared" si="66"/>
        <v>556251.59276398411</v>
      </c>
      <c r="I242">
        <f t="shared" si="58"/>
        <v>0</v>
      </c>
      <c r="J242">
        <f t="shared" si="59"/>
        <v>556251.59276398411</v>
      </c>
      <c r="K242">
        <f t="shared" si="60"/>
        <v>556169.77153637412</v>
      </c>
      <c r="L242">
        <f t="shared" si="67"/>
        <v>556169.77153637412</v>
      </c>
      <c r="M242">
        <f t="shared" si="61"/>
        <v>556251.59276398411</v>
      </c>
      <c r="N242" s="30">
        <f t="shared" si="68"/>
        <v>0</v>
      </c>
      <c r="O242" s="30">
        <f t="shared" si="62"/>
        <v>0</v>
      </c>
      <c r="P242" s="30">
        <f t="shared" si="69"/>
        <v>556251.59276398411</v>
      </c>
      <c r="Q242">
        <f t="shared" si="70"/>
        <v>0</v>
      </c>
      <c r="R242" s="30">
        <f t="shared" si="71"/>
        <v>0</v>
      </c>
      <c r="S242" s="30">
        <f t="shared" si="63"/>
        <v>0</v>
      </c>
      <c r="T242" s="30">
        <f t="shared" si="72"/>
        <v>556251.59276398411</v>
      </c>
      <c r="U242">
        <f t="shared" si="73"/>
        <v>0</v>
      </c>
      <c r="V242" s="30">
        <f t="shared" si="74"/>
        <v>0</v>
      </c>
      <c r="W242" s="30">
        <f t="shared" si="64"/>
        <v>0</v>
      </c>
      <c r="X242" s="30">
        <f t="shared" si="75"/>
        <v>556251.59276398411</v>
      </c>
      <c r="Y242">
        <f t="shared" si="76"/>
        <v>0</v>
      </c>
    </row>
    <row r="243" spans="1:25" x14ac:dyDescent="0.25">
      <c r="A243" s="4" t="s">
        <v>1126</v>
      </c>
      <c r="B243" s="7" t="s">
        <v>306</v>
      </c>
      <c r="C243" s="2" t="s">
        <v>1127</v>
      </c>
      <c r="D243">
        <f>VLOOKUP(B243,'Model allocations'!$A$1:$L$319,3,FALSE)</f>
        <v>11310.853011903815</v>
      </c>
      <c r="E243" s="32">
        <f>VLOOKUP(B243,'Initial adjusted formula count'!$A$1:$P$319,12,FALSE)</f>
        <v>0.102362204724409</v>
      </c>
      <c r="F243">
        <f>VLOOKUP(B243,'Model allocations'!$A$1:$L$319,8,FALSE)</f>
        <v>11183.554356801733</v>
      </c>
      <c r="G243" s="31">
        <f t="shared" si="65"/>
        <v>0.85</v>
      </c>
      <c r="H243">
        <f t="shared" si="66"/>
        <v>9614.2250601182423</v>
      </c>
      <c r="I243">
        <f t="shared" si="58"/>
        <v>0</v>
      </c>
      <c r="J243">
        <f t="shared" si="59"/>
        <v>11183.554356801733</v>
      </c>
      <c r="K243">
        <f t="shared" si="60"/>
        <v>11181.909323945341</v>
      </c>
      <c r="L243">
        <f t="shared" si="67"/>
        <v>11181.909323945341</v>
      </c>
      <c r="M243">
        <f t="shared" si="61"/>
        <v>0</v>
      </c>
      <c r="N243" s="30">
        <f t="shared" si="68"/>
        <v>11181.909323945341</v>
      </c>
      <c r="O243" s="30">
        <f t="shared" si="62"/>
        <v>11181.705754112963</v>
      </c>
      <c r="P243" s="30">
        <f t="shared" si="69"/>
        <v>11181.705754112963</v>
      </c>
      <c r="Q243">
        <f t="shared" si="70"/>
        <v>0</v>
      </c>
      <c r="R243" s="30">
        <f t="shared" si="71"/>
        <v>11181.705754112963</v>
      </c>
      <c r="S243" s="30">
        <f t="shared" si="63"/>
        <v>11181.705754112965</v>
      </c>
      <c r="T243" s="30">
        <f t="shared" si="72"/>
        <v>11181.705754112965</v>
      </c>
      <c r="U243">
        <f t="shared" si="73"/>
        <v>0</v>
      </c>
      <c r="V243" s="30">
        <f t="shared" si="74"/>
        <v>11181.705754112965</v>
      </c>
      <c r="W243" s="30">
        <f t="shared" si="64"/>
        <v>11181.705754112967</v>
      </c>
      <c r="X243" s="30">
        <f t="shared" si="75"/>
        <v>11181.705754112967</v>
      </c>
      <c r="Y243">
        <f t="shared" si="76"/>
        <v>0</v>
      </c>
    </row>
    <row r="244" spans="1:25" x14ac:dyDescent="0.25">
      <c r="A244" s="4" t="s">
        <v>1128</v>
      </c>
      <c r="B244" s="7" t="s">
        <v>217</v>
      </c>
      <c r="C244" s="2" t="s">
        <v>1129</v>
      </c>
      <c r="D244">
        <f>VLOOKUP(B244,'Model allocations'!$A$1:$L$319,3,FALSE)</f>
        <v>8079.1807227884419</v>
      </c>
      <c r="E244" s="32">
        <f>VLOOKUP(B244,'Initial adjusted formula count'!$A$1:$P$319,12,FALSE)</f>
        <v>8.8235294117647106E-2</v>
      </c>
      <c r="F244">
        <f>VLOOKUP(B244,'Model allocations'!$A$1:$L$319,8,FALSE)</f>
        <v>0</v>
      </c>
      <c r="G244" s="31">
        <f t="shared" si="65"/>
        <v>0.85</v>
      </c>
      <c r="H244">
        <f t="shared" si="66"/>
        <v>0</v>
      </c>
      <c r="I244">
        <f t="shared" si="58"/>
        <v>0</v>
      </c>
      <c r="J244">
        <f t="shared" si="59"/>
        <v>0</v>
      </c>
      <c r="K244">
        <f t="shared" si="60"/>
        <v>0</v>
      </c>
      <c r="L244">
        <f t="shared" si="67"/>
        <v>0</v>
      </c>
      <c r="M244">
        <f t="shared" si="61"/>
        <v>0</v>
      </c>
      <c r="N244" s="30">
        <f t="shared" si="68"/>
        <v>0</v>
      </c>
      <c r="O244" s="30">
        <f t="shared" si="62"/>
        <v>0</v>
      </c>
      <c r="P244" s="30">
        <f t="shared" si="69"/>
        <v>0</v>
      </c>
      <c r="Q244">
        <f t="shared" si="70"/>
        <v>0</v>
      </c>
      <c r="R244" s="30">
        <f t="shared" si="71"/>
        <v>0</v>
      </c>
      <c r="S244" s="30">
        <f t="shared" si="63"/>
        <v>0</v>
      </c>
      <c r="T244" s="30">
        <f t="shared" si="72"/>
        <v>0</v>
      </c>
      <c r="U244">
        <f t="shared" si="73"/>
        <v>0</v>
      </c>
      <c r="V244" s="30">
        <f t="shared" si="74"/>
        <v>0</v>
      </c>
      <c r="W244" s="30">
        <f t="shared" si="64"/>
        <v>0</v>
      </c>
      <c r="X244" s="30">
        <f t="shared" si="75"/>
        <v>0</v>
      </c>
      <c r="Y244">
        <f t="shared" si="76"/>
        <v>0</v>
      </c>
    </row>
    <row r="245" spans="1:25" x14ac:dyDescent="0.25">
      <c r="A245" s="4" t="s">
        <v>1130</v>
      </c>
      <c r="B245" s="7" t="s">
        <v>219</v>
      </c>
      <c r="C245" s="2" t="s">
        <v>1131</v>
      </c>
      <c r="D245">
        <f>VLOOKUP(B245,'Model allocations'!$A$1:$L$319,3,FALSE)</f>
        <v>420925.31565727771</v>
      </c>
      <c r="E245" s="32">
        <f>VLOOKUP(B245,'Initial adjusted formula count'!$A$1:$P$319,12,FALSE)</f>
        <v>5.2548067948478598E-2</v>
      </c>
      <c r="F245">
        <f>VLOOKUP(B245,'Model allocations'!$A$1:$L$319,8,FALSE)</f>
        <v>484333.9309907211</v>
      </c>
      <c r="G245" s="31">
        <f t="shared" si="65"/>
        <v>0.85</v>
      </c>
      <c r="H245">
        <f t="shared" si="66"/>
        <v>357786.51830868603</v>
      </c>
      <c r="I245">
        <f t="shared" si="58"/>
        <v>0</v>
      </c>
      <c r="J245">
        <f t="shared" si="59"/>
        <v>484333.9309907211</v>
      </c>
      <c r="K245">
        <f t="shared" si="60"/>
        <v>484262.68841394049</v>
      </c>
      <c r="L245">
        <f t="shared" si="67"/>
        <v>484262.68841394049</v>
      </c>
      <c r="M245">
        <f t="shared" si="61"/>
        <v>0</v>
      </c>
      <c r="N245" s="30">
        <f t="shared" si="68"/>
        <v>484262.68841394049</v>
      </c>
      <c r="O245" s="30">
        <f t="shared" si="62"/>
        <v>484253.87227427674</v>
      </c>
      <c r="P245" s="30">
        <f t="shared" si="69"/>
        <v>484253.87227427674</v>
      </c>
      <c r="Q245">
        <f t="shared" si="70"/>
        <v>0</v>
      </c>
      <c r="R245" s="30">
        <f t="shared" si="71"/>
        <v>484253.87227427674</v>
      </c>
      <c r="S245" s="30">
        <f t="shared" si="63"/>
        <v>484253.8722742768</v>
      </c>
      <c r="T245" s="30">
        <f t="shared" si="72"/>
        <v>484253.8722742768</v>
      </c>
      <c r="U245">
        <f t="shared" si="73"/>
        <v>0</v>
      </c>
      <c r="V245" s="30">
        <f t="shared" si="74"/>
        <v>484253.8722742768</v>
      </c>
      <c r="W245" s="30">
        <f t="shared" si="64"/>
        <v>484253.87227427692</v>
      </c>
      <c r="X245" s="30">
        <f t="shared" si="75"/>
        <v>484253.87227427692</v>
      </c>
      <c r="Y245">
        <f t="shared" si="76"/>
        <v>0</v>
      </c>
    </row>
    <row r="246" spans="1:25" x14ac:dyDescent="0.25">
      <c r="A246" s="8" t="s">
        <v>1132</v>
      </c>
      <c r="B246" s="7" t="s">
        <v>221</v>
      </c>
      <c r="C246" s="2" t="s">
        <v>1133</v>
      </c>
      <c r="D246">
        <f>VLOOKUP(B246,'Model allocations'!$A$1:$L$319,3,FALSE)</f>
        <v>319935.55662242236</v>
      </c>
      <c r="E246" s="32">
        <f>VLOOKUP(B246,'Initial adjusted formula count'!$A$1:$P$319,12,FALSE)</f>
        <v>3.5677352637021702E-2</v>
      </c>
      <c r="F246">
        <f>VLOOKUP(B246,'Model allocations'!$A$1:$L$319,8,FALSE)</f>
        <v>271945.22312905901</v>
      </c>
      <c r="G246" s="31">
        <f t="shared" si="65"/>
        <v>0.85</v>
      </c>
      <c r="H246">
        <f t="shared" si="66"/>
        <v>271945.22312905901</v>
      </c>
      <c r="I246">
        <f t="shared" si="58"/>
        <v>0</v>
      </c>
      <c r="J246">
        <f t="shared" si="59"/>
        <v>271945.22312905901</v>
      </c>
      <c r="K246">
        <f t="shared" si="60"/>
        <v>271905.22164000524</v>
      </c>
      <c r="L246">
        <f t="shared" si="67"/>
        <v>271905.22164000524</v>
      </c>
      <c r="M246">
        <f t="shared" si="61"/>
        <v>271945.22312905901</v>
      </c>
      <c r="N246" s="30">
        <f t="shared" si="68"/>
        <v>0</v>
      </c>
      <c r="O246" s="30">
        <f t="shared" si="62"/>
        <v>0</v>
      </c>
      <c r="P246" s="30">
        <f t="shared" si="69"/>
        <v>271945.22312905901</v>
      </c>
      <c r="Q246">
        <f t="shared" si="70"/>
        <v>0</v>
      </c>
      <c r="R246" s="30">
        <f t="shared" si="71"/>
        <v>0</v>
      </c>
      <c r="S246" s="30">
        <f t="shared" si="63"/>
        <v>0</v>
      </c>
      <c r="T246" s="30">
        <f t="shared" si="72"/>
        <v>271945.22312905901</v>
      </c>
      <c r="U246">
        <f t="shared" si="73"/>
        <v>0</v>
      </c>
      <c r="V246" s="30">
        <f t="shared" si="74"/>
        <v>0</v>
      </c>
      <c r="W246" s="30">
        <f t="shared" si="64"/>
        <v>0</v>
      </c>
      <c r="X246" s="30">
        <f t="shared" si="75"/>
        <v>271945.22312905901</v>
      </c>
      <c r="Y246">
        <f t="shared" si="76"/>
        <v>0</v>
      </c>
    </row>
    <row r="247" spans="1:25" x14ac:dyDescent="0.25">
      <c r="A247" s="4" t="s">
        <v>1134</v>
      </c>
      <c r="B247" s="7" t="s">
        <v>586</v>
      </c>
      <c r="C247" s="2" t="s">
        <v>1135</v>
      </c>
      <c r="D247">
        <f>VLOOKUP(B247,'Model allocations'!$A$1:$L$319,3,FALSE)</f>
        <v>117090.3866205333</v>
      </c>
      <c r="E247" s="32">
        <f>VLOOKUP(B247,'Initial adjusted formula count'!$A$1:$P$319,12,FALSE)</f>
        <v>0.25944170771757002</v>
      </c>
      <c r="F247">
        <f>VLOOKUP(B247,'Model allocations'!$A$1:$L$319,8,FALSE)</f>
        <v>135923.19910574405</v>
      </c>
      <c r="G247" s="31">
        <f t="shared" si="65"/>
        <v>0.9</v>
      </c>
      <c r="H247">
        <f t="shared" si="66"/>
        <v>105381.34795847998</v>
      </c>
      <c r="I247">
        <f t="shared" si="58"/>
        <v>0</v>
      </c>
      <c r="J247">
        <f t="shared" si="59"/>
        <v>135923.19910574405</v>
      </c>
      <c r="K247">
        <f t="shared" si="60"/>
        <v>135903.20562948947</v>
      </c>
      <c r="L247">
        <f t="shared" si="67"/>
        <v>135903.20562948947</v>
      </c>
      <c r="M247">
        <f t="shared" si="61"/>
        <v>0</v>
      </c>
      <c r="N247" s="30">
        <f t="shared" si="68"/>
        <v>135903.20562948947</v>
      </c>
      <c r="O247" s="30">
        <f t="shared" si="62"/>
        <v>135900.73147306519</v>
      </c>
      <c r="P247" s="30">
        <f t="shared" si="69"/>
        <v>135900.73147306519</v>
      </c>
      <c r="Q247">
        <f t="shared" si="70"/>
        <v>0</v>
      </c>
      <c r="R247" s="30">
        <f t="shared" si="71"/>
        <v>135900.73147306519</v>
      </c>
      <c r="S247" s="30">
        <f t="shared" si="63"/>
        <v>135900.73147306521</v>
      </c>
      <c r="T247" s="30">
        <f t="shared" si="72"/>
        <v>135900.73147306521</v>
      </c>
      <c r="U247">
        <f t="shared" si="73"/>
        <v>0</v>
      </c>
      <c r="V247" s="30">
        <f t="shared" si="74"/>
        <v>135900.73147306521</v>
      </c>
      <c r="W247" s="30">
        <f t="shared" si="64"/>
        <v>135900.73147306524</v>
      </c>
      <c r="X247" s="30">
        <f t="shared" si="75"/>
        <v>135900.73147306524</v>
      </c>
      <c r="Y247">
        <f t="shared" si="76"/>
        <v>0</v>
      </c>
    </row>
    <row r="248" spans="1:25" x14ac:dyDescent="0.25">
      <c r="A248" s="4" t="s">
        <v>1136</v>
      </c>
      <c r="B248" s="7" t="s">
        <v>588</v>
      </c>
      <c r="C248" s="2" t="s">
        <v>1137</v>
      </c>
      <c r="D248">
        <f>VLOOKUP(B248,'Model allocations'!$A$1:$L$319,3,FALSE)</f>
        <v>66249.281926865209</v>
      </c>
      <c r="E248" s="32">
        <f>VLOOKUP(B248,'Initial adjusted formula count'!$A$1:$P$319,12,FALSE)</f>
        <v>0.25</v>
      </c>
      <c r="F248">
        <f>VLOOKUP(B248,'Model allocations'!$A$1:$L$319,8,FALSE)</f>
        <v>82586.247557920462</v>
      </c>
      <c r="G248" s="31">
        <f t="shared" si="65"/>
        <v>0.9</v>
      </c>
      <c r="H248">
        <f t="shared" si="66"/>
        <v>59624.353734178687</v>
      </c>
      <c r="I248">
        <f t="shared" si="58"/>
        <v>0</v>
      </c>
      <c r="J248">
        <f t="shared" si="59"/>
        <v>82586.247557920462</v>
      </c>
      <c r="K248">
        <f t="shared" si="60"/>
        <v>82574.099622980953</v>
      </c>
      <c r="L248">
        <f t="shared" si="67"/>
        <v>82574.099622980953</v>
      </c>
      <c r="M248">
        <f t="shared" si="61"/>
        <v>0</v>
      </c>
      <c r="N248" s="30">
        <f t="shared" si="68"/>
        <v>82574.099622980953</v>
      </c>
      <c r="O248" s="30">
        <f t="shared" si="62"/>
        <v>82572.596338064934</v>
      </c>
      <c r="P248" s="30">
        <f t="shared" si="69"/>
        <v>82572.596338064934</v>
      </c>
      <c r="Q248">
        <f t="shared" si="70"/>
        <v>0</v>
      </c>
      <c r="R248" s="30">
        <f t="shared" si="71"/>
        <v>82572.596338064934</v>
      </c>
      <c r="S248" s="30">
        <f t="shared" si="63"/>
        <v>82572.596338064934</v>
      </c>
      <c r="T248" s="30">
        <f t="shared" si="72"/>
        <v>82572.596338064934</v>
      </c>
      <c r="U248">
        <f t="shared" si="73"/>
        <v>0</v>
      </c>
      <c r="V248" s="30">
        <f t="shared" si="74"/>
        <v>82572.596338064934</v>
      </c>
      <c r="W248" s="30">
        <f t="shared" si="64"/>
        <v>82572.596338064934</v>
      </c>
      <c r="X248" s="30">
        <f t="shared" si="75"/>
        <v>82572.596338064934</v>
      </c>
      <c r="Y248">
        <f t="shared" si="76"/>
        <v>0</v>
      </c>
    </row>
    <row r="249" spans="1:25" x14ac:dyDescent="0.25">
      <c r="A249" s="4" t="s">
        <v>1138</v>
      </c>
      <c r="B249" s="7" t="s">
        <v>223</v>
      </c>
      <c r="C249" s="2" t="s">
        <v>1139</v>
      </c>
      <c r="D249">
        <f>VLOOKUP(B249,'Model allocations'!$A$1:$L$319,3,FALSE)</f>
        <v>871627.70441481087</v>
      </c>
      <c r="E249" s="32">
        <f>VLOOKUP(B249,'Initial adjusted formula count'!$A$1:$P$319,12,FALSE)</f>
        <v>9.9468814256339994E-2</v>
      </c>
      <c r="F249">
        <f>VLOOKUP(B249,'Model allocations'!$A$1:$L$319,8,FALSE)</f>
        <v>998777.43140360049</v>
      </c>
      <c r="G249" s="31">
        <f t="shared" si="65"/>
        <v>0.85</v>
      </c>
      <c r="H249">
        <f t="shared" si="66"/>
        <v>740883.54875258927</v>
      </c>
      <c r="I249">
        <f t="shared" si="58"/>
        <v>0</v>
      </c>
      <c r="J249">
        <f t="shared" si="59"/>
        <v>998777.43140360049</v>
      </c>
      <c r="K249">
        <f t="shared" si="60"/>
        <v>998630.51731542579</v>
      </c>
      <c r="L249">
        <f t="shared" si="67"/>
        <v>998630.51731542579</v>
      </c>
      <c r="M249">
        <f t="shared" si="61"/>
        <v>0</v>
      </c>
      <c r="N249" s="30">
        <f t="shared" si="68"/>
        <v>998630.51731542579</v>
      </c>
      <c r="O249" s="30">
        <f t="shared" si="62"/>
        <v>998612.33696347266</v>
      </c>
      <c r="P249" s="30">
        <f t="shared" si="69"/>
        <v>998612.33696347266</v>
      </c>
      <c r="Q249">
        <f t="shared" si="70"/>
        <v>0</v>
      </c>
      <c r="R249" s="30">
        <f t="shared" si="71"/>
        <v>998612.33696347266</v>
      </c>
      <c r="S249" s="30">
        <f t="shared" si="63"/>
        <v>998612.33696347277</v>
      </c>
      <c r="T249" s="30">
        <f t="shared" si="72"/>
        <v>998612.33696347277</v>
      </c>
      <c r="U249">
        <f t="shared" si="73"/>
        <v>0</v>
      </c>
      <c r="V249" s="30">
        <f t="shared" si="74"/>
        <v>998612.33696347277</v>
      </c>
      <c r="W249" s="30">
        <f t="shared" si="64"/>
        <v>998612.336963473</v>
      </c>
      <c r="X249" s="30">
        <f t="shared" si="75"/>
        <v>998612.336963473</v>
      </c>
      <c r="Y249">
        <f t="shared" si="76"/>
        <v>0</v>
      </c>
    </row>
    <row r="250" spans="1:25" x14ac:dyDescent="0.25">
      <c r="A250" s="4" t="s">
        <v>1140</v>
      </c>
      <c r="B250" s="7" t="s">
        <v>225</v>
      </c>
      <c r="C250" s="2" t="s">
        <v>1141</v>
      </c>
      <c r="D250">
        <f>VLOOKUP(B250,'Model allocations'!$A$1:$L$319,3,FALSE)</f>
        <v>144617.33493791311</v>
      </c>
      <c r="E250" s="32">
        <f>VLOOKUP(B250,'Initial adjusted formula count'!$A$1:$P$319,12,FALSE)</f>
        <v>7.1143995446784306E-2</v>
      </c>
      <c r="F250">
        <f>VLOOKUP(B250,'Model allocations'!$A$1:$L$319,8,FALSE)</f>
        <v>122924.73469722614</v>
      </c>
      <c r="G250" s="31">
        <f t="shared" si="65"/>
        <v>0.85</v>
      </c>
      <c r="H250">
        <f t="shared" si="66"/>
        <v>122924.73469722614</v>
      </c>
      <c r="I250">
        <f t="shared" si="58"/>
        <v>0</v>
      </c>
      <c r="J250">
        <f t="shared" si="59"/>
        <v>122924.73469722614</v>
      </c>
      <c r="K250">
        <f t="shared" si="60"/>
        <v>122906.65321606294</v>
      </c>
      <c r="L250">
        <f t="shared" si="67"/>
        <v>122906.65321606294</v>
      </c>
      <c r="M250">
        <f t="shared" si="61"/>
        <v>122924.73469722614</v>
      </c>
      <c r="N250" s="30">
        <f t="shared" si="68"/>
        <v>0</v>
      </c>
      <c r="O250" s="30">
        <f t="shared" si="62"/>
        <v>0</v>
      </c>
      <c r="P250" s="30">
        <f t="shared" si="69"/>
        <v>122924.73469722614</v>
      </c>
      <c r="Q250">
        <f t="shared" si="70"/>
        <v>0</v>
      </c>
      <c r="R250" s="30">
        <f t="shared" si="71"/>
        <v>0</v>
      </c>
      <c r="S250" s="30">
        <f t="shared" si="63"/>
        <v>0</v>
      </c>
      <c r="T250" s="30">
        <f t="shared" si="72"/>
        <v>122924.73469722614</v>
      </c>
      <c r="U250">
        <f t="shared" si="73"/>
        <v>0</v>
      </c>
      <c r="V250" s="30">
        <f t="shared" si="74"/>
        <v>0</v>
      </c>
      <c r="W250" s="30">
        <f t="shared" si="64"/>
        <v>0</v>
      </c>
      <c r="X250" s="30">
        <f t="shared" si="75"/>
        <v>122924.73469722614</v>
      </c>
      <c r="Y250">
        <f t="shared" si="76"/>
        <v>0</v>
      </c>
    </row>
    <row r="251" spans="1:25" x14ac:dyDescent="0.25">
      <c r="A251" s="4" t="s">
        <v>1142</v>
      </c>
      <c r="B251" s="7" t="s">
        <v>590</v>
      </c>
      <c r="C251" s="2" t="s">
        <v>1143</v>
      </c>
      <c r="D251">
        <f>VLOOKUP(B251,'Model allocations'!$A$1:$L$319,3,FALSE)</f>
        <v>45309.281551078268</v>
      </c>
      <c r="E251" s="32">
        <f>VLOOKUP(B251,'Initial adjusted formula count'!$A$1:$P$319,12,FALSE)</f>
        <v>0.16477272727272699</v>
      </c>
      <c r="F251">
        <f>VLOOKUP(B251,'Model allocations'!$A$1:$L$319,8,FALSE)</f>
        <v>49895.857899576942</v>
      </c>
      <c r="G251" s="31">
        <f t="shared" si="65"/>
        <v>0.9</v>
      </c>
      <c r="H251">
        <f t="shared" si="66"/>
        <v>40778.353395970444</v>
      </c>
      <c r="I251">
        <f t="shared" si="58"/>
        <v>0</v>
      </c>
      <c r="J251">
        <f t="shared" si="59"/>
        <v>49895.857899576942</v>
      </c>
      <c r="K251">
        <f t="shared" si="60"/>
        <v>49888.518522217659</v>
      </c>
      <c r="L251">
        <f t="shared" si="67"/>
        <v>49888.518522217659</v>
      </c>
      <c r="M251">
        <f t="shared" si="61"/>
        <v>0</v>
      </c>
      <c r="N251" s="30">
        <f t="shared" si="68"/>
        <v>49888.518522217659</v>
      </c>
      <c r="O251" s="30">
        <f t="shared" si="62"/>
        <v>49887.610287580894</v>
      </c>
      <c r="P251" s="30">
        <f t="shared" si="69"/>
        <v>49887.610287580894</v>
      </c>
      <c r="Q251">
        <f t="shared" si="70"/>
        <v>0</v>
      </c>
      <c r="R251" s="30">
        <f t="shared" si="71"/>
        <v>49887.610287580894</v>
      </c>
      <c r="S251" s="30">
        <f t="shared" si="63"/>
        <v>49887.610287580901</v>
      </c>
      <c r="T251" s="30">
        <f t="shared" si="72"/>
        <v>49887.610287580901</v>
      </c>
      <c r="U251">
        <f t="shared" si="73"/>
        <v>0</v>
      </c>
      <c r="V251" s="30">
        <f t="shared" si="74"/>
        <v>49887.610287580901</v>
      </c>
      <c r="W251" s="30">
        <f t="shared" si="64"/>
        <v>49887.610287580908</v>
      </c>
      <c r="X251" s="30">
        <f t="shared" si="75"/>
        <v>49887.610287580908</v>
      </c>
      <c r="Y251">
        <f t="shared" si="76"/>
        <v>0</v>
      </c>
    </row>
    <row r="252" spans="1:25" x14ac:dyDescent="0.25">
      <c r="A252" s="4" t="s">
        <v>33</v>
      </c>
      <c r="B252" s="7" t="s">
        <v>64</v>
      </c>
      <c r="C252" s="2" t="s">
        <v>1144</v>
      </c>
      <c r="D252">
        <f>VLOOKUP(B252,'Model allocations'!$A$1:$L$319,3,FALSE)</f>
        <v>4449078.8007688252</v>
      </c>
      <c r="E252" s="32">
        <f>VLOOKUP(B252,'Initial adjusted formula count'!$A$1:$P$319,12,FALSE)</f>
        <v>0.17913446483256601</v>
      </c>
      <c r="F252">
        <f>VLOOKUP(B252,'Model allocations'!$A$1:$L$319,8,FALSE)</f>
        <v>5174918.7154237162</v>
      </c>
      <c r="G252" s="31">
        <f t="shared" si="65"/>
        <v>0.9</v>
      </c>
      <c r="H252">
        <f t="shared" si="66"/>
        <v>4004170.9206919428</v>
      </c>
      <c r="I252">
        <f t="shared" si="58"/>
        <v>0</v>
      </c>
      <c r="J252">
        <f t="shared" si="59"/>
        <v>5174918.7154237162</v>
      </c>
      <c r="K252">
        <f t="shared" si="60"/>
        <v>5174157.5163411684</v>
      </c>
      <c r="L252">
        <f t="shared" si="67"/>
        <v>5174157.5163411684</v>
      </c>
      <c r="M252">
        <f t="shared" si="61"/>
        <v>0</v>
      </c>
      <c r="N252" s="30">
        <f t="shared" si="68"/>
        <v>5174157.5163411684</v>
      </c>
      <c r="O252" s="30">
        <f t="shared" si="62"/>
        <v>5174063.3193352921</v>
      </c>
      <c r="P252" s="30">
        <f t="shared" si="69"/>
        <v>5174063.3193352921</v>
      </c>
      <c r="Q252">
        <f t="shared" si="70"/>
        <v>0</v>
      </c>
      <c r="R252" s="30">
        <f t="shared" si="71"/>
        <v>5174063.3193352921</v>
      </c>
      <c r="S252" s="30">
        <f t="shared" si="63"/>
        <v>5174063.319335293</v>
      </c>
      <c r="T252" s="30">
        <f t="shared" si="72"/>
        <v>5174063.319335293</v>
      </c>
      <c r="U252">
        <f t="shared" si="73"/>
        <v>0</v>
      </c>
      <c r="V252" s="30">
        <f t="shared" si="74"/>
        <v>5174063.319335293</v>
      </c>
      <c r="W252" s="30">
        <f t="shared" si="64"/>
        <v>5174063.319335294</v>
      </c>
      <c r="X252" s="30">
        <f t="shared" si="75"/>
        <v>5174063.319335294</v>
      </c>
      <c r="Y252">
        <f t="shared" si="76"/>
        <v>0</v>
      </c>
    </row>
    <row r="253" spans="1:25" x14ac:dyDescent="0.25">
      <c r="A253" s="4" t="s">
        <v>36</v>
      </c>
      <c r="B253" s="7" t="s">
        <v>82</v>
      </c>
      <c r="C253" s="2" t="s">
        <v>1145</v>
      </c>
      <c r="D253">
        <f>VLOOKUP(B253,'Model allocations'!$A$1:$L$319,3,FALSE)</f>
        <v>119837.16163350159</v>
      </c>
      <c r="E253" s="32">
        <f>VLOOKUP(B253,'Initial adjusted formula count'!$A$1:$P$319,12,FALSE)</f>
        <v>0.13576918390878001</v>
      </c>
      <c r="F253">
        <f>VLOOKUP(B253,'Model allocations'!$A$1:$L$319,8,FALSE)</f>
        <v>113564.67928859494</v>
      </c>
      <c r="G253" s="31">
        <f t="shared" si="65"/>
        <v>0.85</v>
      </c>
      <c r="H253">
        <f t="shared" si="66"/>
        <v>101861.58738847634</v>
      </c>
      <c r="I253">
        <f t="shared" si="58"/>
        <v>0</v>
      </c>
      <c r="J253">
        <f t="shared" si="59"/>
        <v>113564.67928859494</v>
      </c>
      <c r="K253">
        <f t="shared" si="60"/>
        <v>113547.97461467868</v>
      </c>
      <c r="L253">
        <f t="shared" si="67"/>
        <v>113547.97461467868</v>
      </c>
      <c r="M253">
        <f t="shared" si="61"/>
        <v>0</v>
      </c>
      <c r="N253" s="30">
        <f t="shared" si="68"/>
        <v>113547.97461467868</v>
      </c>
      <c r="O253" s="30">
        <f t="shared" si="62"/>
        <v>113545.90744157885</v>
      </c>
      <c r="P253" s="30">
        <f t="shared" si="69"/>
        <v>113545.90744157885</v>
      </c>
      <c r="Q253">
        <f t="shared" si="70"/>
        <v>0</v>
      </c>
      <c r="R253" s="30">
        <f t="shared" si="71"/>
        <v>113545.90744157885</v>
      </c>
      <c r="S253" s="30">
        <f t="shared" si="63"/>
        <v>113545.90744157885</v>
      </c>
      <c r="T253" s="30">
        <f t="shared" si="72"/>
        <v>113545.90744157885</v>
      </c>
      <c r="U253">
        <f t="shared" si="73"/>
        <v>0</v>
      </c>
      <c r="V253" s="30">
        <f t="shared" si="74"/>
        <v>113545.90744157885</v>
      </c>
      <c r="W253" s="30">
        <f t="shared" si="64"/>
        <v>113545.90744157885</v>
      </c>
      <c r="X253" s="30">
        <f t="shared" si="75"/>
        <v>113545.90744157885</v>
      </c>
      <c r="Y253">
        <f t="shared" si="76"/>
        <v>0</v>
      </c>
    </row>
    <row r="254" spans="1:25" x14ac:dyDescent="0.25">
      <c r="A254" s="4" t="s">
        <v>1146</v>
      </c>
      <c r="B254" s="7" t="s">
        <v>592</v>
      </c>
      <c r="C254" s="2" t="s">
        <v>1147</v>
      </c>
      <c r="D254">
        <f>VLOOKUP(B254,'Model allocations'!$A$1:$L$319,3,FALSE)</f>
        <v>18582.115662413416</v>
      </c>
      <c r="E254" s="32">
        <f>VLOOKUP(B254,'Initial adjusted formula count'!$A$1:$P$319,12,FALSE)</f>
        <v>0.178294573643411</v>
      </c>
      <c r="F254">
        <f>VLOOKUP(B254,'Model allocations'!$A$1:$L$319,8,FALSE)</f>
        <v>19786.288477418446</v>
      </c>
      <c r="G254" s="31">
        <f t="shared" si="65"/>
        <v>0.9</v>
      </c>
      <c r="H254">
        <f t="shared" si="66"/>
        <v>16723.904096172075</v>
      </c>
      <c r="I254">
        <f t="shared" si="58"/>
        <v>0</v>
      </c>
      <c r="J254">
        <f t="shared" si="59"/>
        <v>19786.288477418446</v>
      </c>
      <c r="K254">
        <f t="shared" si="60"/>
        <v>19783.378034672522</v>
      </c>
      <c r="L254">
        <f t="shared" si="67"/>
        <v>19783.378034672522</v>
      </c>
      <c r="M254">
        <f t="shared" si="61"/>
        <v>0</v>
      </c>
      <c r="N254" s="30">
        <f t="shared" si="68"/>
        <v>19783.378034672522</v>
      </c>
      <c r="O254" s="30">
        <f t="shared" si="62"/>
        <v>19783.017872661392</v>
      </c>
      <c r="P254" s="30">
        <f t="shared" si="69"/>
        <v>19783.017872661392</v>
      </c>
      <c r="Q254">
        <f t="shared" si="70"/>
        <v>0</v>
      </c>
      <c r="R254" s="30">
        <f t="shared" si="71"/>
        <v>19783.017872661392</v>
      </c>
      <c r="S254" s="30">
        <f t="shared" si="63"/>
        <v>19783.017872661396</v>
      </c>
      <c r="T254" s="30">
        <f t="shared" si="72"/>
        <v>19783.017872661396</v>
      </c>
      <c r="U254">
        <f t="shared" si="73"/>
        <v>0</v>
      </c>
      <c r="V254" s="30">
        <f t="shared" si="74"/>
        <v>19783.017872661396</v>
      </c>
      <c r="W254" s="30">
        <f t="shared" si="64"/>
        <v>19783.017872661396</v>
      </c>
      <c r="X254" s="30">
        <f t="shared" si="75"/>
        <v>19783.017872661396</v>
      </c>
      <c r="Y254">
        <f t="shared" si="76"/>
        <v>0</v>
      </c>
    </row>
    <row r="255" spans="1:25" x14ac:dyDescent="0.25">
      <c r="A255" s="4" t="s">
        <v>1148</v>
      </c>
      <c r="B255" s="7" t="s">
        <v>594</v>
      </c>
      <c r="C255" s="2" t="s">
        <v>1149</v>
      </c>
      <c r="D255">
        <f>VLOOKUP(B255,'Model allocations'!$A$1:$L$319,3,FALSE)</f>
        <v>17774.197590134576</v>
      </c>
      <c r="E255" s="32">
        <f>VLOOKUP(B255,'Initial adjusted formula count'!$A$1:$P$319,12,FALSE)</f>
        <v>0.14838709677419401</v>
      </c>
      <c r="F255">
        <f>VLOOKUP(B255,'Model allocations'!$A$1:$L$319,8,FALSE)</f>
        <v>19786.288477418446</v>
      </c>
      <c r="G255" s="31">
        <f t="shared" si="65"/>
        <v>0.85</v>
      </c>
      <c r="H255">
        <f t="shared" si="66"/>
        <v>15108.067951614388</v>
      </c>
      <c r="I255">
        <f t="shared" si="58"/>
        <v>0</v>
      </c>
      <c r="J255">
        <f t="shared" si="59"/>
        <v>19786.288477418446</v>
      </c>
      <c r="K255">
        <f t="shared" si="60"/>
        <v>19783.378034672522</v>
      </c>
      <c r="L255">
        <f t="shared" si="67"/>
        <v>19783.378034672522</v>
      </c>
      <c r="M255">
        <f t="shared" si="61"/>
        <v>0</v>
      </c>
      <c r="N255" s="30">
        <f t="shared" si="68"/>
        <v>19783.378034672522</v>
      </c>
      <c r="O255" s="30">
        <f t="shared" si="62"/>
        <v>19783.017872661392</v>
      </c>
      <c r="P255" s="30">
        <f t="shared" si="69"/>
        <v>19783.017872661392</v>
      </c>
      <c r="Q255">
        <f t="shared" si="70"/>
        <v>0</v>
      </c>
      <c r="R255" s="30">
        <f t="shared" si="71"/>
        <v>19783.017872661392</v>
      </c>
      <c r="S255" s="30">
        <f t="shared" si="63"/>
        <v>19783.017872661396</v>
      </c>
      <c r="T255" s="30">
        <f t="shared" si="72"/>
        <v>19783.017872661396</v>
      </c>
      <c r="U255">
        <f t="shared" si="73"/>
        <v>0</v>
      </c>
      <c r="V255" s="30">
        <f t="shared" si="74"/>
        <v>19783.017872661396</v>
      </c>
      <c r="W255" s="30">
        <f t="shared" si="64"/>
        <v>19783.017872661396</v>
      </c>
      <c r="X255" s="30">
        <f t="shared" si="75"/>
        <v>19783.017872661396</v>
      </c>
      <c r="Y255">
        <f t="shared" si="76"/>
        <v>0</v>
      </c>
    </row>
    <row r="256" spans="1:25" x14ac:dyDescent="0.25">
      <c r="A256" s="4" t="s">
        <v>1150</v>
      </c>
      <c r="B256" s="7" t="s">
        <v>227</v>
      </c>
      <c r="C256" s="2" t="s">
        <v>1151</v>
      </c>
      <c r="D256">
        <f>VLOOKUP(B256,'Model allocations'!$A$1:$L$319,3,FALSE)</f>
        <v>326398.901200653</v>
      </c>
      <c r="E256" s="32">
        <f>VLOOKUP(B256,'Initial adjusted formula count'!$A$1:$P$319,12,FALSE)</f>
        <v>7.4819878071309798E-2</v>
      </c>
      <c r="F256">
        <f>VLOOKUP(B256,'Model allocations'!$A$1:$L$319,8,FALSE)</f>
        <v>348410.73188497697</v>
      </c>
      <c r="G256" s="31">
        <f t="shared" si="65"/>
        <v>0.85</v>
      </c>
      <c r="H256">
        <f t="shared" si="66"/>
        <v>277439.06602055504</v>
      </c>
      <c r="I256">
        <f t="shared" si="58"/>
        <v>0</v>
      </c>
      <c r="J256">
        <f t="shared" si="59"/>
        <v>348410.73188497697</v>
      </c>
      <c r="K256">
        <f t="shared" si="60"/>
        <v>348359.48278445093</v>
      </c>
      <c r="L256">
        <f t="shared" si="67"/>
        <v>348359.48278445093</v>
      </c>
      <c r="M256">
        <f t="shared" si="61"/>
        <v>0</v>
      </c>
      <c r="N256" s="30">
        <f t="shared" si="68"/>
        <v>348359.48278445093</v>
      </c>
      <c r="O256" s="30">
        <f t="shared" si="62"/>
        <v>348353.14080121147</v>
      </c>
      <c r="P256" s="30">
        <f t="shared" si="69"/>
        <v>348353.14080121147</v>
      </c>
      <c r="Q256">
        <f t="shared" si="70"/>
        <v>0</v>
      </c>
      <c r="R256" s="30">
        <f t="shared" si="71"/>
        <v>348353.14080121147</v>
      </c>
      <c r="S256" s="30">
        <f t="shared" si="63"/>
        <v>348353.14080121153</v>
      </c>
      <c r="T256" s="30">
        <f t="shared" si="72"/>
        <v>348353.14080121153</v>
      </c>
      <c r="U256">
        <f t="shared" si="73"/>
        <v>0</v>
      </c>
      <c r="V256" s="30">
        <f t="shared" si="74"/>
        <v>348353.14080121153</v>
      </c>
      <c r="W256" s="30">
        <f t="shared" si="64"/>
        <v>348353.14080121159</v>
      </c>
      <c r="X256" s="30">
        <f t="shared" si="75"/>
        <v>348353.14080121159</v>
      </c>
      <c r="Y256">
        <f t="shared" si="76"/>
        <v>0</v>
      </c>
    </row>
    <row r="257" spans="1:25" x14ac:dyDescent="0.25">
      <c r="A257" s="4" t="s">
        <v>1152</v>
      </c>
      <c r="B257" s="7" t="s">
        <v>229</v>
      </c>
      <c r="C257" s="2" t="s">
        <v>1153</v>
      </c>
      <c r="D257">
        <f>VLOOKUP(B257,'Model allocations'!$A$1:$L$319,3,FALSE)</f>
        <v>0</v>
      </c>
      <c r="E257" s="32">
        <f>VLOOKUP(B257,'Initial adjusted formula count'!$A$1:$P$319,12,FALSE)</f>
        <v>0.16</v>
      </c>
      <c r="F257">
        <f>VLOOKUP(B257,'Model allocations'!$A$1:$L$319,8,FALSE)</f>
        <v>0</v>
      </c>
      <c r="G257" s="31">
        <f t="shared" si="65"/>
        <v>0.9</v>
      </c>
      <c r="H257">
        <f t="shared" si="66"/>
        <v>0</v>
      </c>
      <c r="I257">
        <f t="shared" si="58"/>
        <v>0</v>
      </c>
      <c r="J257">
        <f t="shared" si="59"/>
        <v>0</v>
      </c>
      <c r="K257">
        <f t="shared" si="60"/>
        <v>0</v>
      </c>
      <c r="L257">
        <f t="shared" si="67"/>
        <v>0</v>
      </c>
      <c r="M257">
        <f t="shared" si="61"/>
        <v>0</v>
      </c>
      <c r="N257" s="30">
        <f t="shared" si="68"/>
        <v>0</v>
      </c>
      <c r="O257" s="30">
        <f t="shared" si="62"/>
        <v>0</v>
      </c>
      <c r="P257" s="30">
        <f t="shared" si="69"/>
        <v>0</v>
      </c>
      <c r="Q257">
        <f t="shared" si="70"/>
        <v>0</v>
      </c>
      <c r="R257" s="30">
        <f t="shared" si="71"/>
        <v>0</v>
      </c>
      <c r="S257" s="30">
        <f t="shared" si="63"/>
        <v>0</v>
      </c>
      <c r="T257" s="30">
        <f t="shared" si="72"/>
        <v>0</v>
      </c>
      <c r="U257">
        <f t="shared" si="73"/>
        <v>0</v>
      </c>
      <c r="V257" s="30">
        <f t="shared" si="74"/>
        <v>0</v>
      </c>
      <c r="W257" s="30">
        <f t="shared" si="64"/>
        <v>0</v>
      </c>
      <c r="X257" s="30">
        <f t="shared" si="75"/>
        <v>0</v>
      </c>
      <c r="Y257">
        <f t="shared" si="76"/>
        <v>0</v>
      </c>
    </row>
    <row r="258" spans="1:25" x14ac:dyDescent="0.25">
      <c r="A258" s="4" t="s">
        <v>1154</v>
      </c>
      <c r="B258" s="7" t="s">
        <v>596</v>
      </c>
      <c r="C258" s="2" t="s">
        <v>1155</v>
      </c>
      <c r="D258">
        <f>VLOOKUP(B258,'Model allocations'!$A$1:$L$319,3,FALSE)</f>
        <v>0</v>
      </c>
      <c r="E258" s="32">
        <f>VLOOKUP(B258,'Initial adjusted formula count'!$A$1:$P$319,12,FALSE)</f>
        <v>1.06666666666667</v>
      </c>
      <c r="F258">
        <f>VLOOKUP(B258,'Model allocations'!$A$1:$L$319,8,FALSE)</f>
        <v>13764.374592986747</v>
      </c>
      <c r="G258" s="31">
        <f t="shared" si="65"/>
        <v>0.95</v>
      </c>
      <c r="H258">
        <f t="shared" si="66"/>
        <v>0</v>
      </c>
      <c r="I258">
        <f t="shared" si="58"/>
        <v>0</v>
      </c>
      <c r="J258">
        <f t="shared" si="59"/>
        <v>13764.374592986747</v>
      </c>
      <c r="K258">
        <f t="shared" si="60"/>
        <v>13762.349937163497</v>
      </c>
      <c r="L258">
        <f t="shared" si="67"/>
        <v>13762.349937163497</v>
      </c>
      <c r="M258">
        <f t="shared" si="61"/>
        <v>0</v>
      </c>
      <c r="N258" s="30">
        <f t="shared" si="68"/>
        <v>13762.349937163497</v>
      </c>
      <c r="O258" s="30">
        <f t="shared" si="62"/>
        <v>13762.099389677493</v>
      </c>
      <c r="P258" s="30">
        <f t="shared" si="69"/>
        <v>13762.099389677493</v>
      </c>
      <c r="Q258">
        <f t="shared" si="70"/>
        <v>0</v>
      </c>
      <c r="R258" s="30">
        <f t="shared" si="71"/>
        <v>13762.099389677493</v>
      </c>
      <c r="S258" s="30">
        <f t="shared" si="63"/>
        <v>13762.099389677496</v>
      </c>
      <c r="T258" s="30">
        <f t="shared" si="72"/>
        <v>13762.099389677496</v>
      </c>
      <c r="U258">
        <f t="shared" si="73"/>
        <v>0</v>
      </c>
      <c r="V258" s="30">
        <f t="shared" si="74"/>
        <v>13762.099389677496</v>
      </c>
      <c r="W258" s="30">
        <f t="shared" si="64"/>
        <v>13762.099389677498</v>
      </c>
      <c r="X258" s="30">
        <f t="shared" si="75"/>
        <v>13762.099389677498</v>
      </c>
      <c r="Y258">
        <f t="shared" si="76"/>
        <v>0</v>
      </c>
    </row>
    <row r="259" spans="1:25" x14ac:dyDescent="0.25">
      <c r="A259" s="4" t="s">
        <v>1156</v>
      </c>
      <c r="B259" s="7" t="s">
        <v>231</v>
      </c>
      <c r="C259" s="2" t="s">
        <v>1157</v>
      </c>
      <c r="D259">
        <f>VLOOKUP(B259,'Model allocations'!$A$1:$L$319,3,FALSE)</f>
        <v>0</v>
      </c>
      <c r="E259" s="32">
        <f>VLOOKUP(B259,'Initial adjusted formula count'!$A$1:$P$319,12,FALSE)</f>
        <v>0.2</v>
      </c>
      <c r="F259">
        <f>VLOOKUP(B259,'Model allocations'!$A$1:$L$319,8,FALSE)</f>
        <v>0</v>
      </c>
      <c r="G259" s="31">
        <f t="shared" si="65"/>
        <v>0.9</v>
      </c>
      <c r="H259">
        <f t="shared" si="66"/>
        <v>0</v>
      </c>
      <c r="I259">
        <f t="shared" si="58"/>
        <v>0</v>
      </c>
      <c r="J259">
        <f t="shared" si="59"/>
        <v>0</v>
      </c>
      <c r="K259">
        <f t="shared" si="60"/>
        <v>0</v>
      </c>
      <c r="L259">
        <f t="shared" si="67"/>
        <v>0</v>
      </c>
      <c r="M259">
        <f t="shared" si="61"/>
        <v>0</v>
      </c>
      <c r="N259" s="30">
        <f t="shared" si="68"/>
        <v>0</v>
      </c>
      <c r="O259" s="30">
        <f t="shared" si="62"/>
        <v>0</v>
      </c>
      <c r="P259" s="30">
        <f t="shared" si="69"/>
        <v>0</v>
      </c>
      <c r="Q259">
        <f t="shared" si="70"/>
        <v>0</v>
      </c>
      <c r="R259" s="30">
        <f t="shared" si="71"/>
        <v>0</v>
      </c>
      <c r="S259" s="30">
        <f t="shared" si="63"/>
        <v>0</v>
      </c>
      <c r="T259" s="30">
        <f t="shared" si="72"/>
        <v>0</v>
      </c>
      <c r="U259">
        <f t="shared" si="73"/>
        <v>0</v>
      </c>
      <c r="V259" s="30">
        <f t="shared" si="74"/>
        <v>0</v>
      </c>
      <c r="W259" s="30">
        <f t="shared" si="64"/>
        <v>0</v>
      </c>
      <c r="X259" s="30">
        <f t="shared" si="75"/>
        <v>0</v>
      </c>
      <c r="Y259">
        <f t="shared" si="76"/>
        <v>0</v>
      </c>
    </row>
    <row r="260" spans="1:25" x14ac:dyDescent="0.25">
      <c r="A260" s="4" t="s">
        <v>1158</v>
      </c>
      <c r="B260" s="7" t="s">
        <v>233</v>
      </c>
      <c r="C260" s="2" t="s">
        <v>1159</v>
      </c>
      <c r="D260">
        <f>VLOOKUP(B260,'Model allocations'!$A$1:$L$319,3,FALSE)</f>
        <v>212482.45300933596</v>
      </c>
      <c r="E260" s="32">
        <f>VLOOKUP(B260,'Initial adjusted formula count'!$A$1:$P$319,12,FALSE)</f>
        <v>7.0326334429547194E-2</v>
      </c>
      <c r="F260">
        <f>VLOOKUP(B260,'Model allocations'!$A$1:$L$319,8,FALSE)</f>
        <v>239156.00855314478</v>
      </c>
      <c r="G260" s="31">
        <f t="shared" si="65"/>
        <v>0.85</v>
      </c>
      <c r="H260">
        <f t="shared" si="66"/>
        <v>180610.08505793556</v>
      </c>
      <c r="I260">
        <f t="shared" ref="I260:I320" si="77">IF(F260&lt;H260,H260,0)</f>
        <v>0</v>
      </c>
      <c r="J260">
        <f t="shared" ref="J260:J320" si="78">IF(I260=0,F260,0)</f>
        <v>239156.00855314478</v>
      </c>
      <c r="K260">
        <f t="shared" ref="K260:K320" si="79">(J260/$J$3)*($F$3-$I$3)</f>
        <v>239120.83015821577</v>
      </c>
      <c r="L260">
        <f t="shared" si="67"/>
        <v>239120.83015821577</v>
      </c>
      <c r="M260">
        <f t="shared" ref="M260:M320" si="80">IF(L260&lt;H260,H260,0)</f>
        <v>0</v>
      </c>
      <c r="N260" s="30">
        <f t="shared" si="68"/>
        <v>239120.83015821577</v>
      </c>
      <c r="O260" s="30">
        <f t="shared" ref="O260:O318" si="81">((N260/$N$3)*($F$3-$I$3-$M$3))</f>
        <v>239116.47689564648</v>
      </c>
      <c r="P260" s="30">
        <f t="shared" si="69"/>
        <v>239116.47689564648</v>
      </c>
      <c r="Q260">
        <f t="shared" si="70"/>
        <v>0</v>
      </c>
      <c r="R260" s="30">
        <f t="shared" si="71"/>
        <v>239116.47689564648</v>
      </c>
      <c r="S260" s="30">
        <f t="shared" ref="S260:S318" si="82">((R260/$R$3)*($F$3-$I$3-$M$3-$Q$3))</f>
        <v>239116.47689564651</v>
      </c>
      <c r="T260" s="30">
        <f t="shared" si="72"/>
        <v>239116.47689564651</v>
      </c>
      <c r="U260">
        <f t="shared" si="73"/>
        <v>0</v>
      </c>
      <c r="V260" s="30">
        <f t="shared" si="74"/>
        <v>239116.47689564651</v>
      </c>
      <c r="W260" s="30">
        <f t="shared" ref="W260:W318" si="83">((V260/$V$3)*($F$3-$I$3-$M$3-$Q$3-$U$3))</f>
        <v>239116.47689564651</v>
      </c>
      <c r="X260" s="30">
        <f t="shared" si="75"/>
        <v>239116.47689564651</v>
      </c>
      <c r="Y260">
        <f t="shared" si="76"/>
        <v>0</v>
      </c>
    </row>
    <row r="261" spans="1:25" x14ac:dyDescent="0.25">
      <c r="A261" s="4" t="s">
        <v>1160</v>
      </c>
      <c r="B261" s="7" t="s">
        <v>598</v>
      </c>
      <c r="C261" s="2" t="s">
        <v>1161</v>
      </c>
      <c r="D261">
        <f>VLOOKUP(B261,'Model allocations'!$A$1:$L$319,3,FALSE)</f>
        <v>0</v>
      </c>
      <c r="E261" s="32">
        <f>VLOOKUP(B261,'Initial adjusted formula count'!$A$1:$P$319,12,FALSE)</f>
        <v>3.9215686274509803E-2</v>
      </c>
      <c r="F261">
        <f>VLOOKUP(B261,'Model allocations'!$A$1:$L$319,8,FALSE)</f>
        <v>0</v>
      </c>
      <c r="G261" s="31">
        <f t="shared" ref="G261:G320" si="84">IF(E261&lt;0.15,0.85,IF(AND(E261&gt;=0.15,E261&lt;0.3),0.9,0.95))</f>
        <v>0.85</v>
      </c>
      <c r="H261">
        <f t="shared" ref="H261:H320" si="85">IF(F261 = 0, 0, D261*G261)</f>
        <v>0</v>
      </c>
      <c r="I261">
        <f t="shared" si="77"/>
        <v>0</v>
      </c>
      <c r="J261">
        <f t="shared" si="78"/>
        <v>0</v>
      </c>
      <c r="K261">
        <f t="shared" si="79"/>
        <v>0</v>
      </c>
      <c r="L261">
        <f t="shared" ref="L261:L320" si="86">I261+K261</f>
        <v>0</v>
      </c>
      <c r="M261">
        <f t="shared" si="80"/>
        <v>0</v>
      </c>
      <c r="N261" s="30">
        <f t="shared" ref="N261:N318" si="87">IF($I261+$M261=0,L261,0)</f>
        <v>0</v>
      </c>
      <c r="O261" s="30">
        <f t="shared" si="81"/>
        <v>0</v>
      </c>
      <c r="P261" s="30">
        <f t="shared" ref="P261:P318" si="88">$I261+$M261+O261</f>
        <v>0</v>
      </c>
      <c r="Q261">
        <f t="shared" ref="Q261:Q318" si="89">IF(P261&lt;H261,H261,0)</f>
        <v>0</v>
      </c>
      <c r="R261" s="30">
        <f t="shared" ref="R261:R318" si="90">IF($I261+$M261+$Q261=0,P261,0)</f>
        <v>0</v>
      </c>
      <c r="S261" s="30">
        <f t="shared" si="82"/>
        <v>0</v>
      </c>
      <c r="T261" s="30">
        <f t="shared" ref="T261:T318" si="91">$I261+$M261+$Q261+S261</f>
        <v>0</v>
      </c>
      <c r="U261">
        <f t="shared" ref="U261:U318" si="92">IF(T261&lt;H261,H261,0)</f>
        <v>0</v>
      </c>
      <c r="V261" s="30">
        <f t="shared" ref="V261:V318" si="93">IF($I261+$M261+$Q261+U261=0,T261,0)</f>
        <v>0</v>
      </c>
      <c r="W261" s="30">
        <f t="shared" si="83"/>
        <v>0</v>
      </c>
      <c r="X261" s="30">
        <f t="shared" ref="X261:X318" si="94">$I261+$M261+$Q261+$U261+W261</f>
        <v>0</v>
      </c>
      <c r="Y261">
        <f t="shared" ref="Y261:Y318" si="95">IF(X261&lt;H261,H261,0)</f>
        <v>0</v>
      </c>
    </row>
    <row r="262" spans="1:25" x14ac:dyDescent="0.25">
      <c r="A262" s="4" t="s">
        <v>1162</v>
      </c>
      <c r="B262" s="7" t="s">
        <v>600</v>
      </c>
      <c r="C262" s="2" t="s">
        <v>1163</v>
      </c>
      <c r="D262">
        <f>VLOOKUP(B262,'Model allocations'!$A$1:$L$319,3,FALSE)</f>
        <v>107513.5494432366</v>
      </c>
      <c r="E262" s="32">
        <f>VLOOKUP(B262,'Initial adjusted formula count'!$A$1:$P$319,12,FALSE)</f>
        <v>0.15108695652173901</v>
      </c>
      <c r="F262">
        <f>VLOOKUP(B262,'Model allocations'!$A$1:$L$319,8,FALSE)</f>
        <v>119578.00427657239</v>
      </c>
      <c r="G262" s="31">
        <f t="shared" si="84"/>
        <v>0.9</v>
      </c>
      <c r="H262">
        <f t="shared" si="85"/>
        <v>96762.194498912941</v>
      </c>
      <c r="I262">
        <f t="shared" si="77"/>
        <v>0</v>
      </c>
      <c r="J262">
        <f t="shared" si="78"/>
        <v>119578.00427657239</v>
      </c>
      <c r="K262">
        <f t="shared" si="79"/>
        <v>119560.41507910789</v>
      </c>
      <c r="L262">
        <f t="shared" si="86"/>
        <v>119560.41507910789</v>
      </c>
      <c r="M262">
        <f t="shared" si="80"/>
        <v>0</v>
      </c>
      <c r="N262" s="30">
        <f t="shared" si="87"/>
        <v>119560.41507910789</v>
      </c>
      <c r="O262" s="30">
        <f t="shared" si="81"/>
        <v>119558.23844782324</v>
      </c>
      <c r="P262" s="30">
        <f t="shared" si="88"/>
        <v>119558.23844782324</v>
      </c>
      <c r="Q262">
        <f t="shared" si="89"/>
        <v>0</v>
      </c>
      <c r="R262" s="30">
        <f t="shared" si="90"/>
        <v>119558.23844782324</v>
      </c>
      <c r="S262" s="30">
        <f t="shared" si="82"/>
        <v>119558.23844782326</v>
      </c>
      <c r="T262" s="30">
        <f t="shared" si="91"/>
        <v>119558.23844782326</v>
      </c>
      <c r="U262">
        <f t="shared" si="92"/>
        <v>0</v>
      </c>
      <c r="V262" s="30">
        <f t="shared" si="93"/>
        <v>119558.23844782326</v>
      </c>
      <c r="W262" s="30">
        <f t="shared" si="83"/>
        <v>119558.23844782326</v>
      </c>
      <c r="X262" s="30">
        <f t="shared" si="94"/>
        <v>119558.23844782326</v>
      </c>
      <c r="Y262">
        <f t="shared" si="95"/>
        <v>0</v>
      </c>
    </row>
    <row r="263" spans="1:25" x14ac:dyDescent="0.25">
      <c r="A263" s="4" t="s">
        <v>1164</v>
      </c>
      <c r="B263" s="7" t="s">
        <v>235</v>
      </c>
      <c r="C263" s="2" t="s">
        <v>1165</v>
      </c>
      <c r="D263">
        <f>VLOOKUP(B263,'Model allocations'!$A$1:$L$319,3,FALSE)</f>
        <v>204403.27228654758</v>
      </c>
      <c r="E263" s="32">
        <f>VLOOKUP(B263,'Initial adjusted formula count'!$A$1:$P$319,12,FALSE)</f>
        <v>8.9707649179014803E-2</v>
      </c>
      <c r="F263">
        <f>VLOOKUP(B263,'Model allocations'!$A$1:$L$319,8,FALSE)</f>
        <v>192701.24430181441</v>
      </c>
      <c r="G263" s="31">
        <f t="shared" si="84"/>
        <v>0.85</v>
      </c>
      <c r="H263">
        <f t="shared" si="85"/>
        <v>173742.78144356544</v>
      </c>
      <c r="I263">
        <f t="shared" si="77"/>
        <v>0</v>
      </c>
      <c r="J263">
        <f t="shared" si="78"/>
        <v>192701.24430181441</v>
      </c>
      <c r="K263">
        <f t="shared" si="79"/>
        <v>192672.8991202889</v>
      </c>
      <c r="L263">
        <f t="shared" si="86"/>
        <v>192672.8991202889</v>
      </c>
      <c r="M263">
        <f t="shared" si="80"/>
        <v>0</v>
      </c>
      <c r="N263" s="30">
        <f t="shared" si="87"/>
        <v>192672.8991202889</v>
      </c>
      <c r="O263" s="30">
        <f t="shared" si="81"/>
        <v>192669.39145548485</v>
      </c>
      <c r="P263" s="30">
        <f t="shared" si="88"/>
        <v>192669.39145548485</v>
      </c>
      <c r="Q263">
        <f t="shared" si="89"/>
        <v>0</v>
      </c>
      <c r="R263" s="30">
        <f t="shared" si="90"/>
        <v>192669.39145548485</v>
      </c>
      <c r="S263" s="30">
        <f t="shared" si="82"/>
        <v>192669.39145548487</v>
      </c>
      <c r="T263" s="30">
        <f t="shared" si="91"/>
        <v>192669.39145548487</v>
      </c>
      <c r="U263">
        <f t="shared" si="92"/>
        <v>0</v>
      </c>
      <c r="V263" s="30">
        <f t="shared" si="93"/>
        <v>192669.39145548487</v>
      </c>
      <c r="W263" s="30">
        <f t="shared" si="83"/>
        <v>192669.3914554849</v>
      </c>
      <c r="X263" s="30">
        <f t="shared" si="94"/>
        <v>192669.3914554849</v>
      </c>
      <c r="Y263">
        <f t="shared" si="95"/>
        <v>0</v>
      </c>
    </row>
    <row r="264" spans="1:25" x14ac:dyDescent="0.25">
      <c r="A264" s="4" t="s">
        <v>26</v>
      </c>
      <c r="B264" s="7" t="s">
        <v>76</v>
      </c>
      <c r="C264" s="2" t="s">
        <v>1166</v>
      </c>
      <c r="D264">
        <f>VLOOKUP(B264,'Model allocations'!$A$1:$L$319,3,FALSE)</f>
        <v>67614.356767869074</v>
      </c>
      <c r="E264" s="32">
        <f>VLOOKUP(B264,'Initial adjusted formula count'!$A$1:$P$319,12,FALSE)</f>
        <v>0.15042834958370099</v>
      </c>
      <c r="F264">
        <f>VLOOKUP(B264,'Model allocations'!$A$1:$L$319,8,FALSE)</f>
        <v>95993.0496796933</v>
      </c>
      <c r="G264" s="31">
        <f t="shared" si="84"/>
        <v>0.9</v>
      </c>
      <c r="H264">
        <f t="shared" si="85"/>
        <v>60852.921091082171</v>
      </c>
      <c r="I264">
        <f t="shared" si="77"/>
        <v>0</v>
      </c>
      <c r="J264">
        <f t="shared" si="78"/>
        <v>95993.0496796933</v>
      </c>
      <c r="K264">
        <f t="shared" si="79"/>
        <v>95978.92968566723</v>
      </c>
      <c r="L264">
        <f t="shared" si="86"/>
        <v>95978.92968566723</v>
      </c>
      <c r="M264">
        <f t="shared" si="80"/>
        <v>0</v>
      </c>
      <c r="N264" s="30">
        <f t="shared" si="87"/>
        <v>95978.92968566723</v>
      </c>
      <c r="O264" s="30">
        <f t="shared" si="81"/>
        <v>95977.182362015985</v>
      </c>
      <c r="P264" s="30">
        <f t="shared" si="88"/>
        <v>95977.182362015985</v>
      </c>
      <c r="Q264">
        <f t="shared" si="89"/>
        <v>0</v>
      </c>
      <c r="R264" s="30">
        <f t="shared" si="90"/>
        <v>95977.182362015985</v>
      </c>
      <c r="S264" s="30">
        <f t="shared" si="82"/>
        <v>95977.182362015999</v>
      </c>
      <c r="T264" s="30">
        <f t="shared" si="91"/>
        <v>95977.182362015999</v>
      </c>
      <c r="U264">
        <f t="shared" si="92"/>
        <v>0</v>
      </c>
      <c r="V264" s="30">
        <f t="shared" si="93"/>
        <v>95977.182362015999</v>
      </c>
      <c r="W264" s="30">
        <f t="shared" si="83"/>
        <v>95977.182362016014</v>
      </c>
      <c r="X264" s="30">
        <f t="shared" si="94"/>
        <v>95977.182362016014</v>
      </c>
      <c r="Y264">
        <f t="shared" si="95"/>
        <v>0</v>
      </c>
    </row>
    <row r="265" spans="1:25" x14ac:dyDescent="0.25">
      <c r="A265" s="4" t="s">
        <v>41</v>
      </c>
      <c r="B265" s="7" t="s">
        <v>84</v>
      </c>
      <c r="C265" s="2" t="s">
        <v>1167</v>
      </c>
      <c r="D265">
        <f>VLOOKUP(B265,'Model allocations'!$A$1:$L$319,3,FALSE)</f>
        <v>17533.600898853398</v>
      </c>
      <c r="E265" s="32">
        <f>VLOOKUP(B265,'Initial adjusted formula count'!$A$1:$P$319,12,FALSE)</f>
        <v>0.13144691036601899</v>
      </c>
      <c r="F265">
        <f>VLOOKUP(B265,'Model allocations'!$A$1:$L$319,8,FALSE)</f>
        <v>19862.115076940998</v>
      </c>
      <c r="G265" s="31">
        <f t="shared" si="84"/>
        <v>0.85</v>
      </c>
      <c r="H265">
        <f t="shared" si="85"/>
        <v>14903.560764025387</v>
      </c>
      <c r="I265">
        <f t="shared" si="77"/>
        <v>0</v>
      </c>
      <c r="J265">
        <f t="shared" si="78"/>
        <v>19862.115076940998</v>
      </c>
      <c r="K265">
        <f t="shared" si="79"/>
        <v>19859.193480563266</v>
      </c>
      <c r="L265">
        <f t="shared" si="86"/>
        <v>19859.193480563266</v>
      </c>
      <c r="M265">
        <f t="shared" si="80"/>
        <v>0</v>
      </c>
      <c r="N265" s="30">
        <f t="shared" si="87"/>
        <v>19859.193480563266</v>
      </c>
      <c r="O265" s="30">
        <f t="shared" si="81"/>
        <v>19858.831938310428</v>
      </c>
      <c r="P265" s="30">
        <f t="shared" si="88"/>
        <v>19858.831938310428</v>
      </c>
      <c r="Q265">
        <f t="shared" si="89"/>
        <v>0</v>
      </c>
      <c r="R265" s="30">
        <f t="shared" si="90"/>
        <v>19858.831938310428</v>
      </c>
      <c r="S265" s="30">
        <f t="shared" si="82"/>
        <v>19858.831938310432</v>
      </c>
      <c r="T265" s="30">
        <f t="shared" si="91"/>
        <v>19858.831938310432</v>
      </c>
      <c r="U265">
        <f t="shared" si="92"/>
        <v>0</v>
      </c>
      <c r="V265" s="30">
        <f t="shared" si="93"/>
        <v>19858.831938310432</v>
      </c>
      <c r="W265" s="30">
        <f t="shared" si="83"/>
        <v>19858.831938310435</v>
      </c>
      <c r="X265" s="30">
        <f t="shared" si="94"/>
        <v>19858.831938310435</v>
      </c>
      <c r="Y265">
        <f t="shared" si="95"/>
        <v>0</v>
      </c>
    </row>
    <row r="266" spans="1:25" x14ac:dyDescent="0.25">
      <c r="A266" s="4" t="s">
        <v>28</v>
      </c>
      <c r="B266" s="7" t="s">
        <v>77</v>
      </c>
      <c r="C266" s="2" t="s">
        <v>1168</v>
      </c>
      <c r="D266">
        <f>VLOOKUP(B266,'Model allocations'!$A$1:$L$319,3,FALSE)</f>
        <v>27045.74270714763</v>
      </c>
      <c r="E266" s="32">
        <f>VLOOKUP(B266,'Initial adjusted formula count'!$A$1:$P$319,12,FALSE)</f>
        <v>0.143078939572856</v>
      </c>
      <c r="F266">
        <f>VLOOKUP(B266,'Model allocations'!$A$1:$L$319,8,FALSE)</f>
        <v>36920.403722959076</v>
      </c>
      <c r="G266" s="31">
        <f t="shared" si="84"/>
        <v>0.85</v>
      </c>
      <c r="H266">
        <f t="shared" si="85"/>
        <v>22988.881301075486</v>
      </c>
      <c r="I266">
        <f t="shared" si="77"/>
        <v>0</v>
      </c>
      <c r="J266">
        <f t="shared" si="78"/>
        <v>36920.403722959076</v>
      </c>
      <c r="K266">
        <f t="shared" si="79"/>
        <v>36914.972956025973</v>
      </c>
      <c r="L266">
        <f t="shared" si="86"/>
        <v>36914.972956025973</v>
      </c>
      <c r="M266">
        <f t="shared" si="80"/>
        <v>0</v>
      </c>
      <c r="N266" s="30">
        <f t="shared" si="87"/>
        <v>36914.972956025973</v>
      </c>
      <c r="O266" s="30">
        <f t="shared" si="81"/>
        <v>36914.300908467798</v>
      </c>
      <c r="P266" s="30">
        <f t="shared" si="88"/>
        <v>36914.300908467798</v>
      </c>
      <c r="Q266">
        <f t="shared" si="89"/>
        <v>0</v>
      </c>
      <c r="R266" s="30">
        <f t="shared" si="90"/>
        <v>36914.300908467798</v>
      </c>
      <c r="S266" s="30">
        <f t="shared" si="82"/>
        <v>36914.300908467805</v>
      </c>
      <c r="T266" s="30">
        <f t="shared" si="91"/>
        <v>36914.300908467805</v>
      </c>
      <c r="U266">
        <f t="shared" si="92"/>
        <v>0</v>
      </c>
      <c r="V266" s="30">
        <f t="shared" si="93"/>
        <v>36914.300908467805</v>
      </c>
      <c r="W266" s="30">
        <f t="shared" si="83"/>
        <v>36914.300908467805</v>
      </c>
      <c r="X266" s="30">
        <f t="shared" si="94"/>
        <v>36914.300908467805</v>
      </c>
      <c r="Y266">
        <f t="shared" si="95"/>
        <v>0</v>
      </c>
    </row>
    <row r="267" spans="1:25" x14ac:dyDescent="0.25">
      <c r="A267" s="4" t="s">
        <v>1169</v>
      </c>
      <c r="B267" s="7" t="s">
        <v>602</v>
      </c>
      <c r="C267" s="2" t="s">
        <v>1170</v>
      </c>
      <c r="D267">
        <f>VLOOKUP(B267,'Model allocations'!$A$1:$L$319,3,FALSE)</f>
        <v>21813.787951528786</v>
      </c>
      <c r="E267" s="32">
        <f>VLOOKUP(B267,'Initial adjusted formula count'!$A$1:$P$319,12,FALSE)</f>
        <v>0.19298245614035101</v>
      </c>
      <c r="F267">
        <f>VLOOKUP(B267,'Model allocations'!$A$1:$L$319,8,FALSE)</f>
        <v>19632.409156375907</v>
      </c>
      <c r="G267" s="31">
        <f t="shared" si="84"/>
        <v>0.9</v>
      </c>
      <c r="H267">
        <f t="shared" si="85"/>
        <v>19632.409156375907</v>
      </c>
      <c r="I267">
        <f t="shared" si="77"/>
        <v>0</v>
      </c>
      <c r="J267">
        <f t="shared" si="78"/>
        <v>19632.409156375907</v>
      </c>
      <c r="K267">
        <f t="shared" si="79"/>
        <v>19629.521348342612</v>
      </c>
      <c r="L267">
        <f t="shared" si="86"/>
        <v>19629.521348342612</v>
      </c>
      <c r="M267">
        <f t="shared" si="80"/>
        <v>19632.409156375907</v>
      </c>
      <c r="N267" s="30">
        <f t="shared" si="87"/>
        <v>0</v>
      </c>
      <c r="O267" s="30">
        <f t="shared" si="81"/>
        <v>0</v>
      </c>
      <c r="P267" s="30">
        <f t="shared" si="88"/>
        <v>19632.409156375907</v>
      </c>
      <c r="Q267">
        <f t="shared" si="89"/>
        <v>0</v>
      </c>
      <c r="R267" s="30">
        <f t="shared" si="90"/>
        <v>0</v>
      </c>
      <c r="S267" s="30">
        <f t="shared" si="82"/>
        <v>0</v>
      </c>
      <c r="T267" s="30">
        <f t="shared" si="91"/>
        <v>19632.409156375907</v>
      </c>
      <c r="U267">
        <f t="shared" si="92"/>
        <v>0</v>
      </c>
      <c r="V267" s="30">
        <f t="shared" si="93"/>
        <v>0</v>
      </c>
      <c r="W267" s="30">
        <f t="shared" si="83"/>
        <v>0</v>
      </c>
      <c r="X267" s="30">
        <f t="shared" si="94"/>
        <v>19632.409156375907</v>
      </c>
      <c r="Y267">
        <f t="shared" si="95"/>
        <v>0</v>
      </c>
    </row>
    <row r="268" spans="1:25" x14ac:dyDescent="0.25">
      <c r="A268" s="4" t="s">
        <v>1171</v>
      </c>
      <c r="B268" s="7" t="s">
        <v>237</v>
      </c>
      <c r="C268" s="2" t="s">
        <v>1172</v>
      </c>
      <c r="D268">
        <f>VLOOKUP(B268,'Model allocations'!$A$1:$L$319,3,FALSE)</f>
        <v>526762.58312580653</v>
      </c>
      <c r="E268" s="32">
        <f>VLOOKUP(B268,'Initial adjusted formula count'!$A$1:$P$319,12,FALSE)</f>
        <v>5.3048148497126198E-2</v>
      </c>
      <c r="F268">
        <f>VLOOKUP(B268,'Model allocations'!$A$1:$L$319,8,FALSE)</f>
        <v>484333.9309907211</v>
      </c>
      <c r="G268" s="31">
        <f t="shared" si="84"/>
        <v>0.85</v>
      </c>
      <c r="H268">
        <f t="shared" si="85"/>
        <v>447748.19565693551</v>
      </c>
      <c r="I268">
        <f t="shared" si="77"/>
        <v>0</v>
      </c>
      <c r="J268">
        <f t="shared" si="78"/>
        <v>484333.9309907211</v>
      </c>
      <c r="K268">
        <f t="shared" si="79"/>
        <v>484262.68841394049</v>
      </c>
      <c r="L268">
        <f t="shared" si="86"/>
        <v>484262.68841394049</v>
      </c>
      <c r="M268">
        <f t="shared" si="80"/>
        <v>0</v>
      </c>
      <c r="N268" s="30">
        <f t="shared" si="87"/>
        <v>484262.68841394049</v>
      </c>
      <c r="O268" s="30">
        <f t="shared" si="81"/>
        <v>484253.87227427674</v>
      </c>
      <c r="P268" s="30">
        <f t="shared" si="88"/>
        <v>484253.87227427674</v>
      </c>
      <c r="Q268">
        <f t="shared" si="89"/>
        <v>0</v>
      </c>
      <c r="R268" s="30">
        <f t="shared" si="90"/>
        <v>484253.87227427674</v>
      </c>
      <c r="S268" s="30">
        <f t="shared" si="82"/>
        <v>484253.8722742768</v>
      </c>
      <c r="T268" s="30">
        <f t="shared" si="91"/>
        <v>484253.8722742768</v>
      </c>
      <c r="U268">
        <f t="shared" si="92"/>
        <v>0</v>
      </c>
      <c r="V268" s="30">
        <f t="shared" si="93"/>
        <v>484253.8722742768</v>
      </c>
      <c r="W268" s="30">
        <f t="shared" si="83"/>
        <v>484253.87227427692</v>
      </c>
      <c r="X268" s="30">
        <f t="shared" si="94"/>
        <v>484253.87227427692</v>
      </c>
      <c r="Y268">
        <f t="shared" si="95"/>
        <v>0</v>
      </c>
    </row>
    <row r="269" spans="1:25" x14ac:dyDescent="0.25">
      <c r="A269" s="4" t="s">
        <v>1173</v>
      </c>
      <c r="B269" s="7" t="s">
        <v>604</v>
      </c>
      <c r="C269" s="2" t="s">
        <v>1174</v>
      </c>
      <c r="D269">
        <f>VLOOKUP(B269,'Model allocations'!$A$1:$L$319,3,FALSE)</f>
        <v>1050293.4939624972</v>
      </c>
      <c r="E269" s="32">
        <f>VLOOKUP(B269,'Initial adjusted formula count'!$A$1:$P$319,12,FALSE)</f>
        <v>0.193387096774194</v>
      </c>
      <c r="F269">
        <f>VLOOKUP(B269,'Model allocations'!$A$1:$L$319,8,FALSE)</f>
        <v>1031467.8210619444</v>
      </c>
      <c r="G269" s="31">
        <f t="shared" si="84"/>
        <v>0.9</v>
      </c>
      <c r="H269">
        <f t="shared" si="85"/>
        <v>945264.14456624747</v>
      </c>
      <c r="I269">
        <f t="shared" si="77"/>
        <v>0</v>
      </c>
      <c r="J269">
        <f t="shared" si="78"/>
        <v>1031467.8210619444</v>
      </c>
      <c r="K269">
        <f t="shared" si="79"/>
        <v>1031316.0984161895</v>
      </c>
      <c r="L269">
        <f t="shared" si="86"/>
        <v>1031316.0984161895</v>
      </c>
      <c r="M269">
        <f t="shared" si="80"/>
        <v>0</v>
      </c>
      <c r="N269" s="30">
        <f t="shared" si="87"/>
        <v>1031316.0984161895</v>
      </c>
      <c r="O269" s="30">
        <f t="shared" si="81"/>
        <v>1031297.323013957</v>
      </c>
      <c r="P269" s="30">
        <f t="shared" si="88"/>
        <v>1031297.323013957</v>
      </c>
      <c r="Q269">
        <f t="shared" si="89"/>
        <v>0</v>
      </c>
      <c r="R269" s="30">
        <f t="shared" si="90"/>
        <v>1031297.323013957</v>
      </c>
      <c r="S269" s="30">
        <f t="shared" si="82"/>
        <v>1031297.323013957</v>
      </c>
      <c r="T269" s="30">
        <f t="shared" si="91"/>
        <v>1031297.323013957</v>
      </c>
      <c r="U269">
        <f t="shared" si="92"/>
        <v>0</v>
      </c>
      <c r="V269" s="30">
        <f t="shared" si="93"/>
        <v>1031297.323013957</v>
      </c>
      <c r="W269" s="30">
        <f t="shared" si="83"/>
        <v>1031297.323013957</v>
      </c>
      <c r="X269" s="30">
        <f t="shared" si="94"/>
        <v>1031297.323013957</v>
      </c>
      <c r="Y269">
        <f t="shared" si="95"/>
        <v>0</v>
      </c>
    </row>
    <row r="270" spans="1:25" x14ac:dyDescent="0.25">
      <c r="A270" s="4" t="s">
        <v>11</v>
      </c>
      <c r="B270" s="7" t="s">
        <v>70</v>
      </c>
      <c r="C270" s="2" t="s">
        <v>1175</v>
      </c>
      <c r="D270">
        <f>VLOOKUP(B270,'Model allocations'!$A$1:$L$319,3,FALSE)</f>
        <v>14184.318531403884</v>
      </c>
      <c r="E270" s="32">
        <f>VLOOKUP(B270,'Initial adjusted formula count'!$A$1:$P$319,12,FALSE)</f>
        <v>0.20948192116852299</v>
      </c>
      <c r="F270">
        <f>VLOOKUP(B270,'Model allocations'!$A$1:$L$319,8,FALSE)</f>
        <v>15494.230345822674</v>
      </c>
      <c r="G270" s="31">
        <f t="shared" si="84"/>
        <v>0.9</v>
      </c>
      <c r="H270">
        <f t="shared" si="85"/>
        <v>12765.886678263496</v>
      </c>
      <c r="I270">
        <f t="shared" si="77"/>
        <v>0</v>
      </c>
      <c r="J270">
        <f t="shared" si="78"/>
        <v>15494.230345822674</v>
      </c>
      <c r="K270">
        <f t="shared" si="79"/>
        <v>15491.951238734699</v>
      </c>
      <c r="L270">
        <f t="shared" si="86"/>
        <v>15491.951238734699</v>
      </c>
      <c r="M270">
        <f t="shared" si="80"/>
        <v>0</v>
      </c>
      <c r="N270" s="30">
        <f t="shared" si="87"/>
        <v>15491.951238734699</v>
      </c>
      <c r="O270" s="30">
        <f t="shared" si="81"/>
        <v>15491.669203366184</v>
      </c>
      <c r="P270" s="30">
        <f t="shared" si="88"/>
        <v>15491.669203366184</v>
      </c>
      <c r="Q270">
        <f t="shared" si="89"/>
        <v>0</v>
      </c>
      <c r="R270" s="30">
        <f t="shared" si="90"/>
        <v>15491.669203366184</v>
      </c>
      <c r="S270" s="30">
        <f t="shared" si="82"/>
        <v>15491.669203366186</v>
      </c>
      <c r="T270" s="30">
        <f t="shared" si="91"/>
        <v>15491.669203366186</v>
      </c>
      <c r="U270">
        <f t="shared" si="92"/>
        <v>0</v>
      </c>
      <c r="V270" s="30">
        <f t="shared" si="93"/>
        <v>15491.669203366186</v>
      </c>
      <c r="W270" s="30">
        <f t="shared" si="83"/>
        <v>15491.669203366189</v>
      </c>
      <c r="X270" s="30">
        <f t="shared" si="94"/>
        <v>15491.669203366189</v>
      </c>
      <c r="Y270">
        <f t="shared" si="95"/>
        <v>0</v>
      </c>
    </row>
    <row r="271" spans="1:25" x14ac:dyDescent="0.25">
      <c r="A271" s="4" t="s">
        <v>40</v>
      </c>
      <c r="B271" s="7" t="s">
        <v>65</v>
      </c>
      <c r="C271" s="2" t="s">
        <v>1176</v>
      </c>
      <c r="D271">
        <f>VLOOKUP(B271,'Model allocations'!$A$1:$L$319,3,FALSE)</f>
        <v>3399300.7784178485</v>
      </c>
      <c r="E271" s="32">
        <f>VLOOKUP(B271,'Initial adjusted formula count'!$A$1:$P$319,12,FALSE)</f>
        <v>0.13305129519424</v>
      </c>
      <c r="F271">
        <f>VLOOKUP(B271,'Model allocations'!$A$1:$L$319,8,FALSE)</f>
        <v>3730809.5949327624</v>
      </c>
      <c r="G271" s="31">
        <f t="shared" si="84"/>
        <v>0.85</v>
      </c>
      <c r="H271">
        <f t="shared" si="85"/>
        <v>2889405.6616551713</v>
      </c>
      <c r="I271">
        <f t="shared" si="77"/>
        <v>0</v>
      </c>
      <c r="J271">
        <f t="shared" si="78"/>
        <v>3730809.5949327624</v>
      </c>
      <c r="K271">
        <f t="shared" si="79"/>
        <v>3730260.8155224966</v>
      </c>
      <c r="L271">
        <f t="shared" si="86"/>
        <v>3730260.8155224966</v>
      </c>
      <c r="M271">
        <f t="shared" si="80"/>
        <v>0</v>
      </c>
      <c r="N271" s="30">
        <f t="shared" si="87"/>
        <v>3730260.8155224966</v>
      </c>
      <c r="O271" s="30">
        <f t="shared" si="81"/>
        <v>3730192.9050657987</v>
      </c>
      <c r="P271" s="30">
        <f t="shared" si="88"/>
        <v>3730192.9050657987</v>
      </c>
      <c r="Q271">
        <f t="shared" si="89"/>
        <v>0</v>
      </c>
      <c r="R271" s="30">
        <f t="shared" si="90"/>
        <v>3730192.9050657987</v>
      </c>
      <c r="S271" s="30">
        <f t="shared" si="82"/>
        <v>3730192.9050657996</v>
      </c>
      <c r="T271" s="30">
        <f t="shared" si="91"/>
        <v>3730192.9050657996</v>
      </c>
      <c r="U271">
        <f t="shared" si="92"/>
        <v>0</v>
      </c>
      <c r="V271" s="30">
        <f t="shared" si="93"/>
        <v>3730192.9050657996</v>
      </c>
      <c r="W271" s="30">
        <f t="shared" si="83"/>
        <v>3730192.9050658001</v>
      </c>
      <c r="X271" s="30">
        <f t="shared" si="94"/>
        <v>3730192.9050658001</v>
      </c>
      <c r="Y271">
        <f t="shared" si="95"/>
        <v>0</v>
      </c>
    </row>
    <row r="272" spans="1:25" x14ac:dyDescent="0.25">
      <c r="A272" s="4" t="s">
        <v>1177</v>
      </c>
      <c r="B272" s="7" t="s">
        <v>606</v>
      </c>
      <c r="C272" s="2" t="s">
        <v>1178</v>
      </c>
      <c r="D272">
        <f>VLOOKUP(B272,'Model allocations'!$A$1:$L$319,3,FALSE)</f>
        <v>59785.93734863447</v>
      </c>
      <c r="E272" s="32">
        <f>VLOOKUP(B272,'Initial adjusted formula count'!$A$1:$P$319,12,FALSE)</f>
        <v>0.25144508670520199</v>
      </c>
      <c r="F272">
        <f>VLOOKUP(B272,'Model allocations'!$A$1:$L$319,8,FALSE)</f>
        <v>74843.78684936541</v>
      </c>
      <c r="G272" s="31">
        <f t="shared" si="84"/>
        <v>0.9</v>
      </c>
      <c r="H272">
        <f t="shared" si="85"/>
        <v>53807.343613771023</v>
      </c>
      <c r="I272">
        <f t="shared" si="77"/>
        <v>0</v>
      </c>
      <c r="J272">
        <f t="shared" si="78"/>
        <v>74843.78684936541</v>
      </c>
      <c r="K272">
        <f t="shared" si="79"/>
        <v>74832.777783326484</v>
      </c>
      <c r="L272">
        <f t="shared" si="86"/>
        <v>74832.777783326484</v>
      </c>
      <c r="M272">
        <f t="shared" si="80"/>
        <v>0</v>
      </c>
      <c r="N272" s="30">
        <f t="shared" si="87"/>
        <v>74832.777783326484</v>
      </c>
      <c r="O272" s="30">
        <f t="shared" si="81"/>
        <v>74831.415431371337</v>
      </c>
      <c r="P272" s="30">
        <f t="shared" si="88"/>
        <v>74831.415431371337</v>
      </c>
      <c r="Q272">
        <f t="shared" si="89"/>
        <v>0</v>
      </c>
      <c r="R272" s="30">
        <f t="shared" si="90"/>
        <v>74831.415431371337</v>
      </c>
      <c r="S272" s="30">
        <f t="shared" si="82"/>
        <v>74831.415431371337</v>
      </c>
      <c r="T272" s="30">
        <f t="shared" si="91"/>
        <v>74831.415431371337</v>
      </c>
      <c r="U272">
        <f t="shared" si="92"/>
        <v>0</v>
      </c>
      <c r="V272" s="30">
        <f t="shared" si="93"/>
        <v>74831.415431371337</v>
      </c>
      <c r="W272" s="30">
        <f t="shared" si="83"/>
        <v>74831.415431371337</v>
      </c>
      <c r="X272" s="30">
        <f t="shared" si="94"/>
        <v>74831.415431371337</v>
      </c>
      <c r="Y272">
        <f t="shared" si="95"/>
        <v>0</v>
      </c>
    </row>
    <row r="273" spans="1:25" x14ac:dyDescent="0.25">
      <c r="A273" s="4" t="s">
        <v>1179</v>
      </c>
      <c r="B273" s="7" t="s">
        <v>239</v>
      </c>
      <c r="C273" s="2" t="s">
        <v>1180</v>
      </c>
      <c r="D273">
        <f>VLOOKUP(B273,'Model allocations'!$A$1:$L$319,3,FALSE)</f>
        <v>363563.13252547989</v>
      </c>
      <c r="E273" s="32">
        <f>VLOOKUP(B273,'Initial adjusted formula count'!$A$1:$P$319,12,FALSE)</f>
        <v>4.2195957141279099E-2</v>
      </c>
      <c r="F273">
        <f>VLOOKUP(B273,'Model allocations'!$A$1:$L$319,8,FALSE)</f>
        <v>328624.4434075586</v>
      </c>
      <c r="G273" s="31">
        <f t="shared" si="84"/>
        <v>0.85</v>
      </c>
      <c r="H273">
        <f t="shared" si="85"/>
        <v>309028.6626466579</v>
      </c>
      <c r="I273">
        <f t="shared" si="77"/>
        <v>0</v>
      </c>
      <c r="J273">
        <f t="shared" si="78"/>
        <v>328624.4434075586</v>
      </c>
      <c r="K273">
        <f t="shared" si="79"/>
        <v>328576.10474977852</v>
      </c>
      <c r="L273">
        <f t="shared" si="86"/>
        <v>328576.10474977852</v>
      </c>
      <c r="M273">
        <f t="shared" si="80"/>
        <v>0</v>
      </c>
      <c r="N273" s="30">
        <f t="shared" si="87"/>
        <v>328576.10474977852</v>
      </c>
      <c r="O273" s="30">
        <f t="shared" si="81"/>
        <v>328570.12292855018</v>
      </c>
      <c r="P273" s="30">
        <f t="shared" si="88"/>
        <v>328570.12292855018</v>
      </c>
      <c r="Q273">
        <f t="shared" si="89"/>
        <v>0</v>
      </c>
      <c r="R273" s="30">
        <f t="shared" si="90"/>
        <v>328570.12292855018</v>
      </c>
      <c r="S273" s="30">
        <f t="shared" si="82"/>
        <v>328570.12292855018</v>
      </c>
      <c r="T273" s="30">
        <f t="shared" si="91"/>
        <v>328570.12292855018</v>
      </c>
      <c r="U273">
        <f t="shared" si="92"/>
        <v>0</v>
      </c>
      <c r="V273" s="30">
        <f t="shared" si="93"/>
        <v>328570.12292855018</v>
      </c>
      <c r="W273" s="30">
        <f t="shared" si="83"/>
        <v>328570.12292855018</v>
      </c>
      <c r="X273" s="30">
        <f t="shared" si="94"/>
        <v>328570.12292855018</v>
      </c>
      <c r="Y273">
        <f t="shared" si="95"/>
        <v>0</v>
      </c>
    </row>
    <row r="274" spans="1:25" x14ac:dyDescent="0.25">
      <c r="A274" s="4" t="s">
        <v>1181</v>
      </c>
      <c r="B274" s="7" t="s">
        <v>241</v>
      </c>
      <c r="C274" s="2" t="s">
        <v>1182</v>
      </c>
      <c r="D274">
        <f>VLOOKUP(B274,'Model allocations'!$A$1:$L$319,3,FALSE)</f>
        <v>21813.787951528786</v>
      </c>
      <c r="E274" s="32">
        <f>VLOOKUP(B274,'Initial adjusted formula count'!$A$1:$P$319,12,FALSE)</f>
        <v>0.17177914110429399</v>
      </c>
      <c r="F274">
        <f>VLOOKUP(B274,'Model allocations'!$A$1:$L$319,8,FALSE)</f>
        <v>24087.655537726801</v>
      </c>
      <c r="G274" s="31">
        <f t="shared" si="84"/>
        <v>0.9</v>
      </c>
      <c r="H274">
        <f t="shared" si="85"/>
        <v>19632.409156375907</v>
      </c>
      <c r="I274">
        <f t="shared" si="77"/>
        <v>0</v>
      </c>
      <c r="J274">
        <f t="shared" si="78"/>
        <v>24087.655537726801</v>
      </c>
      <c r="K274">
        <f t="shared" si="79"/>
        <v>24084.112390036113</v>
      </c>
      <c r="L274">
        <f t="shared" si="86"/>
        <v>24084.112390036113</v>
      </c>
      <c r="M274">
        <f t="shared" si="80"/>
        <v>0</v>
      </c>
      <c r="N274" s="30">
        <f t="shared" si="87"/>
        <v>24084.112390036113</v>
      </c>
      <c r="O274" s="30">
        <f t="shared" si="81"/>
        <v>24083.673931935606</v>
      </c>
      <c r="P274" s="30">
        <f t="shared" si="88"/>
        <v>24083.673931935606</v>
      </c>
      <c r="Q274">
        <f t="shared" si="89"/>
        <v>0</v>
      </c>
      <c r="R274" s="30">
        <f t="shared" si="90"/>
        <v>24083.673931935606</v>
      </c>
      <c r="S274" s="30">
        <f t="shared" si="82"/>
        <v>24083.673931935609</v>
      </c>
      <c r="T274" s="30">
        <f t="shared" si="91"/>
        <v>24083.673931935609</v>
      </c>
      <c r="U274">
        <f t="shared" si="92"/>
        <v>0</v>
      </c>
      <c r="V274" s="30">
        <f t="shared" si="93"/>
        <v>24083.673931935609</v>
      </c>
      <c r="W274" s="30">
        <f t="shared" si="83"/>
        <v>24083.673931935613</v>
      </c>
      <c r="X274" s="30">
        <f t="shared" si="94"/>
        <v>24083.673931935613</v>
      </c>
      <c r="Y274">
        <f t="shared" si="95"/>
        <v>0</v>
      </c>
    </row>
    <row r="275" spans="1:25" x14ac:dyDescent="0.25">
      <c r="A275" s="4" t="s">
        <v>1183</v>
      </c>
      <c r="B275" s="7" t="s">
        <v>308</v>
      </c>
      <c r="C275" s="2" t="s">
        <v>1184</v>
      </c>
      <c r="D275">
        <f>VLOOKUP(B275,'Model allocations'!$A$1:$L$319,3,FALSE)</f>
        <v>173702.38553995147</v>
      </c>
      <c r="E275" s="32">
        <f>VLOOKUP(B275,'Initial adjusted formula count'!$A$1:$P$319,12,FALSE)</f>
        <v>0.12789927104042401</v>
      </c>
      <c r="F275">
        <f>VLOOKUP(B275,'Model allocations'!$A$1:$L$319,8,FALSE)</f>
        <v>166032.76852790269</v>
      </c>
      <c r="G275" s="31">
        <f t="shared" si="84"/>
        <v>0.85</v>
      </c>
      <c r="H275">
        <f t="shared" si="85"/>
        <v>147647.02770895875</v>
      </c>
      <c r="I275">
        <f t="shared" si="77"/>
        <v>0</v>
      </c>
      <c r="J275">
        <f t="shared" si="78"/>
        <v>166032.76852790269</v>
      </c>
      <c r="K275">
        <f t="shared" si="79"/>
        <v>166008.34611703476</v>
      </c>
      <c r="L275">
        <f t="shared" si="86"/>
        <v>166008.34611703476</v>
      </c>
      <c r="M275">
        <f t="shared" si="80"/>
        <v>0</v>
      </c>
      <c r="N275" s="30">
        <f t="shared" si="87"/>
        <v>166008.34611703476</v>
      </c>
      <c r="O275" s="30">
        <f t="shared" si="81"/>
        <v>166005.32388798485</v>
      </c>
      <c r="P275" s="30">
        <f t="shared" si="88"/>
        <v>166005.32388798485</v>
      </c>
      <c r="Q275">
        <f t="shared" si="89"/>
        <v>0</v>
      </c>
      <c r="R275" s="30">
        <f t="shared" si="90"/>
        <v>166005.32388798485</v>
      </c>
      <c r="S275" s="30">
        <f t="shared" si="82"/>
        <v>166005.32388798488</v>
      </c>
      <c r="T275" s="30">
        <f t="shared" si="91"/>
        <v>166005.32388798488</v>
      </c>
      <c r="U275">
        <f t="shared" si="92"/>
        <v>0</v>
      </c>
      <c r="V275" s="30">
        <f t="shared" si="93"/>
        <v>166005.32388798488</v>
      </c>
      <c r="W275" s="30">
        <f t="shared" si="83"/>
        <v>166005.32388798491</v>
      </c>
      <c r="X275" s="30">
        <f t="shared" si="94"/>
        <v>166005.32388798491</v>
      </c>
      <c r="Y275">
        <f t="shared" si="95"/>
        <v>0</v>
      </c>
    </row>
    <row r="276" spans="1:25" x14ac:dyDescent="0.25">
      <c r="A276" s="4" t="s">
        <v>1185</v>
      </c>
      <c r="B276" s="7" t="s">
        <v>243</v>
      </c>
      <c r="C276" s="2" t="s">
        <v>1186</v>
      </c>
      <c r="D276">
        <f>VLOOKUP(B276,'Model allocations'!$A$1:$L$319,3,FALSE)</f>
        <v>25045.460240644166</v>
      </c>
      <c r="E276" s="32">
        <f>VLOOKUP(B276,'Initial adjusted formula count'!$A$1:$P$319,12,FALSE)</f>
        <v>0.12195121951219499</v>
      </c>
      <c r="F276">
        <f>VLOOKUP(B276,'Model allocations'!$A$1:$L$319,8,FALSE)</f>
        <v>21506.835301541792</v>
      </c>
      <c r="G276" s="31">
        <f t="shared" si="84"/>
        <v>0.85</v>
      </c>
      <c r="H276">
        <f t="shared" si="85"/>
        <v>21288.641204547541</v>
      </c>
      <c r="I276">
        <f t="shared" si="77"/>
        <v>0</v>
      </c>
      <c r="J276">
        <f t="shared" si="78"/>
        <v>21506.835301541792</v>
      </c>
      <c r="K276">
        <f t="shared" si="79"/>
        <v>21503.671776817966</v>
      </c>
      <c r="L276">
        <f t="shared" si="86"/>
        <v>21503.671776817966</v>
      </c>
      <c r="M276">
        <f t="shared" si="80"/>
        <v>0</v>
      </c>
      <c r="N276" s="30">
        <f t="shared" si="87"/>
        <v>21503.671776817966</v>
      </c>
      <c r="O276" s="30">
        <f t="shared" si="81"/>
        <v>21503.280296371086</v>
      </c>
      <c r="P276" s="30">
        <f t="shared" si="88"/>
        <v>21503.280296371086</v>
      </c>
      <c r="Q276">
        <f t="shared" si="89"/>
        <v>0</v>
      </c>
      <c r="R276" s="30">
        <f t="shared" si="90"/>
        <v>21503.280296371086</v>
      </c>
      <c r="S276" s="30">
        <f t="shared" si="82"/>
        <v>21503.280296371086</v>
      </c>
      <c r="T276" s="30">
        <f t="shared" si="91"/>
        <v>21503.280296371086</v>
      </c>
      <c r="U276">
        <f t="shared" si="92"/>
        <v>0</v>
      </c>
      <c r="V276" s="30">
        <f t="shared" si="93"/>
        <v>21503.280296371086</v>
      </c>
      <c r="W276" s="30">
        <f t="shared" si="83"/>
        <v>21503.280296371086</v>
      </c>
      <c r="X276" s="30">
        <f t="shared" si="94"/>
        <v>21503.280296371086</v>
      </c>
      <c r="Y276">
        <f t="shared" si="95"/>
        <v>0</v>
      </c>
    </row>
    <row r="277" spans="1:25" x14ac:dyDescent="0.25">
      <c r="A277" s="4" t="s">
        <v>1187</v>
      </c>
      <c r="B277" s="7" t="s">
        <v>245</v>
      </c>
      <c r="C277" s="2" t="s">
        <v>1188</v>
      </c>
      <c r="D277">
        <f>VLOOKUP(B277,'Model allocations'!$A$1:$L$319,3,FALSE)</f>
        <v>82171.069931616512</v>
      </c>
      <c r="E277" s="32">
        <f>VLOOKUP(B277,'Initial adjusted formula count'!$A$1:$P$319,12,FALSE)</f>
        <v>0.105633802816901</v>
      </c>
      <c r="F277">
        <f>VLOOKUP(B277,'Model allocations'!$A$1:$L$319,8,FALSE)</f>
        <v>77424.607085550422</v>
      </c>
      <c r="G277" s="31">
        <f t="shared" si="84"/>
        <v>0.85</v>
      </c>
      <c r="H277">
        <f t="shared" si="85"/>
        <v>69845.409441874028</v>
      </c>
      <c r="I277">
        <f t="shared" si="77"/>
        <v>0</v>
      </c>
      <c r="J277">
        <f t="shared" si="78"/>
        <v>77424.607085550422</v>
      </c>
      <c r="K277">
        <f t="shared" si="79"/>
        <v>77413.218396544631</v>
      </c>
      <c r="L277">
        <f t="shared" si="86"/>
        <v>77413.218396544631</v>
      </c>
      <c r="M277">
        <f t="shared" si="80"/>
        <v>0</v>
      </c>
      <c r="N277" s="30">
        <f t="shared" si="87"/>
        <v>77413.218396544631</v>
      </c>
      <c r="O277" s="30">
        <f t="shared" si="81"/>
        <v>77411.80906693585</v>
      </c>
      <c r="P277" s="30">
        <f t="shared" si="88"/>
        <v>77411.80906693585</v>
      </c>
      <c r="Q277">
        <f t="shared" si="89"/>
        <v>0</v>
      </c>
      <c r="R277" s="30">
        <f t="shared" si="90"/>
        <v>77411.80906693585</v>
      </c>
      <c r="S277" s="30">
        <f t="shared" si="82"/>
        <v>77411.80906693585</v>
      </c>
      <c r="T277" s="30">
        <f t="shared" si="91"/>
        <v>77411.80906693585</v>
      </c>
      <c r="U277">
        <f t="shared" si="92"/>
        <v>0</v>
      </c>
      <c r="V277" s="30">
        <f t="shared" si="93"/>
        <v>77411.80906693585</v>
      </c>
      <c r="W277" s="30">
        <f t="shared" si="83"/>
        <v>77411.80906693585</v>
      </c>
      <c r="X277" s="30">
        <f t="shared" si="94"/>
        <v>77411.80906693585</v>
      </c>
      <c r="Y277">
        <f t="shared" si="95"/>
        <v>0</v>
      </c>
    </row>
    <row r="278" spans="1:25" x14ac:dyDescent="0.25">
      <c r="A278" s="8" t="s">
        <v>1189</v>
      </c>
      <c r="B278" s="7" t="s">
        <v>608</v>
      </c>
      <c r="C278" s="2" t="s">
        <v>1190</v>
      </c>
      <c r="D278">
        <f>VLOOKUP(B278,'Model allocations'!$A$1:$L$319,3,FALSE)</f>
        <v>280529.05127836089</v>
      </c>
      <c r="E278" s="32">
        <f>VLOOKUP(B278,'Initial adjusted formula count'!$A$1:$P$319,12,FALSE)</f>
        <v>0.25044247787610602</v>
      </c>
      <c r="F278">
        <f>VLOOKUP(B278,'Model allocations'!$A$1:$L$319,8,FALSE)</f>
        <v>252476.14615052482</v>
      </c>
      <c r="G278" s="31">
        <f t="shared" si="84"/>
        <v>0.9</v>
      </c>
      <c r="H278">
        <f t="shared" si="85"/>
        <v>252476.14615052482</v>
      </c>
      <c r="I278">
        <f t="shared" si="77"/>
        <v>0</v>
      </c>
      <c r="J278">
        <f t="shared" si="78"/>
        <v>252476.14615052482</v>
      </c>
      <c r="K278">
        <f t="shared" si="79"/>
        <v>252439.00844433391</v>
      </c>
      <c r="L278">
        <f t="shared" si="86"/>
        <v>252439.00844433391</v>
      </c>
      <c r="M278">
        <f t="shared" si="80"/>
        <v>252476.14615052482</v>
      </c>
      <c r="N278" s="30">
        <f t="shared" si="87"/>
        <v>0</v>
      </c>
      <c r="O278" s="30">
        <f t="shared" si="81"/>
        <v>0</v>
      </c>
      <c r="P278" s="30">
        <f t="shared" si="88"/>
        <v>252476.14615052482</v>
      </c>
      <c r="Q278">
        <f t="shared" si="89"/>
        <v>0</v>
      </c>
      <c r="R278" s="30">
        <f t="shared" si="90"/>
        <v>0</v>
      </c>
      <c r="S278" s="30">
        <f t="shared" si="82"/>
        <v>0</v>
      </c>
      <c r="T278" s="30">
        <f t="shared" si="91"/>
        <v>252476.14615052482</v>
      </c>
      <c r="U278">
        <f t="shared" si="92"/>
        <v>0</v>
      </c>
      <c r="V278" s="30">
        <f t="shared" si="93"/>
        <v>0</v>
      </c>
      <c r="W278" s="30">
        <f t="shared" si="83"/>
        <v>0</v>
      </c>
      <c r="X278" s="30">
        <f t="shared" si="94"/>
        <v>252476.14615052482</v>
      </c>
      <c r="Y278">
        <f t="shared" si="95"/>
        <v>0</v>
      </c>
    </row>
    <row r="279" spans="1:25" x14ac:dyDescent="0.25">
      <c r="A279" s="4" t="s">
        <v>1191</v>
      </c>
      <c r="B279" s="7" t="s">
        <v>610</v>
      </c>
      <c r="C279" s="2" t="s">
        <v>1192</v>
      </c>
      <c r="D279">
        <f>VLOOKUP(B279,'Model allocations'!$A$1:$L$319,3,FALSE)</f>
        <v>634215.68673889257</v>
      </c>
      <c r="E279" s="32">
        <f>VLOOKUP(B279,'Initial adjusted formula count'!$A$1:$P$319,12,FALSE)</f>
        <v>0.208933717579251</v>
      </c>
      <c r="F279">
        <f>VLOOKUP(B279,'Model allocations'!$A$1:$L$319,8,FALSE)</f>
        <v>623698.22374471161</v>
      </c>
      <c r="G279" s="31">
        <f t="shared" si="84"/>
        <v>0.9</v>
      </c>
      <c r="H279">
        <f t="shared" si="85"/>
        <v>570794.11806500331</v>
      </c>
      <c r="I279">
        <f t="shared" si="77"/>
        <v>0</v>
      </c>
      <c r="J279">
        <f t="shared" si="78"/>
        <v>623698.22374471161</v>
      </c>
      <c r="K279">
        <f t="shared" si="79"/>
        <v>623606.48152772058</v>
      </c>
      <c r="L279">
        <f t="shared" si="86"/>
        <v>623606.48152772058</v>
      </c>
      <c r="M279">
        <f t="shared" si="80"/>
        <v>0</v>
      </c>
      <c r="N279" s="30">
        <f t="shared" si="87"/>
        <v>623606.48152772058</v>
      </c>
      <c r="O279" s="30">
        <f t="shared" si="81"/>
        <v>623595.12859476102</v>
      </c>
      <c r="P279" s="30">
        <f t="shared" si="88"/>
        <v>623595.12859476102</v>
      </c>
      <c r="Q279">
        <f t="shared" si="89"/>
        <v>0</v>
      </c>
      <c r="R279" s="30">
        <f t="shared" si="90"/>
        <v>623595.12859476102</v>
      </c>
      <c r="S279" s="30">
        <f t="shared" si="82"/>
        <v>623595.12859476113</v>
      </c>
      <c r="T279" s="30">
        <f t="shared" si="91"/>
        <v>623595.12859476113</v>
      </c>
      <c r="U279">
        <f t="shared" si="92"/>
        <v>0</v>
      </c>
      <c r="V279" s="30">
        <f t="shared" si="93"/>
        <v>623595.12859476113</v>
      </c>
      <c r="W279" s="30">
        <f t="shared" si="83"/>
        <v>623595.12859476125</v>
      </c>
      <c r="X279" s="30">
        <f t="shared" si="94"/>
        <v>623595.12859476125</v>
      </c>
      <c r="Y279">
        <f t="shared" si="95"/>
        <v>0</v>
      </c>
    </row>
    <row r="280" spans="1:25" x14ac:dyDescent="0.25">
      <c r="A280" s="4" t="s">
        <v>1193</v>
      </c>
      <c r="B280" s="7" t="s">
        <v>247</v>
      </c>
      <c r="C280" s="2" t="s">
        <v>1194</v>
      </c>
      <c r="D280">
        <f>VLOOKUP(B280,'Model allocations'!$A$1:$L$319,3,FALSE)</f>
        <v>16158.361445576884</v>
      </c>
      <c r="E280" s="32">
        <f>VLOOKUP(B280,'Initial adjusted formula count'!$A$1:$P$319,12,FALSE)</f>
        <v>0.12844036697247699</v>
      </c>
      <c r="F280">
        <f>VLOOKUP(B280,'Model allocations'!$A$1:$L$319,8,FALSE)</f>
        <v>24087.655537726801</v>
      </c>
      <c r="G280" s="31">
        <f t="shared" si="84"/>
        <v>0.85</v>
      </c>
      <c r="H280">
        <f t="shared" si="85"/>
        <v>13734.607228740351</v>
      </c>
      <c r="I280">
        <f t="shared" si="77"/>
        <v>0</v>
      </c>
      <c r="J280">
        <f t="shared" si="78"/>
        <v>24087.655537726801</v>
      </c>
      <c r="K280">
        <f t="shared" si="79"/>
        <v>24084.112390036113</v>
      </c>
      <c r="L280">
        <f t="shared" si="86"/>
        <v>24084.112390036113</v>
      </c>
      <c r="M280">
        <f t="shared" si="80"/>
        <v>0</v>
      </c>
      <c r="N280" s="30">
        <f t="shared" si="87"/>
        <v>24084.112390036113</v>
      </c>
      <c r="O280" s="30">
        <f t="shared" si="81"/>
        <v>24083.673931935606</v>
      </c>
      <c r="P280" s="30">
        <f t="shared" si="88"/>
        <v>24083.673931935606</v>
      </c>
      <c r="Q280">
        <f t="shared" si="89"/>
        <v>0</v>
      </c>
      <c r="R280" s="30">
        <f t="shared" si="90"/>
        <v>24083.673931935606</v>
      </c>
      <c r="S280" s="30">
        <f t="shared" si="82"/>
        <v>24083.673931935609</v>
      </c>
      <c r="T280" s="30">
        <f t="shared" si="91"/>
        <v>24083.673931935609</v>
      </c>
      <c r="U280">
        <f t="shared" si="92"/>
        <v>0</v>
      </c>
      <c r="V280" s="30">
        <f t="shared" si="93"/>
        <v>24083.673931935609</v>
      </c>
      <c r="W280" s="30">
        <f t="shared" si="83"/>
        <v>24083.673931935613</v>
      </c>
      <c r="X280" s="30">
        <f t="shared" si="94"/>
        <v>24083.673931935613</v>
      </c>
      <c r="Y280">
        <f t="shared" si="95"/>
        <v>0</v>
      </c>
    </row>
    <row r="281" spans="1:25" x14ac:dyDescent="0.25">
      <c r="A281" s="4" t="s">
        <v>1195</v>
      </c>
      <c r="B281" s="7" t="s">
        <v>249</v>
      </c>
      <c r="C281" s="2" t="s">
        <v>1196</v>
      </c>
      <c r="D281">
        <f>VLOOKUP(B281,'Model allocations'!$A$1:$L$319,3,FALSE)</f>
        <v>70288.872288259445</v>
      </c>
      <c r="E281" s="32">
        <f>VLOOKUP(B281,'Initial adjusted formula count'!$A$1:$P$319,12,FALSE)</f>
        <v>9.8958333333333301E-2</v>
      </c>
      <c r="F281">
        <f>VLOOKUP(B281,'Model allocations'!$A$1:$L$319,8,FALSE)</f>
        <v>65380.779316687032</v>
      </c>
      <c r="G281" s="31">
        <f t="shared" si="84"/>
        <v>0.85</v>
      </c>
      <c r="H281">
        <f t="shared" si="85"/>
        <v>59745.541445020528</v>
      </c>
      <c r="I281">
        <f t="shared" si="77"/>
        <v>0</v>
      </c>
      <c r="J281">
        <f t="shared" si="78"/>
        <v>65380.779316687032</v>
      </c>
      <c r="K281">
        <f t="shared" si="79"/>
        <v>65371.162201526597</v>
      </c>
      <c r="L281">
        <f t="shared" si="86"/>
        <v>65371.162201526597</v>
      </c>
      <c r="M281">
        <f t="shared" si="80"/>
        <v>0</v>
      </c>
      <c r="N281" s="30">
        <f t="shared" si="87"/>
        <v>65371.162201526597</v>
      </c>
      <c r="O281" s="30">
        <f t="shared" si="81"/>
        <v>65369.97210096808</v>
      </c>
      <c r="P281" s="30">
        <f t="shared" si="88"/>
        <v>65369.97210096808</v>
      </c>
      <c r="Q281">
        <f t="shared" si="89"/>
        <v>0</v>
      </c>
      <c r="R281" s="30">
        <f t="shared" si="90"/>
        <v>65369.97210096808</v>
      </c>
      <c r="S281" s="30">
        <f t="shared" si="82"/>
        <v>65369.972100968094</v>
      </c>
      <c r="T281" s="30">
        <f t="shared" si="91"/>
        <v>65369.972100968094</v>
      </c>
      <c r="U281">
        <f t="shared" si="92"/>
        <v>0</v>
      </c>
      <c r="V281" s="30">
        <f t="shared" si="93"/>
        <v>65369.972100968094</v>
      </c>
      <c r="W281" s="30">
        <f t="shared" si="83"/>
        <v>65369.972100968109</v>
      </c>
      <c r="X281" s="30">
        <f t="shared" si="94"/>
        <v>65369.972100968109</v>
      </c>
      <c r="Y281">
        <f t="shared" si="95"/>
        <v>0</v>
      </c>
    </row>
    <row r="282" spans="1:25" x14ac:dyDescent="0.25">
      <c r="A282" s="4" t="s">
        <v>1197</v>
      </c>
      <c r="B282" s="7" t="s">
        <v>612</v>
      </c>
      <c r="C282" s="2" t="s">
        <v>1198</v>
      </c>
      <c r="D282">
        <f>VLOOKUP(B282,'Model allocations'!$A$1:$L$319,3,FALSE)</f>
        <v>38780.067469384521</v>
      </c>
      <c r="E282" s="32">
        <f>VLOOKUP(B282,'Initial adjusted formula count'!$A$1:$P$319,12,FALSE)</f>
        <v>0.17171717171717199</v>
      </c>
      <c r="F282">
        <f>VLOOKUP(B282,'Model allocations'!$A$1:$L$319,8,FALSE)</f>
        <v>34902.060722446069</v>
      </c>
      <c r="G282" s="31">
        <f t="shared" si="84"/>
        <v>0.9</v>
      </c>
      <c r="H282">
        <f t="shared" si="85"/>
        <v>34902.060722446069</v>
      </c>
      <c r="I282">
        <f t="shared" si="77"/>
        <v>0</v>
      </c>
      <c r="J282">
        <f t="shared" si="78"/>
        <v>34902.060722446069</v>
      </c>
      <c r="K282">
        <f t="shared" si="79"/>
        <v>34896.926841497996</v>
      </c>
      <c r="L282">
        <f t="shared" si="86"/>
        <v>34896.926841497996</v>
      </c>
      <c r="M282">
        <f t="shared" si="80"/>
        <v>34902.060722446069</v>
      </c>
      <c r="N282" s="30">
        <f t="shared" si="87"/>
        <v>0</v>
      </c>
      <c r="O282" s="30">
        <f t="shared" si="81"/>
        <v>0</v>
      </c>
      <c r="P282" s="30">
        <f t="shared" si="88"/>
        <v>34902.060722446069</v>
      </c>
      <c r="Q282">
        <f t="shared" si="89"/>
        <v>0</v>
      </c>
      <c r="R282" s="30">
        <f t="shared" si="90"/>
        <v>0</v>
      </c>
      <c r="S282" s="30">
        <f t="shared" si="82"/>
        <v>0</v>
      </c>
      <c r="T282" s="30">
        <f t="shared" si="91"/>
        <v>34902.060722446069</v>
      </c>
      <c r="U282">
        <f t="shared" si="92"/>
        <v>0</v>
      </c>
      <c r="V282" s="30">
        <f t="shared" si="93"/>
        <v>0</v>
      </c>
      <c r="W282" s="30">
        <f t="shared" si="83"/>
        <v>0</v>
      </c>
      <c r="X282" s="30">
        <f t="shared" si="94"/>
        <v>34902.060722446069</v>
      </c>
      <c r="Y282">
        <f t="shared" si="95"/>
        <v>0</v>
      </c>
    </row>
    <row r="283" spans="1:25" x14ac:dyDescent="0.25">
      <c r="A283" s="4" t="s">
        <v>46</v>
      </c>
      <c r="B283" s="7" t="s">
        <v>63</v>
      </c>
      <c r="C283" s="2" t="s">
        <v>1199</v>
      </c>
      <c r="D283">
        <f>VLOOKUP(B283,'Model allocations'!$A$1:$L$319,3,FALSE)</f>
        <v>438926.62689563795</v>
      </c>
      <c r="E283" s="32">
        <f>VLOOKUP(B283,'Initial adjusted formula count'!$A$1:$P$319,12,FALSE)</f>
        <v>0.20088474831565001</v>
      </c>
      <c r="F283">
        <f>VLOOKUP(B283,'Model allocations'!$A$1:$L$319,8,FALSE)</f>
        <v>397259.39581929479</v>
      </c>
      <c r="G283" s="31">
        <f t="shared" si="84"/>
        <v>0.9</v>
      </c>
      <c r="H283">
        <f t="shared" si="85"/>
        <v>395033.96420607419</v>
      </c>
      <c r="I283">
        <f t="shared" si="77"/>
        <v>0</v>
      </c>
      <c r="J283">
        <f t="shared" si="78"/>
        <v>397259.39581929479</v>
      </c>
      <c r="K283">
        <f t="shared" si="79"/>
        <v>397200.96137727547</v>
      </c>
      <c r="L283">
        <f t="shared" si="86"/>
        <v>397200.96137727547</v>
      </c>
      <c r="M283">
        <f t="shared" si="80"/>
        <v>0</v>
      </c>
      <c r="N283" s="30">
        <f t="shared" si="87"/>
        <v>397200.96137727547</v>
      </c>
      <c r="O283" s="30">
        <f t="shared" si="81"/>
        <v>397193.73022105824</v>
      </c>
      <c r="P283" s="30">
        <f t="shared" si="88"/>
        <v>397193.73022105824</v>
      </c>
      <c r="Q283">
        <f t="shared" si="89"/>
        <v>0</v>
      </c>
      <c r="R283" s="30">
        <f t="shared" si="90"/>
        <v>397193.73022105824</v>
      </c>
      <c r="S283" s="30">
        <f t="shared" si="82"/>
        <v>397193.7302210583</v>
      </c>
      <c r="T283" s="30">
        <f t="shared" si="91"/>
        <v>397193.7302210583</v>
      </c>
      <c r="U283">
        <f t="shared" si="92"/>
        <v>0</v>
      </c>
      <c r="V283" s="30">
        <f t="shared" si="93"/>
        <v>397193.7302210583</v>
      </c>
      <c r="W283" s="30">
        <f t="shared" si="83"/>
        <v>397193.73022105836</v>
      </c>
      <c r="X283" s="30">
        <f t="shared" si="94"/>
        <v>397193.73022105836</v>
      </c>
      <c r="Y283">
        <f t="shared" si="95"/>
        <v>0</v>
      </c>
    </row>
    <row r="284" spans="1:25" x14ac:dyDescent="0.25">
      <c r="A284" s="4" t="s">
        <v>1200</v>
      </c>
      <c r="B284" s="7" t="s">
        <v>251</v>
      </c>
      <c r="C284" s="2" t="s">
        <v>1201</v>
      </c>
      <c r="D284">
        <f>VLOOKUP(B284,'Model allocations'!$A$1:$L$319,3,FALSE)</f>
        <v>596243.5373417869</v>
      </c>
      <c r="E284" s="32">
        <f>VLOOKUP(B284,'Initial adjusted formula count'!$A$1:$P$319,12,FALSE)</f>
        <v>9.6971461852067606E-2</v>
      </c>
      <c r="F284">
        <f>VLOOKUP(B284,'Model allocations'!$A$1:$L$319,8,FALSE)</f>
        <v>572942.09243307309</v>
      </c>
      <c r="G284" s="31">
        <f t="shared" si="84"/>
        <v>0.85</v>
      </c>
      <c r="H284">
        <f t="shared" si="85"/>
        <v>506807.00674051885</v>
      </c>
      <c r="I284">
        <f t="shared" si="77"/>
        <v>0</v>
      </c>
      <c r="J284">
        <f t="shared" si="78"/>
        <v>572942.09243307309</v>
      </c>
      <c r="K284">
        <f t="shared" si="79"/>
        <v>572857.81613443024</v>
      </c>
      <c r="L284">
        <f t="shared" si="86"/>
        <v>572857.81613443024</v>
      </c>
      <c r="M284">
        <f t="shared" si="80"/>
        <v>0</v>
      </c>
      <c r="N284" s="30">
        <f t="shared" si="87"/>
        <v>572857.81613443024</v>
      </c>
      <c r="O284" s="30">
        <f t="shared" si="81"/>
        <v>572847.38709532539</v>
      </c>
      <c r="P284" s="30">
        <f t="shared" si="88"/>
        <v>572847.38709532539</v>
      </c>
      <c r="Q284">
        <f t="shared" si="89"/>
        <v>0</v>
      </c>
      <c r="R284" s="30">
        <f t="shared" si="90"/>
        <v>572847.38709532539</v>
      </c>
      <c r="S284" s="30">
        <f t="shared" si="82"/>
        <v>572847.38709532551</v>
      </c>
      <c r="T284" s="30">
        <f t="shared" si="91"/>
        <v>572847.38709532551</v>
      </c>
      <c r="U284">
        <f t="shared" si="92"/>
        <v>0</v>
      </c>
      <c r="V284" s="30">
        <f t="shared" si="93"/>
        <v>572847.38709532551</v>
      </c>
      <c r="W284" s="30">
        <f t="shared" si="83"/>
        <v>572847.38709532551</v>
      </c>
      <c r="X284" s="30">
        <f t="shared" si="94"/>
        <v>572847.38709532551</v>
      </c>
      <c r="Y284">
        <f t="shared" si="95"/>
        <v>0</v>
      </c>
    </row>
    <row r="285" spans="1:25" x14ac:dyDescent="0.25">
      <c r="A285" s="4" t="s">
        <v>1202</v>
      </c>
      <c r="B285" s="7" t="s">
        <v>614</v>
      </c>
      <c r="C285" s="2" t="s">
        <v>1203</v>
      </c>
      <c r="D285">
        <f>VLOOKUP(B285,'Model allocations'!$A$1:$L$319,3,FALSE)</f>
        <v>127651.05542005741</v>
      </c>
      <c r="E285" s="32">
        <f>VLOOKUP(B285,'Initial adjusted formula count'!$A$1:$P$319,12,FALSE)</f>
        <v>0.249382716049383</v>
      </c>
      <c r="F285">
        <f>VLOOKUP(B285,'Model allocations'!$A$1:$L$319,8,FALSE)</f>
        <v>173775.22923645767</v>
      </c>
      <c r="G285" s="31">
        <f t="shared" si="84"/>
        <v>0.9</v>
      </c>
      <c r="H285">
        <f t="shared" si="85"/>
        <v>114885.94987805167</v>
      </c>
      <c r="I285">
        <f t="shared" si="77"/>
        <v>0</v>
      </c>
      <c r="J285">
        <f t="shared" si="78"/>
        <v>173775.22923645767</v>
      </c>
      <c r="K285">
        <f t="shared" si="79"/>
        <v>173749.66795668911</v>
      </c>
      <c r="L285">
        <f t="shared" si="86"/>
        <v>173749.66795668911</v>
      </c>
      <c r="M285">
        <f t="shared" si="80"/>
        <v>0</v>
      </c>
      <c r="N285" s="30">
        <f t="shared" si="87"/>
        <v>173749.66795668911</v>
      </c>
      <c r="O285" s="30">
        <f t="shared" si="81"/>
        <v>173746.5047946783</v>
      </c>
      <c r="P285" s="30">
        <f t="shared" si="88"/>
        <v>173746.5047946783</v>
      </c>
      <c r="Q285">
        <f t="shared" si="89"/>
        <v>0</v>
      </c>
      <c r="R285" s="30">
        <f t="shared" si="90"/>
        <v>173746.5047946783</v>
      </c>
      <c r="S285" s="30">
        <f t="shared" si="82"/>
        <v>173746.50479467833</v>
      </c>
      <c r="T285" s="30">
        <f t="shared" si="91"/>
        <v>173746.50479467833</v>
      </c>
      <c r="U285">
        <f t="shared" si="92"/>
        <v>0</v>
      </c>
      <c r="V285" s="30">
        <f t="shared" si="93"/>
        <v>173746.50479467833</v>
      </c>
      <c r="W285" s="30">
        <f t="shared" si="83"/>
        <v>173746.50479467836</v>
      </c>
      <c r="X285" s="30">
        <f t="shared" si="94"/>
        <v>173746.50479467836</v>
      </c>
      <c r="Y285">
        <f t="shared" si="95"/>
        <v>0</v>
      </c>
    </row>
    <row r="286" spans="1:25" x14ac:dyDescent="0.25">
      <c r="A286" s="4" t="s">
        <v>1204</v>
      </c>
      <c r="B286" s="7" t="s">
        <v>253</v>
      </c>
      <c r="C286" s="2" t="s">
        <v>1205</v>
      </c>
      <c r="D286">
        <f>VLOOKUP(B286,'Model allocations'!$A$1:$L$319,3,FALSE)</f>
        <v>378105.65782649897</v>
      </c>
      <c r="E286" s="32">
        <f>VLOOKUP(B286,'Initial adjusted formula count'!$A$1:$P$319,12,FALSE)</f>
        <v>8.2145998240984994E-2</v>
      </c>
      <c r="F286">
        <f>VLOOKUP(B286,'Model allocations'!$A$1:$L$319,8,FALSE)</f>
        <v>401747.68343280058</v>
      </c>
      <c r="G286" s="31">
        <f t="shared" si="84"/>
        <v>0.85</v>
      </c>
      <c r="H286">
        <f t="shared" si="85"/>
        <v>321389.8091525241</v>
      </c>
      <c r="I286">
        <f t="shared" si="77"/>
        <v>0</v>
      </c>
      <c r="J286">
        <f t="shared" si="78"/>
        <v>401747.68343280058</v>
      </c>
      <c r="K286">
        <f t="shared" si="79"/>
        <v>401688.58879095945</v>
      </c>
      <c r="L286">
        <f t="shared" si="86"/>
        <v>401688.58879095945</v>
      </c>
      <c r="M286">
        <f t="shared" si="80"/>
        <v>0</v>
      </c>
      <c r="N286" s="30">
        <f t="shared" si="87"/>
        <v>401688.58879095945</v>
      </c>
      <c r="O286" s="30">
        <f t="shared" si="81"/>
        <v>401681.27593621169</v>
      </c>
      <c r="P286" s="30">
        <f t="shared" si="88"/>
        <v>401681.27593621169</v>
      </c>
      <c r="Q286">
        <f t="shared" si="89"/>
        <v>0</v>
      </c>
      <c r="R286" s="30">
        <f t="shared" si="90"/>
        <v>401681.27593621169</v>
      </c>
      <c r="S286" s="30">
        <f t="shared" si="82"/>
        <v>401681.27593621175</v>
      </c>
      <c r="T286" s="30">
        <f t="shared" si="91"/>
        <v>401681.27593621175</v>
      </c>
      <c r="U286">
        <f t="shared" si="92"/>
        <v>0</v>
      </c>
      <c r="V286" s="30">
        <f t="shared" si="93"/>
        <v>401681.27593621175</v>
      </c>
      <c r="W286" s="30">
        <f t="shared" si="83"/>
        <v>401681.27593621181</v>
      </c>
      <c r="X286" s="30">
        <f t="shared" si="94"/>
        <v>401681.27593621181</v>
      </c>
      <c r="Y286">
        <f t="shared" si="95"/>
        <v>0</v>
      </c>
    </row>
    <row r="287" spans="1:25" x14ac:dyDescent="0.25">
      <c r="A287" s="4" t="s">
        <v>1206</v>
      </c>
      <c r="B287" s="7" t="s">
        <v>616</v>
      </c>
      <c r="C287" s="2" t="s">
        <v>1207</v>
      </c>
      <c r="D287">
        <f>VLOOKUP(B287,'Model allocations'!$A$1:$L$319,3,FALSE)</f>
        <v>58170.101204076753</v>
      </c>
      <c r="E287" s="32">
        <f>VLOOKUP(B287,'Initial adjusted formula count'!$A$1:$P$319,12,FALSE)</f>
        <v>0.23263888888888901</v>
      </c>
      <c r="F287">
        <f>VLOOKUP(B287,'Model allocations'!$A$1:$L$319,8,FALSE)</f>
        <v>57638.318608132009</v>
      </c>
      <c r="G287" s="31">
        <f t="shared" si="84"/>
        <v>0.9</v>
      </c>
      <c r="H287">
        <f t="shared" si="85"/>
        <v>52353.091083669082</v>
      </c>
      <c r="I287">
        <f t="shared" si="77"/>
        <v>0</v>
      </c>
      <c r="J287">
        <f t="shared" si="78"/>
        <v>57638.318608132009</v>
      </c>
      <c r="K287">
        <f t="shared" si="79"/>
        <v>57629.84036187215</v>
      </c>
      <c r="L287">
        <f t="shared" si="86"/>
        <v>57629.84036187215</v>
      </c>
      <c r="M287">
        <f t="shared" si="80"/>
        <v>0</v>
      </c>
      <c r="N287" s="30">
        <f t="shared" si="87"/>
        <v>57629.84036187215</v>
      </c>
      <c r="O287" s="30">
        <f t="shared" si="81"/>
        <v>57628.791194274505</v>
      </c>
      <c r="P287" s="30">
        <f t="shared" si="88"/>
        <v>57628.791194274505</v>
      </c>
      <c r="Q287">
        <f t="shared" si="89"/>
        <v>0</v>
      </c>
      <c r="R287" s="30">
        <f t="shared" si="90"/>
        <v>57628.791194274505</v>
      </c>
      <c r="S287" s="30">
        <f t="shared" si="82"/>
        <v>57628.791194274505</v>
      </c>
      <c r="T287" s="30">
        <f t="shared" si="91"/>
        <v>57628.791194274505</v>
      </c>
      <c r="U287">
        <f t="shared" si="92"/>
        <v>0</v>
      </c>
      <c r="V287" s="30">
        <f t="shared" si="93"/>
        <v>57628.791194274505</v>
      </c>
      <c r="W287" s="30">
        <f t="shared" si="83"/>
        <v>57628.791194274505</v>
      </c>
      <c r="X287" s="30">
        <f t="shared" si="94"/>
        <v>57628.791194274505</v>
      </c>
      <c r="Y287">
        <f t="shared" si="95"/>
        <v>0</v>
      </c>
    </row>
    <row r="288" spans="1:25" x14ac:dyDescent="0.25">
      <c r="A288" s="4" t="s">
        <v>52</v>
      </c>
      <c r="B288" s="7" t="s">
        <v>66</v>
      </c>
      <c r="C288" s="2" t="s">
        <v>1208</v>
      </c>
      <c r="D288">
        <f>VLOOKUP(B288,'Model allocations'!$A$1:$L$319,3,FALSE)</f>
        <v>2623793.9901927393</v>
      </c>
      <c r="E288" s="32">
        <f>VLOOKUP(B288,'Initial adjusted formula count'!$A$1:$P$319,12,FALSE)</f>
        <v>0.11467654976748599</v>
      </c>
      <c r="F288">
        <f>VLOOKUP(B288,'Model allocations'!$A$1:$L$319,8,FALSE)</f>
        <v>2419048.0439163158</v>
      </c>
      <c r="G288" s="31">
        <f t="shared" si="84"/>
        <v>0.85</v>
      </c>
      <c r="H288">
        <f t="shared" si="85"/>
        <v>2230224.8916638284</v>
      </c>
      <c r="I288">
        <f t="shared" si="77"/>
        <v>0</v>
      </c>
      <c r="J288">
        <f t="shared" si="78"/>
        <v>2419048.0439163158</v>
      </c>
      <c r="K288">
        <f t="shared" si="79"/>
        <v>2418692.2166554583</v>
      </c>
      <c r="L288">
        <f t="shared" si="86"/>
        <v>2418692.2166554583</v>
      </c>
      <c r="M288">
        <f t="shared" si="80"/>
        <v>0</v>
      </c>
      <c r="N288" s="30">
        <f t="shared" si="87"/>
        <v>2418692.2166554583</v>
      </c>
      <c r="O288" s="30">
        <f t="shared" si="81"/>
        <v>2418648.183677292</v>
      </c>
      <c r="P288" s="30">
        <f t="shared" si="88"/>
        <v>2418648.183677292</v>
      </c>
      <c r="Q288">
        <f t="shared" si="89"/>
        <v>0</v>
      </c>
      <c r="R288" s="30">
        <f t="shared" si="90"/>
        <v>2418648.183677292</v>
      </c>
      <c r="S288" s="30">
        <f t="shared" si="82"/>
        <v>2418648.1836772924</v>
      </c>
      <c r="T288" s="30">
        <f t="shared" si="91"/>
        <v>2418648.1836772924</v>
      </c>
      <c r="U288">
        <f t="shared" si="92"/>
        <v>0</v>
      </c>
      <c r="V288" s="30">
        <f t="shared" si="93"/>
        <v>2418648.1836772924</v>
      </c>
      <c r="W288" s="30">
        <f t="shared" si="83"/>
        <v>2418648.1836772929</v>
      </c>
      <c r="X288" s="30">
        <f t="shared" si="94"/>
        <v>2418648.1836772929</v>
      </c>
      <c r="Y288">
        <f t="shared" si="95"/>
        <v>0</v>
      </c>
    </row>
    <row r="289" spans="1:25" x14ac:dyDescent="0.25">
      <c r="A289" s="4" t="s">
        <v>1209</v>
      </c>
      <c r="B289" s="7" t="s">
        <v>255</v>
      </c>
      <c r="C289" s="2" t="s">
        <v>1210</v>
      </c>
      <c r="D289">
        <f>VLOOKUP(B289,'Model allocations'!$A$1:$L$319,3,FALSE)</f>
        <v>121995.62891410544</v>
      </c>
      <c r="E289" s="32">
        <f>VLOOKUP(B289,'Initial adjusted formula count'!$A$1:$P$319,12,FALSE)</f>
        <v>8.29787234042553E-2</v>
      </c>
      <c r="F289">
        <f>VLOOKUP(B289,'Model allocations'!$A$1:$L$319,8,FALSE)</f>
        <v>103696.28457698962</v>
      </c>
      <c r="G289" s="31">
        <f t="shared" si="84"/>
        <v>0.85</v>
      </c>
      <c r="H289">
        <f t="shared" si="85"/>
        <v>103696.28457698962</v>
      </c>
      <c r="I289">
        <f t="shared" si="77"/>
        <v>0</v>
      </c>
      <c r="J289">
        <f t="shared" si="78"/>
        <v>103696.28457698962</v>
      </c>
      <c r="K289">
        <f t="shared" si="79"/>
        <v>103681.03148394133</v>
      </c>
      <c r="L289">
        <f t="shared" si="86"/>
        <v>103681.03148394133</v>
      </c>
      <c r="M289">
        <f t="shared" si="80"/>
        <v>103696.28457698962</v>
      </c>
      <c r="N289" s="30">
        <f t="shared" si="87"/>
        <v>0</v>
      </c>
      <c r="O289" s="30">
        <f t="shared" si="81"/>
        <v>0</v>
      </c>
      <c r="P289" s="30">
        <f t="shared" si="88"/>
        <v>103696.28457698962</v>
      </c>
      <c r="Q289">
        <f t="shared" si="89"/>
        <v>0</v>
      </c>
      <c r="R289" s="30">
        <f t="shared" si="90"/>
        <v>0</v>
      </c>
      <c r="S289" s="30">
        <f t="shared" si="82"/>
        <v>0</v>
      </c>
      <c r="T289" s="30">
        <f t="shared" si="91"/>
        <v>103696.28457698962</v>
      </c>
      <c r="U289">
        <f t="shared" si="92"/>
        <v>0</v>
      </c>
      <c r="V289" s="30">
        <f t="shared" si="93"/>
        <v>0</v>
      </c>
      <c r="W289" s="30">
        <f t="shared" si="83"/>
        <v>0</v>
      </c>
      <c r="X289" s="30">
        <f t="shared" si="94"/>
        <v>103696.28457698962</v>
      </c>
      <c r="Y289">
        <f t="shared" si="95"/>
        <v>0</v>
      </c>
    </row>
    <row r="290" spans="1:25" x14ac:dyDescent="0.25">
      <c r="A290" s="4" t="s">
        <v>1211</v>
      </c>
      <c r="B290" s="7" t="s">
        <v>618</v>
      </c>
      <c r="C290" s="2" t="s">
        <v>1212</v>
      </c>
      <c r="D290">
        <f>VLOOKUP(B290,'Model allocations'!$A$1:$L$319,3,FALSE)</f>
        <v>74328.462649653666</v>
      </c>
      <c r="E290" s="32">
        <f>VLOOKUP(B290,'Initial adjusted formula count'!$A$1:$P$319,12,FALSE)</f>
        <v>0.22424242424242399</v>
      </c>
      <c r="F290">
        <f>VLOOKUP(B290,'Model allocations'!$A$1:$L$319,8,FALSE)</f>
        <v>95490.348738845554</v>
      </c>
      <c r="G290" s="31">
        <f t="shared" si="84"/>
        <v>0.9</v>
      </c>
      <c r="H290">
        <f t="shared" si="85"/>
        <v>66895.616384688299</v>
      </c>
      <c r="I290">
        <f t="shared" si="77"/>
        <v>0</v>
      </c>
      <c r="J290">
        <f t="shared" si="78"/>
        <v>95490.348738845554</v>
      </c>
      <c r="K290">
        <f t="shared" si="79"/>
        <v>95476.302689071745</v>
      </c>
      <c r="L290">
        <f t="shared" si="86"/>
        <v>95476.302689071745</v>
      </c>
      <c r="M290">
        <f t="shared" si="80"/>
        <v>0</v>
      </c>
      <c r="N290" s="30">
        <f t="shared" si="87"/>
        <v>95476.302689071745</v>
      </c>
      <c r="O290" s="30">
        <f t="shared" si="81"/>
        <v>95474.5645158876</v>
      </c>
      <c r="P290" s="30">
        <f t="shared" si="88"/>
        <v>95474.5645158876</v>
      </c>
      <c r="Q290">
        <f t="shared" si="89"/>
        <v>0</v>
      </c>
      <c r="R290" s="30">
        <f t="shared" si="90"/>
        <v>95474.5645158876</v>
      </c>
      <c r="S290" s="30">
        <f t="shared" si="82"/>
        <v>95474.564515887614</v>
      </c>
      <c r="T290" s="30">
        <f t="shared" si="91"/>
        <v>95474.564515887614</v>
      </c>
      <c r="U290">
        <f t="shared" si="92"/>
        <v>0</v>
      </c>
      <c r="V290" s="30">
        <f t="shared" si="93"/>
        <v>95474.564515887614</v>
      </c>
      <c r="W290" s="30">
        <f t="shared" si="83"/>
        <v>95474.564515887629</v>
      </c>
      <c r="X290" s="30">
        <f t="shared" si="94"/>
        <v>95474.564515887629</v>
      </c>
      <c r="Y290">
        <f t="shared" si="95"/>
        <v>0</v>
      </c>
    </row>
    <row r="291" spans="1:25" x14ac:dyDescent="0.25">
      <c r="A291" s="4" t="s">
        <v>1213</v>
      </c>
      <c r="B291" s="7" t="s">
        <v>620</v>
      </c>
      <c r="C291" s="2" t="s">
        <v>1214</v>
      </c>
      <c r="D291">
        <f>VLOOKUP(B291,'Model allocations'!$A$1:$L$319,3,FALSE)</f>
        <v>271855.68930646963</v>
      </c>
      <c r="E291" s="32">
        <f>VLOOKUP(B291,'Initial adjusted formula count'!$A$1:$P$319,12,FALSE)</f>
        <v>0.17495029821073599</v>
      </c>
      <c r="F291">
        <f>VLOOKUP(B291,'Model allocations'!$A$1:$L$319,8,FALSE)</f>
        <v>302816.24104570842</v>
      </c>
      <c r="G291" s="31">
        <f t="shared" si="84"/>
        <v>0.9</v>
      </c>
      <c r="H291">
        <f t="shared" si="85"/>
        <v>244670.12037582268</v>
      </c>
      <c r="I291">
        <f t="shared" si="77"/>
        <v>0</v>
      </c>
      <c r="J291">
        <f t="shared" si="78"/>
        <v>302816.24104570842</v>
      </c>
      <c r="K291">
        <f t="shared" si="79"/>
        <v>302771.69861759694</v>
      </c>
      <c r="L291">
        <f t="shared" si="86"/>
        <v>302771.69861759694</v>
      </c>
      <c r="M291">
        <f t="shared" si="80"/>
        <v>0</v>
      </c>
      <c r="N291" s="30">
        <f t="shared" si="87"/>
        <v>302771.69861759694</v>
      </c>
      <c r="O291" s="30">
        <f t="shared" si="81"/>
        <v>302766.18657290487</v>
      </c>
      <c r="P291" s="30">
        <f t="shared" si="88"/>
        <v>302766.18657290487</v>
      </c>
      <c r="Q291">
        <f t="shared" si="89"/>
        <v>0</v>
      </c>
      <c r="R291" s="30">
        <f t="shared" si="90"/>
        <v>302766.18657290487</v>
      </c>
      <c r="S291" s="30">
        <f t="shared" si="82"/>
        <v>302766.18657290493</v>
      </c>
      <c r="T291" s="30">
        <f t="shared" si="91"/>
        <v>302766.18657290493</v>
      </c>
      <c r="U291">
        <f t="shared" si="92"/>
        <v>0</v>
      </c>
      <c r="V291" s="30">
        <f t="shared" si="93"/>
        <v>302766.18657290493</v>
      </c>
      <c r="W291" s="30">
        <f t="shared" si="83"/>
        <v>302766.18657290493</v>
      </c>
      <c r="X291" s="30">
        <f t="shared" si="94"/>
        <v>302766.18657290493</v>
      </c>
      <c r="Y291">
        <f t="shared" si="95"/>
        <v>0</v>
      </c>
    </row>
    <row r="292" spans="1:25" x14ac:dyDescent="0.25">
      <c r="A292" s="4" t="s">
        <v>1215</v>
      </c>
      <c r="B292" s="7" t="s">
        <v>622</v>
      </c>
      <c r="C292" s="2" t="s">
        <v>1216</v>
      </c>
      <c r="D292">
        <f>VLOOKUP(B292,'Model allocations'!$A$1:$L$319,3,FALSE)</f>
        <v>30700.886746596065</v>
      </c>
      <c r="E292" s="32">
        <f>VLOOKUP(B292,'Initial adjusted formula count'!$A$1:$P$319,12,FALSE)</f>
        <v>0.102189781021898</v>
      </c>
      <c r="F292">
        <f>VLOOKUP(B292,'Model allocations'!$A$1:$L$319,8,FALSE)</f>
        <v>26095.753734606653</v>
      </c>
      <c r="G292" s="31">
        <f t="shared" si="84"/>
        <v>0.85</v>
      </c>
      <c r="H292">
        <f t="shared" si="85"/>
        <v>26095.753734606653</v>
      </c>
      <c r="I292">
        <f t="shared" si="77"/>
        <v>0</v>
      </c>
      <c r="J292">
        <f t="shared" si="78"/>
        <v>26095.753734606653</v>
      </c>
      <c r="K292">
        <f t="shared" si="79"/>
        <v>26091.915207879269</v>
      </c>
      <c r="L292">
        <f t="shared" si="86"/>
        <v>26091.915207879269</v>
      </c>
      <c r="M292">
        <f t="shared" si="80"/>
        <v>26095.753734606653</v>
      </c>
      <c r="N292" s="30">
        <f t="shared" si="87"/>
        <v>0</v>
      </c>
      <c r="O292" s="30">
        <f t="shared" si="81"/>
        <v>0</v>
      </c>
      <c r="P292" s="30">
        <f t="shared" si="88"/>
        <v>26095.753734606653</v>
      </c>
      <c r="Q292">
        <f t="shared" si="89"/>
        <v>0</v>
      </c>
      <c r="R292" s="30">
        <f t="shared" si="90"/>
        <v>0</v>
      </c>
      <c r="S292" s="30">
        <f t="shared" si="82"/>
        <v>0</v>
      </c>
      <c r="T292" s="30">
        <f t="shared" si="91"/>
        <v>26095.753734606653</v>
      </c>
      <c r="U292">
        <f t="shared" si="92"/>
        <v>0</v>
      </c>
      <c r="V292" s="30">
        <f t="shared" si="93"/>
        <v>0</v>
      </c>
      <c r="W292" s="30">
        <f t="shared" si="83"/>
        <v>0</v>
      </c>
      <c r="X292" s="30">
        <f t="shared" si="94"/>
        <v>26095.753734606653</v>
      </c>
      <c r="Y292">
        <f t="shared" si="95"/>
        <v>0</v>
      </c>
    </row>
    <row r="293" spans="1:25" x14ac:dyDescent="0.25">
      <c r="A293" s="4" t="s">
        <v>1217</v>
      </c>
      <c r="B293" s="7" t="s">
        <v>624</v>
      </c>
      <c r="C293" s="2" t="s">
        <v>1218</v>
      </c>
      <c r="D293">
        <f>VLOOKUP(B293,'Model allocations'!$A$1:$L$319,3,FALSE)</f>
        <v>684306.60722018103</v>
      </c>
      <c r="E293" s="32">
        <f>VLOOKUP(B293,'Initial adjusted formula count'!$A$1:$P$319,12,FALSE)</f>
        <v>0.138222372423116</v>
      </c>
      <c r="F293">
        <f>VLOOKUP(B293,'Model allocations'!$A$1:$L$319,8,FALSE)</f>
        <v>703703.65106644784</v>
      </c>
      <c r="G293" s="31">
        <f t="shared" si="84"/>
        <v>0.85</v>
      </c>
      <c r="H293">
        <f t="shared" si="85"/>
        <v>581660.61613715382</v>
      </c>
      <c r="I293">
        <f t="shared" si="77"/>
        <v>0</v>
      </c>
      <c r="J293">
        <f t="shared" si="78"/>
        <v>703703.65106644784</v>
      </c>
      <c r="K293">
        <f t="shared" si="79"/>
        <v>703600.1405374842</v>
      </c>
      <c r="L293">
        <f t="shared" si="86"/>
        <v>703600.1405374842</v>
      </c>
      <c r="M293">
        <f t="shared" si="80"/>
        <v>0</v>
      </c>
      <c r="N293" s="30">
        <f t="shared" si="87"/>
        <v>703600.1405374842</v>
      </c>
      <c r="O293" s="30">
        <f t="shared" si="81"/>
        <v>703587.33129726222</v>
      </c>
      <c r="P293" s="30">
        <f t="shared" si="88"/>
        <v>703587.33129726222</v>
      </c>
      <c r="Q293">
        <f t="shared" si="89"/>
        <v>0</v>
      </c>
      <c r="R293" s="30">
        <f t="shared" si="90"/>
        <v>703587.33129726222</v>
      </c>
      <c r="S293" s="30">
        <f t="shared" si="82"/>
        <v>703587.33129726234</v>
      </c>
      <c r="T293" s="30">
        <f t="shared" si="91"/>
        <v>703587.33129726234</v>
      </c>
      <c r="U293">
        <f t="shared" si="92"/>
        <v>0</v>
      </c>
      <c r="V293" s="30">
        <f t="shared" si="93"/>
        <v>703587.33129726234</v>
      </c>
      <c r="W293" s="30">
        <f t="shared" si="83"/>
        <v>703587.33129726246</v>
      </c>
      <c r="X293" s="30">
        <f t="shared" si="94"/>
        <v>703587.33129726246</v>
      </c>
      <c r="Y293">
        <f t="shared" si="95"/>
        <v>0</v>
      </c>
    </row>
    <row r="294" spans="1:25" x14ac:dyDescent="0.25">
      <c r="A294" s="4" t="s">
        <v>1219</v>
      </c>
      <c r="B294" s="7" t="s">
        <v>625</v>
      </c>
      <c r="C294" s="2" t="s">
        <v>1220</v>
      </c>
      <c r="D294">
        <f>VLOOKUP(B294,'Model allocations'!$A$1:$L$319,3,FALSE)</f>
        <v>702080.80481031537</v>
      </c>
      <c r="E294" s="32">
        <f>VLOOKUP(B294,'Initial adjusted formula count'!$A$1:$P$319,12,FALSE)</f>
        <v>0.24441260744985699</v>
      </c>
      <c r="F294">
        <f>VLOOKUP(B294,'Model allocations'!$A$1:$L$319,8,FALSE)</f>
        <v>733813.22048860567</v>
      </c>
      <c r="G294" s="31">
        <f t="shared" si="84"/>
        <v>0.9</v>
      </c>
      <c r="H294">
        <f t="shared" si="85"/>
        <v>631872.72432928381</v>
      </c>
      <c r="I294">
        <f t="shared" si="77"/>
        <v>0</v>
      </c>
      <c r="J294">
        <f t="shared" si="78"/>
        <v>733813.22048860567</v>
      </c>
      <c r="K294">
        <f t="shared" si="79"/>
        <v>733705.28102502867</v>
      </c>
      <c r="L294">
        <f t="shared" si="86"/>
        <v>733705.28102502867</v>
      </c>
      <c r="M294">
        <f t="shared" si="80"/>
        <v>0</v>
      </c>
      <c r="N294" s="30">
        <f t="shared" si="87"/>
        <v>733705.28102502867</v>
      </c>
      <c r="O294" s="30">
        <f t="shared" si="81"/>
        <v>733691.92371218104</v>
      </c>
      <c r="P294" s="30">
        <f t="shared" si="88"/>
        <v>733691.92371218104</v>
      </c>
      <c r="Q294">
        <f t="shared" si="89"/>
        <v>0</v>
      </c>
      <c r="R294" s="30">
        <f t="shared" si="90"/>
        <v>733691.92371218104</v>
      </c>
      <c r="S294" s="30">
        <f t="shared" si="82"/>
        <v>733691.92371218116</v>
      </c>
      <c r="T294" s="30">
        <f t="shared" si="91"/>
        <v>733691.92371218116</v>
      </c>
      <c r="U294">
        <f t="shared" si="92"/>
        <v>0</v>
      </c>
      <c r="V294" s="30">
        <f t="shared" si="93"/>
        <v>733691.92371218116</v>
      </c>
      <c r="W294" s="30">
        <f t="shared" si="83"/>
        <v>733691.92371218128</v>
      </c>
      <c r="X294" s="30">
        <f t="shared" si="94"/>
        <v>733691.92371218128</v>
      </c>
      <c r="Y294">
        <f t="shared" si="95"/>
        <v>0</v>
      </c>
    </row>
    <row r="295" spans="1:25" x14ac:dyDescent="0.25">
      <c r="A295" s="4" t="s">
        <v>1221</v>
      </c>
      <c r="B295" s="7" t="s">
        <v>627</v>
      </c>
      <c r="C295" s="2" t="s">
        <v>1222</v>
      </c>
      <c r="D295">
        <f>VLOOKUP(B295,'Model allocations'!$A$1:$L$319,3,FALSE)</f>
        <v>152913.13630714122</v>
      </c>
      <c r="E295" s="32">
        <f>VLOOKUP(B295,'Initial adjusted formula count'!$A$1:$P$319,12,FALSE)</f>
        <v>0.20693641618497099</v>
      </c>
      <c r="F295">
        <f>VLOOKUP(B295,'Model allocations'!$A$1:$L$319,8,FALSE)</f>
        <v>153988.94075903919</v>
      </c>
      <c r="G295" s="31">
        <f t="shared" si="84"/>
        <v>0.9</v>
      </c>
      <c r="H295">
        <f t="shared" si="85"/>
        <v>137621.82267642711</v>
      </c>
      <c r="I295">
        <f t="shared" si="77"/>
        <v>0</v>
      </c>
      <c r="J295">
        <f t="shared" si="78"/>
        <v>153988.94075903919</v>
      </c>
      <c r="K295">
        <f t="shared" si="79"/>
        <v>153966.28992201659</v>
      </c>
      <c r="L295">
        <f t="shared" si="86"/>
        <v>153966.28992201659</v>
      </c>
      <c r="M295">
        <f t="shared" si="80"/>
        <v>0</v>
      </c>
      <c r="N295" s="30">
        <f t="shared" si="87"/>
        <v>153966.28992201659</v>
      </c>
      <c r="O295" s="30">
        <f t="shared" si="81"/>
        <v>153963.48692201692</v>
      </c>
      <c r="P295" s="30">
        <f t="shared" si="88"/>
        <v>153963.48692201692</v>
      </c>
      <c r="Q295">
        <f t="shared" si="89"/>
        <v>0</v>
      </c>
      <c r="R295" s="30">
        <f t="shared" si="90"/>
        <v>153963.48692201692</v>
      </c>
      <c r="S295" s="30">
        <f t="shared" si="82"/>
        <v>153963.48692201692</v>
      </c>
      <c r="T295" s="30">
        <f t="shared" si="91"/>
        <v>153963.48692201692</v>
      </c>
      <c r="U295">
        <f t="shared" si="92"/>
        <v>0</v>
      </c>
      <c r="V295" s="30">
        <f t="shared" si="93"/>
        <v>153963.48692201692</v>
      </c>
      <c r="W295" s="30">
        <f t="shared" si="83"/>
        <v>153963.48692201692</v>
      </c>
      <c r="X295" s="30">
        <f t="shared" si="94"/>
        <v>153963.48692201692</v>
      </c>
      <c r="Y295">
        <f t="shared" si="95"/>
        <v>0</v>
      </c>
    </row>
    <row r="296" spans="1:25" x14ac:dyDescent="0.25">
      <c r="A296" s="4" t="s">
        <v>1223</v>
      </c>
      <c r="B296" s="7" t="s">
        <v>257</v>
      </c>
      <c r="C296" s="2" t="s">
        <v>1224</v>
      </c>
      <c r="D296">
        <f>VLOOKUP(B296,'Model allocations'!$A$1:$L$319,3,FALSE)</f>
        <v>252878.35662327809</v>
      </c>
      <c r="E296" s="32">
        <f>VLOOKUP(B296,'Initial adjusted formula count'!$A$1:$P$319,12,FALSE)</f>
        <v>7.32816261032362E-2</v>
      </c>
      <c r="F296">
        <f>VLOOKUP(B296,'Model allocations'!$A$1:$L$319,8,FALSE)</f>
        <v>235714.91490489803</v>
      </c>
      <c r="G296" s="31">
        <f t="shared" si="84"/>
        <v>0.85</v>
      </c>
      <c r="H296">
        <f t="shared" si="85"/>
        <v>214946.60312978638</v>
      </c>
      <c r="I296">
        <f t="shared" si="77"/>
        <v>0</v>
      </c>
      <c r="J296">
        <f t="shared" si="78"/>
        <v>235714.91490489803</v>
      </c>
      <c r="K296">
        <f t="shared" si="79"/>
        <v>235680.24267392486</v>
      </c>
      <c r="L296">
        <f t="shared" si="86"/>
        <v>235680.24267392486</v>
      </c>
      <c r="M296">
        <f t="shared" si="80"/>
        <v>0</v>
      </c>
      <c r="N296" s="30">
        <f t="shared" si="87"/>
        <v>235680.24267392486</v>
      </c>
      <c r="O296" s="30">
        <f t="shared" si="81"/>
        <v>235675.95204822705</v>
      </c>
      <c r="P296" s="30">
        <f t="shared" si="88"/>
        <v>235675.95204822705</v>
      </c>
      <c r="Q296">
        <f t="shared" si="89"/>
        <v>0</v>
      </c>
      <c r="R296" s="30">
        <f t="shared" si="90"/>
        <v>235675.95204822705</v>
      </c>
      <c r="S296" s="30">
        <f t="shared" si="82"/>
        <v>235675.95204822707</v>
      </c>
      <c r="T296" s="30">
        <f t="shared" si="91"/>
        <v>235675.95204822707</v>
      </c>
      <c r="U296">
        <f t="shared" si="92"/>
        <v>0</v>
      </c>
      <c r="V296" s="30">
        <f t="shared" si="93"/>
        <v>235675.95204822707</v>
      </c>
      <c r="W296" s="30">
        <f t="shared" si="83"/>
        <v>235675.95204822713</v>
      </c>
      <c r="X296" s="30">
        <f t="shared" si="94"/>
        <v>235675.95204822713</v>
      </c>
      <c r="Y296">
        <f t="shared" si="95"/>
        <v>0</v>
      </c>
    </row>
    <row r="297" spans="1:25" x14ac:dyDescent="0.25">
      <c r="A297" s="4" t="s">
        <v>1225</v>
      </c>
      <c r="B297" s="7" t="s">
        <v>629</v>
      </c>
      <c r="C297" s="2" t="s">
        <v>1226</v>
      </c>
      <c r="D297">
        <f>VLOOKUP(B297,'Model allocations'!$A$1:$L$319,3,FALSE)</f>
        <v>0</v>
      </c>
      <c r="E297" s="32">
        <f>VLOOKUP(B297,'Initial adjusted formula count'!$A$1:$P$319,12,FALSE)</f>
        <v>0.104477611940298</v>
      </c>
      <c r="F297">
        <f>VLOOKUP(B297,'Model allocations'!$A$1:$L$319,8,FALSE)</f>
        <v>0</v>
      </c>
      <c r="G297" s="31">
        <f t="shared" si="84"/>
        <v>0.85</v>
      </c>
      <c r="H297">
        <f t="shared" si="85"/>
        <v>0</v>
      </c>
      <c r="I297">
        <f t="shared" si="77"/>
        <v>0</v>
      </c>
      <c r="J297">
        <f t="shared" si="78"/>
        <v>0</v>
      </c>
      <c r="K297">
        <f t="shared" si="79"/>
        <v>0</v>
      </c>
      <c r="L297">
        <f t="shared" si="86"/>
        <v>0</v>
      </c>
      <c r="M297">
        <f t="shared" si="80"/>
        <v>0</v>
      </c>
      <c r="N297" s="30">
        <f t="shared" si="87"/>
        <v>0</v>
      </c>
      <c r="O297" s="30">
        <f t="shared" si="81"/>
        <v>0</v>
      </c>
      <c r="P297" s="30">
        <f t="shared" si="88"/>
        <v>0</v>
      </c>
      <c r="Q297">
        <f t="shared" si="89"/>
        <v>0</v>
      </c>
      <c r="R297" s="30">
        <f t="shared" si="90"/>
        <v>0</v>
      </c>
      <c r="S297" s="30">
        <f t="shared" si="82"/>
        <v>0</v>
      </c>
      <c r="T297" s="30">
        <f t="shared" si="91"/>
        <v>0</v>
      </c>
      <c r="U297">
        <f t="shared" si="92"/>
        <v>0</v>
      </c>
      <c r="V297" s="30">
        <f t="shared" si="93"/>
        <v>0</v>
      </c>
      <c r="W297" s="30">
        <f t="shared" si="83"/>
        <v>0</v>
      </c>
      <c r="X297" s="30">
        <f t="shared" si="94"/>
        <v>0</v>
      </c>
      <c r="Y297">
        <f t="shared" si="95"/>
        <v>0</v>
      </c>
    </row>
    <row r="298" spans="1:25" x14ac:dyDescent="0.25">
      <c r="A298" s="4" t="s">
        <v>1227</v>
      </c>
      <c r="B298" s="7" t="s">
        <v>631</v>
      </c>
      <c r="C298" s="2" t="s">
        <v>1228</v>
      </c>
      <c r="D298">
        <f>VLOOKUP(B298,'Model allocations'!$A$1:$L$319,3,FALSE)</f>
        <v>42011.739758499876</v>
      </c>
      <c r="E298" s="32">
        <f>VLOOKUP(B298,'Initial adjusted formula count'!$A$1:$P$319,12,FALSE)</f>
        <v>0.12804878048780499</v>
      </c>
      <c r="F298">
        <f>VLOOKUP(B298,'Model allocations'!$A$1:$L$319,8,FALSE)</f>
        <v>36131.483306590191</v>
      </c>
      <c r="G298" s="31">
        <f t="shared" si="84"/>
        <v>0.85</v>
      </c>
      <c r="H298">
        <f t="shared" si="85"/>
        <v>35709.978794724891</v>
      </c>
      <c r="I298">
        <f t="shared" si="77"/>
        <v>0</v>
      </c>
      <c r="J298">
        <f t="shared" si="78"/>
        <v>36131.483306590191</v>
      </c>
      <c r="K298">
        <f t="shared" si="79"/>
        <v>36126.168585054162</v>
      </c>
      <c r="L298">
        <f t="shared" si="86"/>
        <v>36126.168585054162</v>
      </c>
      <c r="M298">
        <f t="shared" si="80"/>
        <v>0</v>
      </c>
      <c r="N298" s="30">
        <f t="shared" si="87"/>
        <v>36126.168585054162</v>
      </c>
      <c r="O298" s="30">
        <f t="shared" si="81"/>
        <v>36125.510897903405</v>
      </c>
      <c r="P298" s="30">
        <f t="shared" si="88"/>
        <v>36125.510897903405</v>
      </c>
      <c r="Q298">
        <f t="shared" si="89"/>
        <v>0</v>
      </c>
      <c r="R298" s="30">
        <f t="shared" si="90"/>
        <v>36125.510897903405</v>
      </c>
      <c r="S298" s="30">
        <f t="shared" si="82"/>
        <v>36125.510897903412</v>
      </c>
      <c r="T298" s="30">
        <f t="shared" si="91"/>
        <v>36125.510897903412</v>
      </c>
      <c r="U298">
        <f t="shared" si="92"/>
        <v>0</v>
      </c>
      <c r="V298" s="30">
        <f t="shared" si="93"/>
        <v>36125.510897903412</v>
      </c>
      <c r="W298" s="30">
        <f t="shared" si="83"/>
        <v>36125.510897903412</v>
      </c>
      <c r="X298" s="30">
        <f t="shared" si="94"/>
        <v>36125.510897903412</v>
      </c>
      <c r="Y298">
        <f t="shared" si="95"/>
        <v>0</v>
      </c>
    </row>
    <row r="299" spans="1:25" x14ac:dyDescent="0.25">
      <c r="A299" s="4" t="s">
        <v>1229</v>
      </c>
      <c r="B299" s="7" t="s">
        <v>633</v>
      </c>
      <c r="C299" s="2" t="s">
        <v>1230</v>
      </c>
      <c r="D299">
        <f>VLOOKUP(B299,'Model allocations'!$A$1:$L$319,3,FALSE)</f>
        <v>65441.36385458638</v>
      </c>
      <c r="E299" s="32">
        <f>VLOOKUP(B299,'Initial adjusted formula count'!$A$1:$P$319,12,FALSE)</f>
        <v>0.238095238095238</v>
      </c>
      <c r="F299">
        <f>VLOOKUP(B299,'Model allocations'!$A$1:$L$319,8,FALSE)</f>
        <v>64520.505904625388</v>
      </c>
      <c r="G299" s="31">
        <f t="shared" si="84"/>
        <v>0.9</v>
      </c>
      <c r="H299">
        <f t="shared" si="85"/>
        <v>58897.227469127742</v>
      </c>
      <c r="I299">
        <f t="shared" si="77"/>
        <v>0</v>
      </c>
      <c r="J299">
        <f t="shared" si="78"/>
        <v>64520.505904625388</v>
      </c>
      <c r="K299">
        <f t="shared" si="79"/>
        <v>64511.015330453905</v>
      </c>
      <c r="L299">
        <f t="shared" si="86"/>
        <v>64511.015330453905</v>
      </c>
      <c r="M299">
        <f t="shared" si="80"/>
        <v>0</v>
      </c>
      <c r="N299" s="30">
        <f t="shared" si="87"/>
        <v>64511.015330453905</v>
      </c>
      <c r="O299" s="30">
        <f t="shared" si="81"/>
        <v>64509.840889113264</v>
      </c>
      <c r="P299" s="30">
        <f t="shared" si="88"/>
        <v>64509.840889113264</v>
      </c>
      <c r="Q299">
        <f t="shared" si="89"/>
        <v>0</v>
      </c>
      <c r="R299" s="30">
        <f t="shared" si="90"/>
        <v>64509.840889113264</v>
      </c>
      <c r="S299" s="30">
        <f t="shared" si="82"/>
        <v>64509.840889113264</v>
      </c>
      <c r="T299" s="30">
        <f t="shared" si="91"/>
        <v>64509.840889113264</v>
      </c>
      <c r="U299">
        <f t="shared" si="92"/>
        <v>0</v>
      </c>
      <c r="V299" s="30">
        <f t="shared" si="93"/>
        <v>64509.840889113264</v>
      </c>
      <c r="W299" s="30">
        <f t="shared" si="83"/>
        <v>64509.840889113264</v>
      </c>
      <c r="X299" s="30">
        <f t="shared" si="94"/>
        <v>64509.840889113264</v>
      </c>
      <c r="Y299">
        <f t="shared" si="95"/>
        <v>0</v>
      </c>
    </row>
    <row r="300" spans="1:25" x14ac:dyDescent="0.25">
      <c r="A300" s="4" t="s">
        <v>56</v>
      </c>
      <c r="B300" s="7" t="s">
        <v>67</v>
      </c>
      <c r="C300" s="2" t="s">
        <v>1231</v>
      </c>
      <c r="D300">
        <f>VLOOKUP(B300,'Model allocations'!$A$1:$L$319,3,FALSE)</f>
        <v>894177.19076770253</v>
      </c>
      <c r="E300" s="32">
        <f>VLOOKUP(B300,'Initial adjusted formula count'!$A$1:$P$319,12,FALSE)</f>
        <v>0.111852350241065</v>
      </c>
      <c r="F300">
        <f>VLOOKUP(B300,'Model allocations'!$A$1:$L$319,8,FALSE)</f>
        <v>762557.23899258091</v>
      </c>
      <c r="G300" s="31">
        <f t="shared" si="84"/>
        <v>0.85</v>
      </c>
      <c r="H300">
        <f t="shared" si="85"/>
        <v>760050.61215254711</v>
      </c>
      <c r="I300">
        <f t="shared" si="77"/>
        <v>0</v>
      </c>
      <c r="J300">
        <f t="shared" si="78"/>
        <v>762557.23899258091</v>
      </c>
      <c r="K300">
        <f t="shared" si="79"/>
        <v>762445.07145862887</v>
      </c>
      <c r="L300">
        <f t="shared" si="86"/>
        <v>762445.07145862887</v>
      </c>
      <c r="M300">
        <f t="shared" si="80"/>
        <v>0</v>
      </c>
      <c r="N300" s="30">
        <f t="shared" si="87"/>
        <v>762445.07145862887</v>
      </c>
      <c r="O300" s="30">
        <f t="shared" si="81"/>
        <v>762431.19092974078</v>
      </c>
      <c r="P300" s="30">
        <f t="shared" si="88"/>
        <v>762431.19092974078</v>
      </c>
      <c r="Q300">
        <f t="shared" si="89"/>
        <v>0</v>
      </c>
      <c r="R300" s="30">
        <f t="shared" si="90"/>
        <v>762431.19092974078</v>
      </c>
      <c r="S300" s="30">
        <f t="shared" si="82"/>
        <v>762431.1909297409</v>
      </c>
      <c r="T300" s="30">
        <f t="shared" si="91"/>
        <v>762431.1909297409</v>
      </c>
      <c r="U300">
        <f t="shared" si="92"/>
        <v>0</v>
      </c>
      <c r="V300" s="30">
        <f t="shared" si="93"/>
        <v>762431.1909297409</v>
      </c>
      <c r="W300" s="30">
        <f t="shared" si="83"/>
        <v>762431.19092974102</v>
      </c>
      <c r="X300" s="30">
        <f t="shared" si="94"/>
        <v>762431.19092974102</v>
      </c>
      <c r="Y300">
        <f t="shared" si="95"/>
        <v>0</v>
      </c>
    </row>
    <row r="301" spans="1:25" x14ac:dyDescent="0.25">
      <c r="A301" s="4" t="s">
        <v>1232</v>
      </c>
      <c r="B301" s="7" t="s">
        <v>310</v>
      </c>
      <c r="C301" s="2" t="s">
        <v>1233</v>
      </c>
      <c r="D301">
        <f>VLOOKUP(B301,'Model allocations'!$A$1:$L$319,3,FALSE)</f>
        <v>339435.63467078982</v>
      </c>
      <c r="E301" s="32">
        <f>VLOOKUP(B301,'Initial adjusted formula count'!$A$1:$P$319,12,FALSE)</f>
        <v>0.134081696289367</v>
      </c>
      <c r="F301">
        <f>VLOOKUP(B301,'Model allocations'!$A$1:$L$319,8,FALSE)</f>
        <v>369917.56718651857</v>
      </c>
      <c r="G301" s="31">
        <f t="shared" si="84"/>
        <v>0.85</v>
      </c>
      <c r="H301">
        <f t="shared" si="85"/>
        <v>288520.28947017132</v>
      </c>
      <c r="I301">
        <f t="shared" si="77"/>
        <v>0</v>
      </c>
      <c r="J301">
        <f t="shared" si="78"/>
        <v>369917.56718651857</v>
      </c>
      <c r="K301">
        <f t="shared" si="79"/>
        <v>369863.15456126875</v>
      </c>
      <c r="L301">
        <f t="shared" si="86"/>
        <v>369863.15456126875</v>
      </c>
      <c r="M301">
        <f t="shared" si="80"/>
        <v>0</v>
      </c>
      <c r="N301" s="30">
        <f t="shared" si="87"/>
        <v>369863.15456126875</v>
      </c>
      <c r="O301" s="30">
        <f t="shared" si="81"/>
        <v>369856.42109758244</v>
      </c>
      <c r="P301" s="30">
        <f t="shared" si="88"/>
        <v>369856.42109758244</v>
      </c>
      <c r="Q301">
        <f t="shared" si="89"/>
        <v>0</v>
      </c>
      <c r="R301" s="30">
        <f t="shared" si="90"/>
        <v>369856.42109758244</v>
      </c>
      <c r="S301" s="30">
        <f t="shared" si="82"/>
        <v>369856.4210975825</v>
      </c>
      <c r="T301" s="30">
        <f t="shared" si="91"/>
        <v>369856.4210975825</v>
      </c>
      <c r="U301">
        <f t="shared" si="92"/>
        <v>0</v>
      </c>
      <c r="V301" s="30">
        <f t="shared" si="93"/>
        <v>369856.4210975825</v>
      </c>
      <c r="W301" s="30">
        <f t="shared" si="83"/>
        <v>369856.42109758256</v>
      </c>
      <c r="X301" s="30">
        <f t="shared" si="94"/>
        <v>369856.42109758256</v>
      </c>
      <c r="Y301">
        <f t="shared" si="95"/>
        <v>0</v>
      </c>
    </row>
    <row r="302" spans="1:25" x14ac:dyDescent="0.25">
      <c r="A302" s="4" t="s">
        <v>1234</v>
      </c>
      <c r="B302" s="7" t="s">
        <v>259</v>
      </c>
      <c r="C302" s="2" t="s">
        <v>1235</v>
      </c>
      <c r="D302">
        <f>VLOOKUP(B302,'Model allocations'!$A$1:$L$319,3,FALSE)</f>
        <v>614017.73493192135</v>
      </c>
      <c r="E302" s="32">
        <f>VLOOKUP(B302,'Initial adjusted formula count'!$A$1:$P$319,12,FALSE)</f>
        <v>0.11784351145038199</v>
      </c>
      <c r="F302">
        <f>VLOOKUP(B302,'Model allocations'!$A$1:$L$319,8,FALSE)</f>
        <v>637462.59833769826</v>
      </c>
      <c r="G302" s="31">
        <f t="shared" si="84"/>
        <v>0.85</v>
      </c>
      <c r="H302">
        <f t="shared" si="85"/>
        <v>521915.07469213312</v>
      </c>
      <c r="I302">
        <f t="shared" si="77"/>
        <v>0</v>
      </c>
      <c r="J302">
        <f t="shared" si="78"/>
        <v>637462.59833769826</v>
      </c>
      <c r="K302">
        <f t="shared" si="79"/>
        <v>637368.83146488399</v>
      </c>
      <c r="L302">
        <f t="shared" si="86"/>
        <v>637368.83146488399</v>
      </c>
      <c r="M302">
        <f t="shared" si="80"/>
        <v>0</v>
      </c>
      <c r="N302" s="30">
        <f t="shared" si="87"/>
        <v>637368.83146488399</v>
      </c>
      <c r="O302" s="30">
        <f t="shared" si="81"/>
        <v>637357.22798443842</v>
      </c>
      <c r="P302" s="30">
        <f t="shared" si="88"/>
        <v>637357.22798443842</v>
      </c>
      <c r="Q302">
        <f t="shared" si="89"/>
        <v>0</v>
      </c>
      <c r="R302" s="30">
        <f t="shared" si="90"/>
        <v>637357.22798443842</v>
      </c>
      <c r="S302" s="30">
        <f t="shared" si="82"/>
        <v>637357.22798443853</v>
      </c>
      <c r="T302" s="30">
        <f t="shared" si="91"/>
        <v>637357.22798443853</v>
      </c>
      <c r="U302">
        <f t="shared" si="92"/>
        <v>0</v>
      </c>
      <c r="V302" s="30">
        <f t="shared" si="93"/>
        <v>637357.22798443853</v>
      </c>
      <c r="W302" s="30">
        <f t="shared" si="83"/>
        <v>637357.22798443865</v>
      </c>
      <c r="X302" s="30">
        <f t="shared" si="94"/>
        <v>637357.22798443865</v>
      </c>
      <c r="Y302">
        <f t="shared" si="95"/>
        <v>0</v>
      </c>
    </row>
    <row r="303" spans="1:25" x14ac:dyDescent="0.25">
      <c r="A303" s="4" t="s">
        <v>13</v>
      </c>
      <c r="B303" s="7" t="s">
        <v>71</v>
      </c>
      <c r="C303" s="2" t="s">
        <v>1236</v>
      </c>
      <c r="D303">
        <f>VLOOKUP(B303,'Model allocations'!$A$1:$L$319,3,FALSE)</f>
        <v>9614.6000607706683</v>
      </c>
      <c r="E303" s="32">
        <f>VLOOKUP(B303,'Initial adjusted formula count'!$A$1:$P$319,12,FALSE)</f>
        <v>0.106617044908478</v>
      </c>
      <c r="F303">
        <f>VLOOKUP(B303,'Model allocations'!$A$1:$L$319,8,FALSE)</f>
        <v>0</v>
      </c>
      <c r="G303" s="31">
        <f t="shared" si="84"/>
        <v>0.85</v>
      </c>
      <c r="H303">
        <f t="shared" si="85"/>
        <v>0</v>
      </c>
      <c r="I303">
        <f t="shared" si="77"/>
        <v>0</v>
      </c>
      <c r="J303">
        <f t="shared" si="78"/>
        <v>0</v>
      </c>
      <c r="K303">
        <f t="shared" si="79"/>
        <v>0</v>
      </c>
      <c r="L303">
        <f t="shared" si="86"/>
        <v>0</v>
      </c>
      <c r="M303">
        <f t="shared" si="80"/>
        <v>0</v>
      </c>
      <c r="N303" s="30">
        <f t="shared" si="87"/>
        <v>0</v>
      </c>
      <c r="O303" s="30">
        <f t="shared" si="81"/>
        <v>0</v>
      </c>
      <c r="P303" s="30">
        <f t="shared" si="88"/>
        <v>0</v>
      </c>
      <c r="Q303">
        <f t="shared" si="89"/>
        <v>0</v>
      </c>
      <c r="R303" s="30">
        <f t="shared" si="90"/>
        <v>0</v>
      </c>
      <c r="S303" s="30">
        <f t="shared" si="82"/>
        <v>0</v>
      </c>
      <c r="T303" s="30">
        <f t="shared" si="91"/>
        <v>0</v>
      </c>
      <c r="U303">
        <f t="shared" si="92"/>
        <v>0</v>
      </c>
      <c r="V303" s="30">
        <f t="shared" si="93"/>
        <v>0</v>
      </c>
      <c r="W303" s="30">
        <f t="shared" si="83"/>
        <v>0</v>
      </c>
      <c r="X303" s="30">
        <f t="shared" si="94"/>
        <v>0</v>
      </c>
      <c r="Y303">
        <f t="shared" si="95"/>
        <v>0</v>
      </c>
    </row>
    <row r="304" spans="1:25" x14ac:dyDescent="0.25">
      <c r="A304" s="4" t="s">
        <v>1237</v>
      </c>
      <c r="B304" s="7" t="s">
        <v>635</v>
      </c>
      <c r="C304" s="2" t="s">
        <v>1238</v>
      </c>
      <c r="D304">
        <f>VLOOKUP(B304,'Model allocations'!$A$1:$L$319,3,FALSE)</f>
        <v>90486.82409523052</v>
      </c>
      <c r="E304" s="32">
        <f>VLOOKUP(B304,'Initial adjusted formula count'!$A$1:$P$319,12,FALSE)</f>
        <v>0.134615384615385</v>
      </c>
      <c r="F304">
        <f>VLOOKUP(B304,'Model allocations'!$A$1:$L$319,8,FALSE)</f>
        <v>76913.800480945938</v>
      </c>
      <c r="G304" s="31">
        <f t="shared" si="84"/>
        <v>0.85</v>
      </c>
      <c r="H304">
        <f t="shared" si="85"/>
        <v>76913.800480945938</v>
      </c>
      <c r="I304">
        <f t="shared" si="77"/>
        <v>0</v>
      </c>
      <c r="J304">
        <f t="shared" si="78"/>
        <v>76913.800480945938</v>
      </c>
      <c r="K304">
        <f t="shared" si="79"/>
        <v>76902.48692848628</v>
      </c>
      <c r="L304">
        <f t="shared" si="86"/>
        <v>76902.48692848628</v>
      </c>
      <c r="M304">
        <f t="shared" si="80"/>
        <v>76913.800480945938</v>
      </c>
      <c r="N304" s="30">
        <f t="shared" si="87"/>
        <v>0</v>
      </c>
      <c r="O304" s="30">
        <f t="shared" si="81"/>
        <v>0</v>
      </c>
      <c r="P304" s="30">
        <f t="shared" si="88"/>
        <v>76913.800480945938</v>
      </c>
      <c r="Q304">
        <f t="shared" si="89"/>
        <v>0</v>
      </c>
      <c r="R304" s="30">
        <f t="shared" si="90"/>
        <v>0</v>
      </c>
      <c r="S304" s="30">
        <f t="shared" si="82"/>
        <v>0</v>
      </c>
      <c r="T304" s="30">
        <f t="shared" si="91"/>
        <v>76913.800480945938</v>
      </c>
      <c r="U304">
        <f t="shared" si="92"/>
        <v>0</v>
      </c>
      <c r="V304" s="30">
        <f t="shared" si="93"/>
        <v>0</v>
      </c>
      <c r="W304" s="30">
        <f t="shared" si="83"/>
        <v>0</v>
      </c>
      <c r="X304" s="30">
        <f t="shared" si="94"/>
        <v>76913.800480945938</v>
      </c>
      <c r="Y304">
        <f t="shared" si="95"/>
        <v>0</v>
      </c>
    </row>
    <row r="305" spans="1:25" x14ac:dyDescent="0.25">
      <c r="A305" s="4" t="s">
        <v>1239</v>
      </c>
      <c r="B305" s="7" t="s">
        <v>260</v>
      </c>
      <c r="C305" s="2" t="s">
        <v>1240</v>
      </c>
      <c r="D305">
        <f>VLOOKUP(B305,'Model allocations'!$A$1:$L$319,3,FALSE)</f>
        <v>232680.40481630701</v>
      </c>
      <c r="E305" s="32">
        <f>VLOOKUP(B305,'Initial adjusted formula count'!$A$1:$P$319,12,FALSE)</f>
        <v>4.87752928647497E-2</v>
      </c>
      <c r="F305">
        <f>VLOOKUP(B305,'Model allocations'!$A$1:$L$319,8,FALSE)</f>
        <v>197778.34409386094</v>
      </c>
      <c r="G305" s="31">
        <f t="shared" si="84"/>
        <v>0.85</v>
      </c>
      <c r="H305">
        <f t="shared" si="85"/>
        <v>197778.34409386094</v>
      </c>
      <c r="I305">
        <f t="shared" si="77"/>
        <v>0</v>
      </c>
      <c r="J305">
        <f t="shared" si="78"/>
        <v>197778.34409386094</v>
      </c>
      <c r="K305">
        <f t="shared" si="79"/>
        <v>197749.25210182185</v>
      </c>
      <c r="L305">
        <f t="shared" si="86"/>
        <v>197749.25210182185</v>
      </c>
      <c r="M305">
        <f t="shared" si="80"/>
        <v>197778.34409386094</v>
      </c>
      <c r="N305" s="30">
        <f t="shared" si="87"/>
        <v>0</v>
      </c>
      <c r="O305" s="30">
        <f t="shared" si="81"/>
        <v>0</v>
      </c>
      <c r="P305" s="30">
        <f t="shared" si="88"/>
        <v>197778.34409386094</v>
      </c>
      <c r="Q305">
        <f t="shared" si="89"/>
        <v>0</v>
      </c>
      <c r="R305" s="30">
        <f t="shared" si="90"/>
        <v>0</v>
      </c>
      <c r="S305" s="30">
        <f t="shared" si="82"/>
        <v>0</v>
      </c>
      <c r="T305" s="30">
        <f t="shared" si="91"/>
        <v>197778.34409386094</v>
      </c>
      <c r="U305">
        <f t="shared" si="92"/>
        <v>0</v>
      </c>
      <c r="V305" s="30">
        <f t="shared" si="93"/>
        <v>0</v>
      </c>
      <c r="W305" s="30">
        <f t="shared" si="83"/>
        <v>0</v>
      </c>
      <c r="X305" s="30">
        <f t="shared" si="94"/>
        <v>197778.34409386094</v>
      </c>
      <c r="Y305">
        <f t="shared" si="95"/>
        <v>0</v>
      </c>
    </row>
    <row r="306" spans="1:25" x14ac:dyDescent="0.25">
      <c r="A306" s="4" t="s">
        <v>1241</v>
      </c>
      <c r="B306" s="7" t="s">
        <v>311</v>
      </c>
      <c r="C306" s="2" t="s">
        <v>1242</v>
      </c>
      <c r="D306">
        <f>VLOOKUP(B306,'Model allocations'!$A$1:$L$319,3,FALSE)</f>
        <v>132498.56385373042</v>
      </c>
      <c r="E306" s="32">
        <f>VLOOKUP(B306,'Initial adjusted formula count'!$A$1:$P$319,12,FALSE)</f>
        <v>0.122314049586777</v>
      </c>
      <c r="F306">
        <f>VLOOKUP(B306,'Model allocations'!$A$1:$L$319,8,FALSE)</f>
        <v>127320.46498512739</v>
      </c>
      <c r="G306" s="31">
        <f t="shared" si="84"/>
        <v>0.85</v>
      </c>
      <c r="H306">
        <f t="shared" si="85"/>
        <v>112623.77927567085</v>
      </c>
      <c r="I306">
        <f t="shared" si="77"/>
        <v>0</v>
      </c>
      <c r="J306">
        <f t="shared" si="78"/>
        <v>127320.46498512739</v>
      </c>
      <c r="K306">
        <f t="shared" si="79"/>
        <v>127301.73691876233</v>
      </c>
      <c r="L306">
        <f t="shared" si="86"/>
        <v>127301.73691876233</v>
      </c>
      <c r="M306">
        <f t="shared" si="80"/>
        <v>0</v>
      </c>
      <c r="N306" s="30">
        <f t="shared" si="87"/>
        <v>127301.73691876233</v>
      </c>
      <c r="O306" s="30">
        <f t="shared" si="81"/>
        <v>127299.41935451679</v>
      </c>
      <c r="P306" s="30">
        <f t="shared" si="88"/>
        <v>127299.41935451679</v>
      </c>
      <c r="Q306">
        <f t="shared" si="89"/>
        <v>0</v>
      </c>
      <c r="R306" s="30">
        <f t="shared" si="90"/>
        <v>127299.41935451679</v>
      </c>
      <c r="S306" s="30">
        <f t="shared" si="82"/>
        <v>127299.41935451681</v>
      </c>
      <c r="T306" s="30">
        <f t="shared" si="91"/>
        <v>127299.41935451681</v>
      </c>
      <c r="U306">
        <f t="shared" si="92"/>
        <v>0</v>
      </c>
      <c r="V306" s="30">
        <f t="shared" si="93"/>
        <v>127299.41935451681</v>
      </c>
      <c r="W306" s="30">
        <f t="shared" si="83"/>
        <v>127299.41935451684</v>
      </c>
      <c r="X306" s="30">
        <f t="shared" si="94"/>
        <v>127299.41935451684</v>
      </c>
      <c r="Y306">
        <f t="shared" si="95"/>
        <v>0</v>
      </c>
    </row>
    <row r="307" spans="1:25" x14ac:dyDescent="0.25">
      <c r="A307" s="4" t="s">
        <v>19</v>
      </c>
      <c r="B307" s="7" t="s">
        <v>73</v>
      </c>
      <c r="C307" s="2" t="s">
        <v>1243</v>
      </c>
      <c r="D307">
        <f>VLOOKUP(B307,'Model allocations'!$A$1:$L$319,3,FALSE)</f>
        <v>36411.305074022493</v>
      </c>
      <c r="E307" s="32">
        <f>VLOOKUP(B307,'Initial adjusted formula count'!$A$1:$P$319,12,FALSE)</f>
        <v>0.162781972031498</v>
      </c>
      <c r="F307">
        <f>VLOOKUP(B307,'Model allocations'!$A$1:$L$319,8,FALSE)</f>
        <v>39273.099014287531</v>
      </c>
      <c r="G307" s="31">
        <f t="shared" si="84"/>
        <v>0.9</v>
      </c>
      <c r="H307">
        <f t="shared" si="85"/>
        <v>32770.174566620248</v>
      </c>
      <c r="I307">
        <f t="shared" si="77"/>
        <v>0</v>
      </c>
      <c r="J307">
        <f t="shared" si="78"/>
        <v>39273.099014287531</v>
      </c>
      <c r="K307">
        <f t="shared" si="79"/>
        <v>39267.322180180083</v>
      </c>
      <c r="L307">
        <f t="shared" si="86"/>
        <v>39267.322180180083</v>
      </c>
      <c r="M307">
        <f t="shared" si="80"/>
        <v>0</v>
      </c>
      <c r="N307" s="30">
        <f t="shared" si="87"/>
        <v>39267.322180180083</v>
      </c>
      <c r="O307" s="30">
        <f t="shared" si="81"/>
        <v>39266.607307436745</v>
      </c>
      <c r="P307" s="30">
        <f t="shared" si="88"/>
        <v>39266.607307436745</v>
      </c>
      <c r="Q307">
        <f t="shared" si="89"/>
        <v>0</v>
      </c>
      <c r="R307" s="30">
        <f t="shared" si="90"/>
        <v>39266.607307436745</v>
      </c>
      <c r="S307" s="30">
        <f t="shared" si="82"/>
        <v>39266.607307436752</v>
      </c>
      <c r="T307" s="30">
        <f t="shared" si="91"/>
        <v>39266.607307436752</v>
      </c>
      <c r="U307">
        <f t="shared" si="92"/>
        <v>0</v>
      </c>
      <c r="V307" s="30">
        <f t="shared" si="93"/>
        <v>39266.607307436752</v>
      </c>
      <c r="W307" s="30">
        <f t="shared" si="83"/>
        <v>39266.60730743676</v>
      </c>
      <c r="X307" s="30">
        <f t="shared" si="94"/>
        <v>39266.60730743676</v>
      </c>
      <c r="Y307">
        <f t="shared" si="95"/>
        <v>0</v>
      </c>
    </row>
    <row r="308" spans="1:25" x14ac:dyDescent="0.25">
      <c r="A308" s="4" t="s">
        <v>1244</v>
      </c>
      <c r="B308" s="7" t="s">
        <v>262</v>
      </c>
      <c r="C308" s="2" t="s">
        <v>1245</v>
      </c>
      <c r="D308">
        <f>VLOOKUP(B308,'Model allocations'!$A$1:$L$319,3,FALSE)</f>
        <v>24237.542168365319</v>
      </c>
      <c r="E308" s="32">
        <f>VLOOKUP(B308,'Initial adjusted formula count'!$A$1:$P$319,12,FALSE)</f>
        <v>0.146017699115044</v>
      </c>
      <c r="F308">
        <f>VLOOKUP(B308,'Model allocations'!$A$1:$L$319,8,FALSE)</f>
        <v>28389.022598035164</v>
      </c>
      <c r="G308" s="31">
        <f t="shared" si="84"/>
        <v>0.85</v>
      </c>
      <c r="H308">
        <f t="shared" si="85"/>
        <v>20601.91084311052</v>
      </c>
      <c r="I308">
        <f t="shared" si="77"/>
        <v>0</v>
      </c>
      <c r="J308">
        <f t="shared" si="78"/>
        <v>28389.022598035164</v>
      </c>
      <c r="K308">
        <f t="shared" si="79"/>
        <v>28384.846745399711</v>
      </c>
      <c r="L308">
        <f t="shared" si="86"/>
        <v>28384.846745399711</v>
      </c>
      <c r="M308">
        <f t="shared" si="80"/>
        <v>0</v>
      </c>
      <c r="N308" s="30">
        <f t="shared" si="87"/>
        <v>28384.846745399711</v>
      </c>
      <c r="O308" s="30">
        <f t="shared" si="81"/>
        <v>28384.32999120983</v>
      </c>
      <c r="P308" s="30">
        <f t="shared" si="88"/>
        <v>28384.32999120983</v>
      </c>
      <c r="Q308">
        <f t="shared" si="89"/>
        <v>0</v>
      </c>
      <c r="R308" s="30">
        <f t="shared" si="90"/>
        <v>28384.32999120983</v>
      </c>
      <c r="S308" s="30">
        <f t="shared" si="82"/>
        <v>28384.329991209834</v>
      </c>
      <c r="T308" s="30">
        <f t="shared" si="91"/>
        <v>28384.329991209834</v>
      </c>
      <c r="U308">
        <f t="shared" si="92"/>
        <v>0</v>
      </c>
      <c r="V308" s="30">
        <f t="shared" si="93"/>
        <v>28384.329991209834</v>
      </c>
      <c r="W308" s="30">
        <f t="shared" si="83"/>
        <v>28384.329991209834</v>
      </c>
      <c r="X308" s="30">
        <f t="shared" si="94"/>
        <v>28384.329991209834</v>
      </c>
      <c r="Y308">
        <f t="shared" si="95"/>
        <v>0</v>
      </c>
    </row>
    <row r="309" spans="1:25" x14ac:dyDescent="0.25">
      <c r="A309" s="4" t="s">
        <v>1246</v>
      </c>
      <c r="B309" s="7" t="s">
        <v>637</v>
      </c>
      <c r="C309" s="2" t="s">
        <v>1247</v>
      </c>
      <c r="D309">
        <f>VLOOKUP(B309,'Model allocations'!$A$1:$L$319,3,FALSE)</f>
        <v>51227.044146483327</v>
      </c>
      <c r="E309" s="32">
        <f>VLOOKUP(B309,'Initial adjusted formula count'!$A$1:$P$319,12,FALSE)</f>
        <v>0.113149847094801</v>
      </c>
      <c r="F309">
        <f>VLOOKUP(B309,'Model allocations'!$A$1:$L$319,8,FALSE)</f>
        <v>43542.987524510827</v>
      </c>
      <c r="G309" s="31">
        <f t="shared" si="84"/>
        <v>0.85</v>
      </c>
      <c r="H309">
        <f t="shared" si="85"/>
        <v>43542.987524510827</v>
      </c>
      <c r="I309">
        <f t="shared" si="77"/>
        <v>0</v>
      </c>
      <c r="J309">
        <f t="shared" si="78"/>
        <v>43542.987524510827</v>
      </c>
      <c r="K309">
        <f t="shared" si="79"/>
        <v>43536.582615761967</v>
      </c>
      <c r="L309">
        <f t="shared" si="86"/>
        <v>43536.582615761967</v>
      </c>
      <c r="M309">
        <f t="shared" si="80"/>
        <v>43542.987524510827</v>
      </c>
      <c r="N309" s="30">
        <f t="shared" si="87"/>
        <v>0</v>
      </c>
      <c r="O309" s="30">
        <f t="shared" si="81"/>
        <v>0</v>
      </c>
      <c r="P309" s="30">
        <f t="shared" si="88"/>
        <v>43542.987524510827</v>
      </c>
      <c r="Q309">
        <f t="shared" si="89"/>
        <v>0</v>
      </c>
      <c r="R309" s="30">
        <f t="shared" si="90"/>
        <v>0</v>
      </c>
      <c r="S309" s="30">
        <f t="shared" si="82"/>
        <v>0</v>
      </c>
      <c r="T309" s="30">
        <f t="shared" si="91"/>
        <v>43542.987524510827</v>
      </c>
      <c r="U309">
        <f t="shared" si="92"/>
        <v>0</v>
      </c>
      <c r="V309" s="30">
        <f t="shared" si="93"/>
        <v>0</v>
      </c>
      <c r="W309" s="30">
        <f t="shared" si="83"/>
        <v>0</v>
      </c>
      <c r="X309" s="30">
        <f t="shared" si="94"/>
        <v>43542.987524510827</v>
      </c>
      <c r="Y309">
        <f t="shared" si="95"/>
        <v>0</v>
      </c>
    </row>
    <row r="310" spans="1:25" x14ac:dyDescent="0.25">
      <c r="A310" s="4" t="s">
        <v>1248</v>
      </c>
      <c r="B310" s="7" t="s">
        <v>639</v>
      </c>
      <c r="C310" s="2" t="s">
        <v>1249</v>
      </c>
      <c r="D310">
        <f>VLOOKUP(B310,'Model allocations'!$A$1:$L$319,3,FALSE)</f>
        <v>11626.869827496843</v>
      </c>
      <c r="E310" s="32">
        <f>VLOOKUP(B310,'Initial adjusted formula count'!$A$1:$P$319,12,FALSE)</f>
        <v>0.13392857142857101</v>
      </c>
      <c r="F310">
        <f>VLOOKUP(B310,'Model allocations'!$A$1:$L$319,8,FALSE)</f>
        <v>12904.101180925074</v>
      </c>
      <c r="G310" s="31">
        <f t="shared" si="84"/>
        <v>0.85</v>
      </c>
      <c r="H310">
        <f t="shared" si="85"/>
        <v>9882.8393533723156</v>
      </c>
      <c r="I310">
        <f t="shared" si="77"/>
        <v>0</v>
      </c>
      <c r="J310">
        <f t="shared" si="78"/>
        <v>12904.101180925074</v>
      </c>
      <c r="K310">
        <f t="shared" si="79"/>
        <v>12902.203066090777</v>
      </c>
      <c r="L310">
        <f t="shared" si="86"/>
        <v>12902.203066090777</v>
      </c>
      <c r="M310">
        <f t="shared" si="80"/>
        <v>0</v>
      </c>
      <c r="N310" s="30">
        <f t="shared" si="87"/>
        <v>12902.203066090777</v>
      </c>
      <c r="O310" s="30">
        <f t="shared" si="81"/>
        <v>12901.968177822648</v>
      </c>
      <c r="P310" s="30">
        <f t="shared" si="88"/>
        <v>12901.968177822648</v>
      </c>
      <c r="Q310">
        <f t="shared" si="89"/>
        <v>0</v>
      </c>
      <c r="R310" s="30">
        <f t="shared" si="90"/>
        <v>12901.968177822648</v>
      </c>
      <c r="S310" s="30">
        <f t="shared" si="82"/>
        <v>12901.96817782265</v>
      </c>
      <c r="T310" s="30">
        <f t="shared" si="91"/>
        <v>12901.96817782265</v>
      </c>
      <c r="U310">
        <f t="shared" si="92"/>
        <v>0</v>
      </c>
      <c r="V310" s="30">
        <f t="shared" si="93"/>
        <v>12901.96817782265</v>
      </c>
      <c r="W310" s="30">
        <f t="shared" si="83"/>
        <v>12901.968177822651</v>
      </c>
      <c r="X310" s="30">
        <f t="shared" si="94"/>
        <v>12901.968177822651</v>
      </c>
      <c r="Y310">
        <f t="shared" si="95"/>
        <v>0</v>
      </c>
    </row>
    <row r="311" spans="1:25" x14ac:dyDescent="0.25">
      <c r="A311" s="4" t="s">
        <v>1250</v>
      </c>
      <c r="B311" s="7" t="s">
        <v>641</v>
      </c>
      <c r="C311" s="2" t="s">
        <v>1251</v>
      </c>
      <c r="D311">
        <f>VLOOKUP(B311,'Model allocations'!$A$1:$L$319,3,FALSE)</f>
        <v>99834.010197291136</v>
      </c>
      <c r="E311" s="32">
        <f>VLOOKUP(B311,'Initial adjusted formula count'!$A$1:$P$319,12,FALSE)</f>
        <v>0.125925925925926</v>
      </c>
      <c r="F311">
        <f>VLOOKUP(B311,'Model allocations'!$A$1:$L$319,8,FALSE)</f>
        <v>87747.888030290516</v>
      </c>
      <c r="G311" s="31">
        <f t="shared" si="84"/>
        <v>0.85</v>
      </c>
      <c r="H311">
        <f t="shared" si="85"/>
        <v>84858.908667697469</v>
      </c>
      <c r="I311">
        <f t="shared" si="77"/>
        <v>0</v>
      </c>
      <c r="J311">
        <f t="shared" si="78"/>
        <v>87747.888030290516</v>
      </c>
      <c r="K311">
        <f t="shared" si="79"/>
        <v>87734.98084941729</v>
      </c>
      <c r="L311">
        <f t="shared" si="86"/>
        <v>87734.98084941729</v>
      </c>
      <c r="M311">
        <f t="shared" si="80"/>
        <v>0</v>
      </c>
      <c r="N311" s="30">
        <f t="shared" si="87"/>
        <v>87734.98084941729</v>
      </c>
      <c r="O311" s="30">
        <f t="shared" si="81"/>
        <v>87733.383609194017</v>
      </c>
      <c r="P311" s="30">
        <f t="shared" si="88"/>
        <v>87733.383609194017</v>
      </c>
      <c r="Q311">
        <f t="shared" si="89"/>
        <v>0</v>
      </c>
      <c r="R311" s="30">
        <f t="shared" si="90"/>
        <v>87733.383609194017</v>
      </c>
      <c r="S311" s="30">
        <f t="shared" si="82"/>
        <v>87733.383609194017</v>
      </c>
      <c r="T311" s="30">
        <f t="shared" si="91"/>
        <v>87733.383609194017</v>
      </c>
      <c r="U311">
        <f t="shared" si="92"/>
        <v>0</v>
      </c>
      <c r="V311" s="30">
        <f t="shared" si="93"/>
        <v>87733.383609194017</v>
      </c>
      <c r="W311" s="30">
        <f t="shared" si="83"/>
        <v>87733.383609194017</v>
      </c>
      <c r="X311" s="30">
        <f t="shared" si="94"/>
        <v>87733.383609194017</v>
      </c>
      <c r="Y311">
        <f t="shared" si="95"/>
        <v>0</v>
      </c>
    </row>
    <row r="312" spans="1:25" x14ac:dyDescent="0.25">
      <c r="A312" s="4" t="s">
        <v>1252</v>
      </c>
      <c r="B312" s="7" t="s">
        <v>643</v>
      </c>
      <c r="C312" s="2" t="s">
        <v>1253</v>
      </c>
      <c r="D312">
        <f>VLOOKUP(B312,'Model allocations'!$A$1:$L$319,3,FALSE)</f>
        <v>16966.279517855728</v>
      </c>
      <c r="E312" s="32">
        <f>VLOOKUP(B312,'Initial adjusted formula count'!$A$1:$P$319,12,FALSE)</f>
        <v>0.14383561643835599</v>
      </c>
      <c r="F312">
        <f>VLOOKUP(B312,'Model allocations'!$A$1:$L$319,8,FALSE)</f>
        <v>18065.741653295096</v>
      </c>
      <c r="G312" s="31">
        <f t="shared" si="84"/>
        <v>0.85</v>
      </c>
      <c r="H312">
        <f t="shared" si="85"/>
        <v>14421.337590177369</v>
      </c>
      <c r="I312">
        <f t="shared" si="77"/>
        <v>0</v>
      </c>
      <c r="J312">
        <f t="shared" si="78"/>
        <v>18065.741653295096</v>
      </c>
      <c r="K312">
        <f t="shared" si="79"/>
        <v>18063.084292527081</v>
      </c>
      <c r="L312">
        <f t="shared" si="86"/>
        <v>18063.084292527081</v>
      </c>
      <c r="M312">
        <f t="shared" si="80"/>
        <v>0</v>
      </c>
      <c r="N312" s="30">
        <f t="shared" si="87"/>
        <v>18063.084292527081</v>
      </c>
      <c r="O312" s="30">
        <f t="shared" si="81"/>
        <v>18062.755448951702</v>
      </c>
      <c r="P312" s="30">
        <f t="shared" si="88"/>
        <v>18062.755448951702</v>
      </c>
      <c r="Q312">
        <f t="shared" si="89"/>
        <v>0</v>
      </c>
      <c r="R312" s="30">
        <f t="shared" si="90"/>
        <v>18062.755448951702</v>
      </c>
      <c r="S312" s="30">
        <f t="shared" si="82"/>
        <v>18062.755448951706</v>
      </c>
      <c r="T312" s="30">
        <f t="shared" si="91"/>
        <v>18062.755448951706</v>
      </c>
      <c r="U312">
        <f t="shared" si="92"/>
        <v>0</v>
      </c>
      <c r="V312" s="30">
        <f t="shared" si="93"/>
        <v>18062.755448951706</v>
      </c>
      <c r="W312" s="30">
        <f t="shared" si="83"/>
        <v>18062.755448951706</v>
      </c>
      <c r="X312" s="30">
        <f t="shared" si="94"/>
        <v>18062.755448951706</v>
      </c>
      <c r="Y312">
        <f t="shared" si="95"/>
        <v>0</v>
      </c>
    </row>
    <row r="313" spans="1:25" x14ac:dyDescent="0.25">
      <c r="A313" s="4" t="s">
        <v>1254</v>
      </c>
      <c r="B313" s="7" t="s">
        <v>645</v>
      </c>
      <c r="C313" s="2" t="s">
        <v>1255</v>
      </c>
      <c r="D313">
        <f>VLOOKUP(B313,'Model allocations'!$A$1:$L$319,3,FALSE)</f>
        <v>12118.771084182659</v>
      </c>
      <c r="E313" s="32">
        <f>VLOOKUP(B313,'Initial adjusted formula count'!$A$1:$P$319,12,FALSE)</f>
        <v>0.372093023255814</v>
      </c>
      <c r="F313">
        <f>VLOOKUP(B313,'Model allocations'!$A$1:$L$319,8,FALSE)</f>
        <v>13764.374592986747</v>
      </c>
      <c r="G313" s="31">
        <f t="shared" si="84"/>
        <v>0.95</v>
      </c>
      <c r="H313">
        <f t="shared" si="85"/>
        <v>11512.832529973526</v>
      </c>
      <c r="I313">
        <f t="shared" si="77"/>
        <v>0</v>
      </c>
      <c r="J313">
        <f t="shared" si="78"/>
        <v>13764.374592986747</v>
      </c>
      <c r="K313">
        <f t="shared" si="79"/>
        <v>13762.349937163497</v>
      </c>
      <c r="L313">
        <f t="shared" si="86"/>
        <v>13762.349937163497</v>
      </c>
      <c r="M313">
        <f t="shared" si="80"/>
        <v>0</v>
      </c>
      <c r="N313" s="30">
        <f t="shared" si="87"/>
        <v>13762.349937163497</v>
      </c>
      <c r="O313" s="30">
        <f t="shared" si="81"/>
        <v>13762.099389677493</v>
      </c>
      <c r="P313" s="30">
        <f t="shared" si="88"/>
        <v>13762.099389677493</v>
      </c>
      <c r="Q313">
        <f t="shared" si="89"/>
        <v>0</v>
      </c>
      <c r="R313" s="30">
        <f t="shared" si="90"/>
        <v>13762.099389677493</v>
      </c>
      <c r="S313" s="30">
        <f t="shared" si="82"/>
        <v>13762.099389677496</v>
      </c>
      <c r="T313" s="30">
        <f t="shared" si="91"/>
        <v>13762.099389677496</v>
      </c>
      <c r="U313">
        <f t="shared" si="92"/>
        <v>0</v>
      </c>
      <c r="V313" s="30">
        <f t="shared" si="93"/>
        <v>13762.099389677496</v>
      </c>
      <c r="W313" s="30">
        <f t="shared" si="83"/>
        <v>13762.099389677498</v>
      </c>
      <c r="X313" s="30">
        <f t="shared" si="94"/>
        <v>13762.099389677498</v>
      </c>
      <c r="Y313">
        <f t="shared" si="95"/>
        <v>0</v>
      </c>
    </row>
    <row r="314" spans="1:25" x14ac:dyDescent="0.25">
      <c r="A314" s="4" t="s">
        <v>1256</v>
      </c>
      <c r="B314" s="7" t="s">
        <v>647</v>
      </c>
      <c r="C314" s="2" t="s">
        <v>1257</v>
      </c>
      <c r="D314">
        <f>VLOOKUP(B314,'Model allocations'!$A$1:$L$319,3,FALSE)</f>
        <v>214906.20722617253</v>
      </c>
      <c r="E314" s="32">
        <f>VLOOKUP(B314,'Initial adjusted formula count'!$A$1:$P$319,12,FALSE)</f>
        <v>9.2865232163080402E-2</v>
      </c>
      <c r="F314">
        <f>VLOOKUP(B314,'Model allocations'!$A$1:$L$319,8,FALSE)</f>
        <v>211627.25936717121</v>
      </c>
      <c r="G314" s="31">
        <f t="shared" si="84"/>
        <v>0.85</v>
      </c>
      <c r="H314">
        <f t="shared" si="85"/>
        <v>182670.27614224664</v>
      </c>
      <c r="I314">
        <f t="shared" si="77"/>
        <v>0</v>
      </c>
      <c r="J314">
        <f t="shared" si="78"/>
        <v>211627.25936717121</v>
      </c>
      <c r="K314">
        <f t="shared" si="79"/>
        <v>211596.13028388875</v>
      </c>
      <c r="L314">
        <f t="shared" si="86"/>
        <v>211596.13028388875</v>
      </c>
      <c r="M314">
        <f t="shared" si="80"/>
        <v>0</v>
      </c>
      <c r="N314" s="30">
        <f t="shared" si="87"/>
        <v>211596.13028388875</v>
      </c>
      <c r="O314" s="30">
        <f t="shared" si="81"/>
        <v>211592.27811629145</v>
      </c>
      <c r="P314" s="30">
        <f t="shared" si="88"/>
        <v>211592.27811629145</v>
      </c>
      <c r="Q314">
        <f t="shared" si="89"/>
        <v>0</v>
      </c>
      <c r="R314" s="30">
        <f t="shared" si="90"/>
        <v>211592.27811629145</v>
      </c>
      <c r="S314" s="30">
        <f t="shared" si="82"/>
        <v>211592.27811629148</v>
      </c>
      <c r="T314" s="30">
        <f t="shared" si="91"/>
        <v>211592.27811629148</v>
      </c>
      <c r="U314">
        <f t="shared" si="92"/>
        <v>0</v>
      </c>
      <c r="V314" s="30">
        <f t="shared" si="93"/>
        <v>211592.27811629148</v>
      </c>
      <c r="W314" s="30">
        <f t="shared" si="83"/>
        <v>211592.27811629148</v>
      </c>
      <c r="X314" s="30">
        <f t="shared" si="94"/>
        <v>211592.27811629148</v>
      </c>
      <c r="Y314">
        <f t="shared" si="95"/>
        <v>0</v>
      </c>
    </row>
    <row r="315" spans="1:25" x14ac:dyDescent="0.25">
      <c r="A315" s="4" t="s">
        <v>1258</v>
      </c>
      <c r="B315" s="7" t="s">
        <v>649</v>
      </c>
      <c r="C315" s="2" t="s">
        <v>1259</v>
      </c>
      <c r="D315">
        <f>VLOOKUP(B315,'Model allocations'!$A$1:$L$319,3,FALSE)</f>
        <v>3269032.8267855183</v>
      </c>
      <c r="E315" s="32">
        <f>VLOOKUP(B315,'Initial adjusted formula count'!$A$1:$P$319,12,FALSE)</f>
        <v>0.26003268567277998</v>
      </c>
      <c r="F315">
        <f>VLOOKUP(B315,'Model allocations'!$A$1:$L$319,8,FALSE)</f>
        <v>3695734.578216942</v>
      </c>
      <c r="G315" s="31">
        <f t="shared" si="84"/>
        <v>0.9</v>
      </c>
      <c r="H315">
        <f t="shared" si="85"/>
        <v>2942129.5441069664</v>
      </c>
      <c r="I315">
        <f t="shared" si="77"/>
        <v>0</v>
      </c>
      <c r="J315">
        <f t="shared" si="78"/>
        <v>3695734.578216942</v>
      </c>
      <c r="K315">
        <f t="shared" si="79"/>
        <v>3695190.9581283992</v>
      </c>
      <c r="L315">
        <f t="shared" si="86"/>
        <v>3695190.9581283992</v>
      </c>
      <c r="M315">
        <f t="shared" si="80"/>
        <v>0</v>
      </c>
      <c r="N315" s="30">
        <f t="shared" si="87"/>
        <v>3695190.9581283992</v>
      </c>
      <c r="O315" s="30">
        <f t="shared" si="81"/>
        <v>3695123.6861284073</v>
      </c>
      <c r="P315" s="30">
        <f t="shared" si="88"/>
        <v>3695123.6861284073</v>
      </c>
      <c r="Q315">
        <f t="shared" si="89"/>
        <v>0</v>
      </c>
      <c r="R315" s="30">
        <f t="shared" si="90"/>
        <v>3695123.6861284073</v>
      </c>
      <c r="S315" s="30">
        <f t="shared" si="82"/>
        <v>3695123.6861284082</v>
      </c>
      <c r="T315" s="30">
        <f t="shared" si="91"/>
        <v>3695123.6861284082</v>
      </c>
      <c r="U315">
        <f t="shared" si="92"/>
        <v>0</v>
      </c>
      <c r="V315" s="30">
        <f t="shared" si="93"/>
        <v>3695123.6861284082</v>
      </c>
      <c r="W315" s="30">
        <f t="shared" si="83"/>
        <v>3695123.6861284086</v>
      </c>
      <c r="X315" s="30">
        <f t="shared" si="94"/>
        <v>3695123.6861284086</v>
      </c>
      <c r="Y315">
        <f t="shared" si="95"/>
        <v>0</v>
      </c>
    </row>
    <row r="316" spans="1:25" x14ac:dyDescent="0.25">
      <c r="A316" s="4" t="s">
        <v>1260</v>
      </c>
      <c r="B316" s="7" t="s">
        <v>651</v>
      </c>
      <c r="C316" s="2" t="s">
        <v>1261</v>
      </c>
      <c r="D316">
        <f>VLOOKUP(B316,'Model allocations'!$A$1:$L$319,3,FALSE)</f>
        <v>600283.12770318112</v>
      </c>
      <c r="E316" s="32">
        <f>VLOOKUP(B316,'Initial adjusted formula count'!$A$1:$P$319,12,FALSE)</f>
        <v>9.2218137254901994E-2</v>
      </c>
      <c r="F316">
        <f>VLOOKUP(B316,'Model allocations'!$A$1:$L$319,8,FALSE)</f>
        <v>517884.59406112629</v>
      </c>
      <c r="G316" s="31">
        <f t="shared" si="84"/>
        <v>0.85</v>
      </c>
      <c r="H316">
        <f t="shared" si="85"/>
        <v>510240.65854770393</v>
      </c>
      <c r="I316">
        <f t="shared" si="77"/>
        <v>0</v>
      </c>
      <c r="J316">
        <f t="shared" si="78"/>
        <v>517884.59406112629</v>
      </c>
      <c r="K316">
        <f t="shared" si="79"/>
        <v>517808.41638577654</v>
      </c>
      <c r="L316">
        <f t="shared" si="86"/>
        <v>517808.41638577654</v>
      </c>
      <c r="M316">
        <f t="shared" si="80"/>
        <v>0</v>
      </c>
      <c r="N316" s="30">
        <f t="shared" si="87"/>
        <v>517808.41638577654</v>
      </c>
      <c r="O316" s="30">
        <f t="shared" si="81"/>
        <v>517798.98953661567</v>
      </c>
      <c r="P316" s="30">
        <f t="shared" si="88"/>
        <v>517798.98953661567</v>
      </c>
      <c r="Q316">
        <f t="shared" si="89"/>
        <v>0</v>
      </c>
      <c r="R316" s="30">
        <f t="shared" si="90"/>
        <v>517798.98953661567</v>
      </c>
      <c r="S316" s="30">
        <f t="shared" si="82"/>
        <v>517798.98953661573</v>
      </c>
      <c r="T316" s="30">
        <f t="shared" si="91"/>
        <v>517798.98953661573</v>
      </c>
      <c r="U316">
        <f t="shared" si="92"/>
        <v>0</v>
      </c>
      <c r="V316" s="30">
        <f t="shared" si="93"/>
        <v>517798.98953661573</v>
      </c>
      <c r="W316" s="30">
        <f t="shared" si="83"/>
        <v>517798.98953661585</v>
      </c>
      <c r="X316" s="30">
        <f t="shared" si="94"/>
        <v>517798.98953661585</v>
      </c>
      <c r="Y316">
        <f t="shared" si="95"/>
        <v>0</v>
      </c>
    </row>
    <row r="317" spans="1:25" x14ac:dyDescent="0.25">
      <c r="A317" s="4" t="s">
        <v>1262</v>
      </c>
      <c r="B317" s="7" t="s">
        <v>653</v>
      </c>
      <c r="C317" s="2" t="s">
        <v>1263</v>
      </c>
      <c r="D317">
        <f>VLOOKUP(B317,'Model allocations'!$A$1:$L$319,3,FALSE)</f>
        <v>138961.90843196114</v>
      </c>
      <c r="E317" s="32">
        <f>VLOOKUP(B317,'Initial adjusted formula count'!$A$1:$P$319,12,FALSE)</f>
        <v>0.123857024106401</v>
      </c>
      <c r="F317">
        <f>VLOOKUP(B317,'Model allocations'!$A$1:$L$319,8,FALSE)</f>
        <v>128180.73839718908</v>
      </c>
      <c r="G317" s="31">
        <f t="shared" si="84"/>
        <v>0.85</v>
      </c>
      <c r="H317">
        <f t="shared" si="85"/>
        <v>118117.62216716696</v>
      </c>
      <c r="I317">
        <f t="shared" si="77"/>
        <v>0</v>
      </c>
      <c r="J317">
        <f t="shared" si="78"/>
        <v>128180.73839718908</v>
      </c>
      <c r="K317">
        <f t="shared" si="79"/>
        <v>128161.88378983505</v>
      </c>
      <c r="L317">
        <f t="shared" si="86"/>
        <v>128161.88378983505</v>
      </c>
      <c r="M317">
        <f t="shared" si="80"/>
        <v>0</v>
      </c>
      <c r="N317" s="30">
        <f t="shared" si="87"/>
        <v>128161.88378983505</v>
      </c>
      <c r="O317" s="30">
        <f t="shared" si="81"/>
        <v>128159.55056637165</v>
      </c>
      <c r="P317" s="30">
        <f t="shared" si="88"/>
        <v>128159.55056637165</v>
      </c>
      <c r="Q317">
        <f t="shared" si="89"/>
        <v>0</v>
      </c>
      <c r="R317" s="30">
        <f t="shared" si="90"/>
        <v>128159.55056637165</v>
      </c>
      <c r="S317" s="30">
        <f t="shared" si="82"/>
        <v>128159.55056637166</v>
      </c>
      <c r="T317" s="30">
        <f t="shared" si="91"/>
        <v>128159.55056637166</v>
      </c>
      <c r="U317">
        <f t="shared" si="92"/>
        <v>0</v>
      </c>
      <c r="V317" s="30">
        <f t="shared" si="93"/>
        <v>128159.55056637166</v>
      </c>
      <c r="W317" s="30">
        <f t="shared" si="83"/>
        <v>128159.55056637169</v>
      </c>
      <c r="X317" s="30">
        <f t="shared" si="94"/>
        <v>128159.55056637169</v>
      </c>
      <c r="Y317">
        <f t="shared" si="95"/>
        <v>0</v>
      </c>
    </row>
    <row r="318" spans="1:25" x14ac:dyDescent="0.25">
      <c r="A318" s="1"/>
      <c r="B318" s="7" t="s">
        <v>655</v>
      </c>
      <c r="C318" s="2" t="s">
        <v>656</v>
      </c>
      <c r="D318">
        <f>VLOOKUP(B318,'Model allocations'!$A$1:$L$319,3,FALSE)</f>
        <v>912526.7375883942</v>
      </c>
      <c r="E318" s="32">
        <f>VLOOKUP(B318,'Initial adjusted formula count'!$A$1:$P$319,12,FALSE)</f>
        <v>1</v>
      </c>
      <c r="F318">
        <f>VLOOKUP(B318,'Model allocations'!$A$1:$L$319,8,FALSE)</f>
        <v>866900.40070897446</v>
      </c>
      <c r="G318" s="31">
        <f t="shared" si="84"/>
        <v>0.95</v>
      </c>
      <c r="H318">
        <f t="shared" si="85"/>
        <v>866900.40070897446</v>
      </c>
      <c r="I318">
        <f t="shared" si="77"/>
        <v>0</v>
      </c>
      <c r="J318">
        <f t="shared" si="78"/>
        <v>866900.40070897446</v>
      </c>
      <c r="K318">
        <f t="shared" si="79"/>
        <v>866772.88493027957</v>
      </c>
      <c r="L318">
        <f t="shared" si="86"/>
        <v>866772.88493027957</v>
      </c>
      <c r="M318">
        <f t="shared" si="80"/>
        <v>866900.40070897446</v>
      </c>
      <c r="N318" s="30">
        <f t="shared" si="87"/>
        <v>0</v>
      </c>
      <c r="O318" s="30">
        <f t="shared" si="81"/>
        <v>0</v>
      </c>
      <c r="P318" s="30">
        <f t="shared" si="88"/>
        <v>866900.40070897446</v>
      </c>
      <c r="Q318">
        <f t="shared" si="89"/>
        <v>0</v>
      </c>
      <c r="R318" s="30">
        <f t="shared" si="90"/>
        <v>0</v>
      </c>
      <c r="S318" s="30">
        <f t="shared" si="82"/>
        <v>0</v>
      </c>
      <c r="T318" s="30">
        <f t="shared" si="91"/>
        <v>866900.40070897446</v>
      </c>
      <c r="U318">
        <f t="shared" si="92"/>
        <v>0</v>
      </c>
      <c r="V318" s="30">
        <f t="shared" si="93"/>
        <v>0</v>
      </c>
      <c r="W318" s="30">
        <f t="shared" si="83"/>
        <v>0</v>
      </c>
      <c r="X318" s="30">
        <f t="shared" si="94"/>
        <v>866900.40070897446</v>
      </c>
      <c r="Y318">
        <f t="shared" si="95"/>
        <v>0</v>
      </c>
    </row>
    <row r="319" spans="1:25" x14ac:dyDescent="0.25">
      <c r="B319" t="s">
        <v>1409</v>
      </c>
      <c r="C319" t="s">
        <v>1415</v>
      </c>
      <c r="D319">
        <f>VLOOKUP(B319,'Model allocations'!$A$1:$L$319,3,FALSE)</f>
        <v>37015.063995642609</v>
      </c>
      <c r="E319" s="32">
        <f>VLOOKUP(B319,'Initial adjusted formula count'!$A$1:$P$319,12,FALSE)</f>
        <v>0.14981174476863399</v>
      </c>
      <c r="F319">
        <f>VLOOKUP(B319,'Model allocations'!$A$1:$L$319,8,FALSE)</f>
        <v>38988.094809922601</v>
      </c>
      <c r="G319" s="31">
        <f t="shared" si="84"/>
        <v>0.85</v>
      </c>
      <c r="H319">
        <f t="shared" si="85"/>
        <v>31462.804396296218</v>
      </c>
      <c r="I319">
        <f t="shared" si="77"/>
        <v>0</v>
      </c>
      <c r="J319">
        <f t="shared" si="78"/>
        <v>38988.094809922601</v>
      </c>
      <c r="K319">
        <f t="shared" si="79"/>
        <v>38982.359898200964</v>
      </c>
      <c r="L319">
        <f t="shared" si="86"/>
        <v>38982.359898200964</v>
      </c>
      <c r="M319">
        <f t="shared" si="80"/>
        <v>0</v>
      </c>
      <c r="N319" s="30">
        <f t="shared" ref="N319:N320" si="96">IF($I319+$M319=0,L319,0)</f>
        <v>38982.359898200964</v>
      </c>
      <c r="O319" s="30">
        <f t="shared" ref="O319:O320" si="97">((N319/$N$3)*($F$3-$I$3-$M$3))</f>
        <v>38981.650213276836</v>
      </c>
      <c r="P319" s="30">
        <f t="shared" ref="P319:P320" si="98">$I319+$M319+O319</f>
        <v>38981.650213276836</v>
      </c>
      <c r="Q319">
        <f t="shared" ref="Q319:Q320" si="99">IF(P319&lt;H319,H319,0)</f>
        <v>0</v>
      </c>
      <c r="R319" s="30">
        <f t="shared" ref="R319:R320" si="100">IF($I319+$M319+$Q319=0,P319,0)</f>
        <v>38981.650213276836</v>
      </c>
      <c r="S319" s="30">
        <f t="shared" ref="S319:S320" si="101">((R319/$R$3)*($F$3-$I$3-$M$3-$Q$3))</f>
        <v>38981.650213276844</v>
      </c>
      <c r="T319" s="30">
        <f t="shared" ref="T319:T320" si="102">$I319+$M319+$Q319+S319</f>
        <v>38981.650213276844</v>
      </c>
      <c r="U319">
        <f t="shared" ref="U319:U320" si="103">IF(T319&lt;H319,H319,0)</f>
        <v>0</v>
      </c>
      <c r="V319" s="30">
        <f t="shared" ref="V319:V320" si="104">IF($I319+$M319+$Q319+U319=0,T319,0)</f>
        <v>38981.650213276844</v>
      </c>
      <c r="W319" s="30">
        <f t="shared" ref="W319:W320" si="105">((V319/$V$3)*($F$3-$I$3-$M$3-$Q$3-$U$3))</f>
        <v>38981.650213276844</v>
      </c>
      <c r="X319" s="30">
        <f t="shared" ref="X319:X320" si="106">$I319+$M319+$Q319+$U319+W319</f>
        <v>38981.650213276844</v>
      </c>
      <c r="Y319">
        <f t="shared" ref="Y319:Y320" si="107">IF(X319&lt;H319,H319,0)</f>
        <v>0</v>
      </c>
    </row>
    <row r="320" spans="1:25" x14ac:dyDescent="0.25">
      <c r="B320" t="s">
        <v>1411</v>
      </c>
      <c r="C320" t="s">
        <v>1416</v>
      </c>
      <c r="D320">
        <f>VLOOKUP(B320,'Model allocations'!$A$1:$L$319,3,FALSE)</f>
        <v>0</v>
      </c>
      <c r="E320" s="32">
        <f>VLOOKUP(B320,'Initial adjusted formula count'!$A$1:$P$319,12,FALSE)</f>
        <v>0.13058419145015701</v>
      </c>
      <c r="F320">
        <f>VLOOKUP(B320,'Model allocations'!$A$1:$L$319,8,FALSE)</f>
        <v>0</v>
      </c>
      <c r="G320" s="31">
        <f t="shared" si="84"/>
        <v>0.85</v>
      </c>
      <c r="H320">
        <f t="shared" si="85"/>
        <v>0</v>
      </c>
      <c r="I320">
        <f t="shared" si="77"/>
        <v>0</v>
      </c>
      <c r="J320">
        <f t="shared" si="78"/>
        <v>0</v>
      </c>
      <c r="K320">
        <f t="shared" si="79"/>
        <v>0</v>
      </c>
      <c r="L320">
        <f t="shared" si="86"/>
        <v>0</v>
      </c>
      <c r="M320">
        <f t="shared" si="80"/>
        <v>0</v>
      </c>
      <c r="N320" s="30">
        <f t="shared" si="96"/>
        <v>0</v>
      </c>
      <c r="O320" s="30">
        <f t="shared" si="97"/>
        <v>0</v>
      </c>
      <c r="P320" s="30">
        <f t="shared" si="98"/>
        <v>0</v>
      </c>
      <c r="Q320">
        <f t="shared" si="99"/>
        <v>0</v>
      </c>
      <c r="R320" s="30">
        <f t="shared" si="100"/>
        <v>0</v>
      </c>
      <c r="S320" s="30">
        <f t="shared" si="101"/>
        <v>0</v>
      </c>
      <c r="T320" s="30">
        <f t="shared" si="102"/>
        <v>0</v>
      </c>
      <c r="U320">
        <f t="shared" si="103"/>
        <v>0</v>
      </c>
      <c r="V320" s="30">
        <f t="shared" si="104"/>
        <v>0</v>
      </c>
      <c r="W320" s="30">
        <f t="shared" si="105"/>
        <v>0</v>
      </c>
      <c r="X320" s="30">
        <f t="shared" si="106"/>
        <v>0</v>
      </c>
      <c r="Y320">
        <f t="shared" si="107"/>
        <v>0</v>
      </c>
    </row>
  </sheetData>
  <sheetProtection algorithmName="SHA-512" hashValue="PNRvWFOyjVBNPeyKXE7fEuP76qPqTlE6p+vbuLXnM9k66dliqOETXmR6TqCoXD72eijkdtAaIdcsp82fNXGDMw==" saltValue="XfGTc8KBY6fgzFBOy81r5A==" spinCount="100000" sheet="1" objects="1" scenarios="1"/>
  <conditionalFormatting sqref="B1:B318 C1:Y1">
    <cfRule type="duplicateValues" dxfId="3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B0794-1783-4202-AA7F-A166F63BFA92}">
  <sheetPr filterMode="1"/>
  <dimension ref="A1:Z320"/>
  <sheetViews>
    <sheetView workbookViewId="0"/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14.7109375" customWidth="1"/>
    <col min="7" max="7" width="12.85546875" customWidth="1"/>
    <col min="8" max="8" width="16.5703125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1.28515625" bestFit="1" customWidth="1"/>
    <col min="14" max="14" width="17.42578125" customWidth="1"/>
    <col min="15" max="15" width="16.42578125" customWidth="1"/>
    <col min="16" max="16" width="14.28515625" customWidth="1"/>
    <col min="18" max="18" width="11.140625" customWidth="1"/>
    <col min="19" max="19" width="11.28515625" bestFit="1" customWidth="1"/>
    <col min="20" max="20" width="12.7109375" customWidth="1"/>
    <col min="22" max="22" width="13.85546875" customWidth="1"/>
    <col min="23" max="23" width="11.85546875" customWidth="1"/>
    <col min="24" max="24" width="12" customWidth="1"/>
    <col min="25" max="25" width="8.85546875" customWidth="1"/>
    <col min="26" max="26" width="10.7109375" customWidth="1"/>
  </cols>
  <sheetData>
    <row r="1" spans="1:26" x14ac:dyDescent="0.25">
      <c r="A1" s="1"/>
      <c r="B1" s="5"/>
      <c r="C1" s="4"/>
      <c r="Z1" s="47"/>
    </row>
    <row r="2" spans="1:26" ht="76.5" x14ac:dyDescent="0.25">
      <c r="A2" s="1" t="s">
        <v>0</v>
      </c>
      <c r="B2" s="5" t="s">
        <v>4</v>
      </c>
      <c r="C2" s="3" t="s">
        <v>1284</v>
      </c>
      <c r="D2" s="34" t="s">
        <v>1385</v>
      </c>
      <c r="E2" s="37" t="s">
        <v>1301</v>
      </c>
      <c r="F2" s="34" t="s">
        <v>1384</v>
      </c>
      <c r="G2" s="36" t="s">
        <v>658</v>
      </c>
      <c r="H2" s="35" t="s">
        <v>1380</v>
      </c>
      <c r="I2" s="35" t="s">
        <v>1373</v>
      </c>
      <c r="J2" s="35" t="s">
        <v>1374</v>
      </c>
      <c r="K2" s="35" t="s">
        <v>1375</v>
      </c>
      <c r="L2" s="35" t="s">
        <v>1376</v>
      </c>
      <c r="M2" s="33" t="s">
        <v>1298</v>
      </c>
      <c r="N2" s="35" t="s">
        <v>1374</v>
      </c>
      <c r="O2" s="33" t="s">
        <v>1375</v>
      </c>
      <c r="P2" s="33" t="s">
        <v>1376</v>
      </c>
      <c r="Q2" s="33" t="s">
        <v>1377</v>
      </c>
      <c r="R2" s="33" t="s">
        <v>1374</v>
      </c>
      <c r="S2" s="33" t="s">
        <v>1375</v>
      </c>
      <c r="T2" s="33" t="s">
        <v>1376</v>
      </c>
      <c r="U2" s="33" t="s">
        <v>1378</v>
      </c>
      <c r="V2" s="33" t="s">
        <v>1374</v>
      </c>
      <c r="W2" s="33" t="s">
        <v>1375</v>
      </c>
      <c r="X2" s="33" t="s">
        <v>1376</v>
      </c>
      <c r="Y2" s="33" t="s">
        <v>1379</v>
      </c>
    </row>
    <row r="3" spans="1:26" x14ac:dyDescent="0.25">
      <c r="A3" s="1"/>
      <c r="B3" s="5"/>
      <c r="C3" s="6"/>
      <c r="D3" s="34">
        <f>SUM(D4:D318)</f>
        <v>15115528.285932155</v>
      </c>
      <c r="E3" s="34"/>
      <c r="F3" s="34" cm="1">
        <f t="array" ref="F3">SUM(IF(ISERROR($F$4:$F$318),"",$F$4:$F$318))</f>
        <v>15101195.288284762</v>
      </c>
      <c r="G3" s="34"/>
      <c r="H3" s="34" cm="1">
        <f t="array" ref="H3">SUM(IF(ISERROR($H$4:$H$318),"",$H$4:$H$318))</f>
        <v>13334318.578226328</v>
      </c>
      <c r="I3" s="34" cm="1">
        <f t="array" ref="I3">SUM(IF(ISERROR($I$4:$I$318),"",$I$4:$I$318))</f>
        <v>1454604.385769078</v>
      </c>
      <c r="J3" s="34" cm="1">
        <f t="array" ref="J3">SUM(IF(ISERROR($J$4:$J$318),"",$J$4:$J$318))</f>
        <v>13670059.090033224</v>
      </c>
      <c r="K3" s="34" cm="1">
        <f t="array" ref="K3">SUM(IF(ISERROR($K$4:$K$318),"",$K$4:$K$318))</f>
        <v>13646590.902515685</v>
      </c>
      <c r="L3" s="34" cm="1">
        <f t="array" ref="L3">SUM(IF(ISERROR($L$4:$L$318),0,$L$4:$L$318))</f>
        <v>15101195.288284764</v>
      </c>
      <c r="M3" s="34" cm="1">
        <f t="array" ref="M3">SUM(IF(ISERROR($M$4:$M$318),0,$M$4:$M$318))</f>
        <v>4642090.8028976163</v>
      </c>
      <c r="N3" s="34" cm="1">
        <f t="array" ref="N3">SUM(IF(ISERROR($N$4:$N$318),"",$N$4:$N$318))</f>
        <v>9012469.4475717433</v>
      </c>
      <c r="O3" s="34" cm="1">
        <f t="array" ref="O3">SUM(IF(ISERROR($O$4:$O$318),0,$O$4:$O$318))</f>
        <v>9004500.0996180642</v>
      </c>
      <c r="P3" s="34" cm="1">
        <f t="array" ref="P3">SUM(IF(ISERROR($P$4:$P$318),0,$P$4:$P$318))</f>
        <v>15101195.288284764</v>
      </c>
      <c r="Q3" s="34" cm="1">
        <f t="array" ref="Q3">SUM(IF(ISERROR($Q$4:$Q$318),0,$Q$4:$Q$318))</f>
        <v>0</v>
      </c>
      <c r="R3" s="34" cm="1">
        <f t="array" ref="R3">SUM(IF(ISERROR($R$4:$R$318),0,$R$4:$R$318))</f>
        <v>9004500.0996180642</v>
      </c>
      <c r="S3" s="34" cm="1">
        <f t="array" ref="S3">SUM(IF(ISERROR($S$4:$S$318),0,$S$4:$S$318))</f>
        <v>9004500.0996180661</v>
      </c>
      <c r="T3" s="34" cm="1">
        <f t="array" ref="T3">SUM(IF(ISERROR($T$4:$T$318),0,$T$4:$T$318))</f>
        <v>15101195.288284766</v>
      </c>
      <c r="U3" s="34" cm="1">
        <f t="array" ref="U3">SUM(IF(ISERROR($U$4:$U$318),0,$U$4:$U$318))</f>
        <v>0</v>
      </c>
      <c r="V3" s="34" cm="1">
        <f t="array" ref="V3">SUM(IF(ISERROR($V$4:$V$318),0,$V$4:$V$318))</f>
        <v>9004500.0996180661</v>
      </c>
      <c r="W3" s="34" cm="1">
        <f t="array" ref="W3">SUM(IF(ISERROR($W$4:$W$318),0,$W$4:$W$318))</f>
        <v>9004500.0996180661</v>
      </c>
      <c r="X3" s="34" cm="1">
        <f t="array" ref="X3">SUM(IF(ISERROR($X$4:$X$318),0,$X$4:$X$318))</f>
        <v>15101195.288284766</v>
      </c>
      <c r="Y3" s="34" cm="1">
        <f t="array" ref="Y3">SUM(IF(ISERROR($Y$4:$Y$318),0,$Y$4:$Y$318))</f>
        <v>0</v>
      </c>
    </row>
    <row r="4" spans="1:26" hidden="1" x14ac:dyDescent="0.25">
      <c r="A4" s="4" t="s">
        <v>665</v>
      </c>
      <c r="B4" s="7" t="s">
        <v>313</v>
      </c>
      <c r="C4" s="2" t="s">
        <v>666</v>
      </c>
      <c r="D4">
        <f>VLOOKUP(B4,'Model allocations'!$A$1:$L$319,4,FALSE)</f>
        <v>159333.45541790014</v>
      </c>
      <c r="E4" s="32">
        <f>VLOOKUP(B4,'Initial adjusted formula count'!$A$1:$P$319,12,FALSE)</f>
        <v>0.237263880938752</v>
      </c>
      <c r="F4">
        <f>VLOOKUP(B4,'Model allocations'!$A$1:$L$319,9,FALSE)</f>
        <v>187933.05762244295</v>
      </c>
      <c r="G4" s="31">
        <f>IF(E4&lt;0.15,0.85,IF(AND(E4&gt;=0.15,E4&lt;0.3),0.9,0.95))</f>
        <v>0.9</v>
      </c>
      <c r="H4">
        <f>IF(F4 = 0, 0, D4*G4)</f>
        <v>143400.10987611013</v>
      </c>
      <c r="I4">
        <f t="shared" ref="I4:I67" si="0">IF(F4&lt;H4,H4,0)</f>
        <v>0</v>
      </c>
      <c r="J4">
        <f t="shared" ref="J4:J67" si="1">IF(I4=0,F4,0)</f>
        <v>187933.05762244295</v>
      </c>
      <c r="K4">
        <f t="shared" ref="K4:K67" si="2">(J4/$J$3)*($F$3-$I$3)</f>
        <v>187610.42198436853</v>
      </c>
      <c r="L4">
        <f>I4+K4</f>
        <v>187610.42198436853</v>
      </c>
      <c r="M4">
        <f t="shared" ref="M4:M67" si="3">IF(L4&lt;H4,H4,0)</f>
        <v>0</v>
      </c>
      <c r="N4" s="30">
        <f>IF(I4+M4=0,L4,0)</f>
        <v>187610.42198436853</v>
      </c>
      <c r="O4" s="30">
        <f t="shared" ref="O4:O67" si="4">((N4/$N$3)*($F$3-$I$3-$M$3))</f>
        <v>187444.52597315572</v>
      </c>
      <c r="P4" s="30">
        <f>$I4+$M4+O4</f>
        <v>187444.52597315572</v>
      </c>
      <c r="Q4">
        <f>IF(P4&lt;H4,H4,0)</f>
        <v>0</v>
      </c>
      <c r="R4" s="30">
        <f>IF($I4+$M4+$Q4=0,P4,0)</f>
        <v>187444.52597315572</v>
      </c>
      <c r="S4" s="30">
        <f t="shared" ref="S4:S67" si="5">((R4/$R$3)*($F$3-$I$3-$M$3-$Q$3))</f>
        <v>187444.52597315577</v>
      </c>
      <c r="T4" s="30">
        <f>$I4+$M4+$Q4+S4</f>
        <v>187444.52597315577</v>
      </c>
      <c r="U4">
        <f>IF(T4&lt;H4,H4,0)</f>
        <v>0</v>
      </c>
      <c r="V4" s="30">
        <f>IF($I4+$M4+$Q4+U4=0,T4,0)</f>
        <v>187444.52597315577</v>
      </c>
      <c r="W4" s="30">
        <f t="shared" ref="W4:W67" si="6">((V4/$V$3)*($F$3-$I$3-$M$3-$Q$3-$U$3))</f>
        <v>187444.52597315577</v>
      </c>
      <c r="X4" s="30">
        <f>$I4+$M4+$Q4+$U4+W4</f>
        <v>187444.52597315577</v>
      </c>
      <c r="Y4">
        <f>IF(X4&lt;H4,H4,0)</f>
        <v>0</v>
      </c>
    </row>
    <row r="5" spans="1:26" x14ac:dyDescent="0.25">
      <c r="A5" s="4" t="s">
        <v>667</v>
      </c>
      <c r="B5" s="7" t="s">
        <v>264</v>
      </c>
      <c r="C5" s="2" t="s">
        <v>668</v>
      </c>
      <c r="D5">
        <f>VLOOKUP(B5,'Model allocations'!$A$1:$L$319,4,FALSE)</f>
        <v>0</v>
      </c>
      <c r="E5" s="32">
        <f>VLOOKUP(B5,'Initial adjusted formula count'!$A$1:$P$319,12,FALSE)</f>
        <v>5.2917232021709601E-2</v>
      </c>
      <c r="F5">
        <f>VLOOKUP(B5,'Model allocations'!$A$1:$L$319,9,FALSE)</f>
        <v>0</v>
      </c>
      <c r="G5" s="31">
        <f t="shared" ref="G5:G68" si="7">IF(E5&lt;0.15,0.85,IF(AND(E5&gt;=0.15,E5&lt;0.3),0.9,0.95))</f>
        <v>0.85</v>
      </c>
      <c r="H5">
        <f t="shared" ref="H5:H68" si="8">IF(F5 = 0, 0, D5*G5)</f>
        <v>0</v>
      </c>
      <c r="I5">
        <f t="shared" si="0"/>
        <v>0</v>
      </c>
      <c r="J5" s="49">
        <f t="shared" si="1"/>
        <v>0</v>
      </c>
      <c r="K5">
        <f t="shared" si="2"/>
        <v>0</v>
      </c>
      <c r="L5">
        <f t="shared" ref="L5:L68" si="9">I5+K5</f>
        <v>0</v>
      </c>
      <c r="M5">
        <f t="shared" si="3"/>
        <v>0</v>
      </c>
      <c r="N5" s="30">
        <f t="shared" ref="N5:N68" si="10">IF(I5+M5=0,L5,0)</f>
        <v>0</v>
      </c>
      <c r="O5" s="30">
        <f t="shared" si="4"/>
        <v>0</v>
      </c>
      <c r="P5" s="30">
        <f t="shared" ref="P5:P68" si="11">$I5+$M5+O5</f>
        <v>0</v>
      </c>
      <c r="Q5">
        <f t="shared" ref="Q5:Q68" si="12">IF(P5&lt;H5,H5,0)</f>
        <v>0</v>
      </c>
      <c r="R5" s="30">
        <f t="shared" ref="R5:R68" si="13">IF($I5+$M5+$Q5=0,P5,0)</f>
        <v>0</v>
      </c>
      <c r="S5" s="30">
        <f t="shared" si="5"/>
        <v>0</v>
      </c>
      <c r="T5" s="30">
        <f t="shared" ref="T5:T68" si="14">$I5+$M5+$Q5+S5</f>
        <v>0</v>
      </c>
      <c r="U5">
        <f t="shared" ref="U5:U68" si="15">IF(T5&lt;H5,H5,0)</f>
        <v>0</v>
      </c>
      <c r="V5" s="30">
        <f t="shared" ref="V5:V68" si="16">IF($I5+$M5+$Q5+U5=0,T5,0)</f>
        <v>0</v>
      </c>
      <c r="W5" s="30">
        <f t="shared" si="6"/>
        <v>0</v>
      </c>
      <c r="X5" s="30">
        <f t="shared" ref="X5:X68" si="17">$I5+$M5+$Q5+$U5+W5</f>
        <v>0</v>
      </c>
      <c r="Y5">
        <f t="shared" ref="Y5:Y68" si="18">IF(X5&lt;H5,H5,0)</f>
        <v>0</v>
      </c>
    </row>
    <row r="6" spans="1:26" x14ac:dyDescent="0.25">
      <c r="A6" s="4" t="s">
        <v>669</v>
      </c>
      <c r="B6" s="7" t="s">
        <v>266</v>
      </c>
      <c r="C6" s="2" t="s">
        <v>670</v>
      </c>
      <c r="D6">
        <f>VLOOKUP(B6,'Model allocations'!$A$1:$L$319,4,FALSE)</f>
        <v>0</v>
      </c>
      <c r="E6" s="32">
        <f>VLOOKUP(B6,'Initial adjusted formula count'!$A$1:$P$319,12,FALSE)</f>
        <v>6.1224489795918401E-2</v>
      </c>
      <c r="F6">
        <f>VLOOKUP(B6,'Model allocations'!$A$1:$L$319,9,FALSE)</f>
        <v>0</v>
      </c>
      <c r="G6" s="31">
        <f t="shared" si="7"/>
        <v>0.85</v>
      </c>
      <c r="H6">
        <f t="shared" si="8"/>
        <v>0</v>
      </c>
      <c r="I6">
        <f t="shared" si="0"/>
        <v>0</v>
      </c>
      <c r="J6" s="49">
        <f t="shared" si="1"/>
        <v>0</v>
      </c>
      <c r="K6">
        <f t="shared" si="2"/>
        <v>0</v>
      </c>
      <c r="L6">
        <f t="shared" si="9"/>
        <v>0</v>
      </c>
      <c r="M6">
        <f t="shared" si="3"/>
        <v>0</v>
      </c>
      <c r="N6" s="30">
        <f t="shared" si="10"/>
        <v>0</v>
      </c>
      <c r="O6" s="30">
        <f t="shared" si="4"/>
        <v>0</v>
      </c>
      <c r="P6" s="30">
        <f t="shared" si="11"/>
        <v>0</v>
      </c>
      <c r="Q6">
        <f t="shared" si="12"/>
        <v>0</v>
      </c>
      <c r="R6" s="30">
        <f t="shared" si="13"/>
        <v>0</v>
      </c>
      <c r="S6" s="30">
        <f t="shared" si="5"/>
        <v>0</v>
      </c>
      <c r="T6" s="30">
        <f t="shared" si="14"/>
        <v>0</v>
      </c>
      <c r="U6">
        <f t="shared" si="15"/>
        <v>0</v>
      </c>
      <c r="V6" s="30">
        <f t="shared" si="16"/>
        <v>0</v>
      </c>
      <c r="W6" s="30">
        <f t="shared" si="6"/>
        <v>0</v>
      </c>
      <c r="X6" s="30">
        <f t="shared" si="17"/>
        <v>0</v>
      </c>
      <c r="Y6">
        <f t="shared" si="18"/>
        <v>0</v>
      </c>
    </row>
    <row r="7" spans="1:26" x14ac:dyDescent="0.25">
      <c r="A7" s="4" t="s">
        <v>671</v>
      </c>
      <c r="B7" s="7" t="s">
        <v>93</v>
      </c>
      <c r="C7" s="2" t="s">
        <v>672</v>
      </c>
      <c r="D7">
        <f>VLOOKUP(B7,'Model allocations'!$A$1:$L$319,4,FALSE)</f>
        <v>0</v>
      </c>
      <c r="E7" s="32">
        <f>VLOOKUP(B7,'Initial adjusted formula count'!$A$1:$P$319,12,FALSE)</f>
        <v>9.2644978783592596E-2</v>
      </c>
      <c r="F7">
        <f>VLOOKUP(B7,'Model allocations'!$A$1:$L$319,9,FALSE)</f>
        <v>0</v>
      </c>
      <c r="G7" s="31">
        <f t="shared" si="7"/>
        <v>0.85</v>
      </c>
      <c r="H7">
        <f t="shared" si="8"/>
        <v>0</v>
      </c>
      <c r="I7">
        <f t="shared" si="0"/>
        <v>0</v>
      </c>
      <c r="J7" s="49">
        <f t="shared" si="1"/>
        <v>0</v>
      </c>
      <c r="K7">
        <f t="shared" si="2"/>
        <v>0</v>
      </c>
      <c r="L7">
        <f t="shared" si="9"/>
        <v>0</v>
      </c>
      <c r="M7">
        <f t="shared" si="3"/>
        <v>0</v>
      </c>
      <c r="N7" s="30">
        <f t="shared" si="10"/>
        <v>0</v>
      </c>
      <c r="O7" s="30">
        <f t="shared" si="4"/>
        <v>0</v>
      </c>
      <c r="P7" s="30">
        <f t="shared" si="11"/>
        <v>0</v>
      </c>
      <c r="Q7">
        <f t="shared" si="12"/>
        <v>0</v>
      </c>
      <c r="R7" s="30">
        <f t="shared" si="13"/>
        <v>0</v>
      </c>
      <c r="S7" s="30">
        <f t="shared" si="5"/>
        <v>0</v>
      </c>
      <c r="T7" s="30">
        <f t="shared" si="14"/>
        <v>0</v>
      </c>
      <c r="U7">
        <f t="shared" si="15"/>
        <v>0</v>
      </c>
      <c r="V7" s="30">
        <f t="shared" si="16"/>
        <v>0</v>
      </c>
      <c r="W7" s="30">
        <f t="shared" si="6"/>
        <v>0</v>
      </c>
      <c r="X7" s="30">
        <f t="shared" si="17"/>
        <v>0</v>
      </c>
      <c r="Y7">
        <f t="shared" si="18"/>
        <v>0</v>
      </c>
    </row>
    <row r="8" spans="1:26" x14ac:dyDescent="0.25">
      <c r="A8" s="4" t="s">
        <v>673</v>
      </c>
      <c r="B8" s="7" t="s">
        <v>95</v>
      </c>
      <c r="C8" s="2" t="s">
        <v>674</v>
      </c>
      <c r="D8">
        <f>VLOOKUP(B8,'Model allocations'!$A$1:$L$319,4,FALSE)</f>
        <v>0</v>
      </c>
      <c r="E8" s="32">
        <f>VLOOKUP(B8,'Initial adjusted formula count'!$A$1:$P$319,12,FALSE)</f>
        <v>9.7210481825866404E-2</v>
      </c>
      <c r="F8">
        <f>VLOOKUP(B8,'Model allocations'!$A$1:$L$319,9,FALSE)</f>
        <v>0</v>
      </c>
      <c r="G8" s="31">
        <f t="shared" si="7"/>
        <v>0.85</v>
      </c>
      <c r="H8">
        <f t="shared" si="8"/>
        <v>0</v>
      </c>
      <c r="I8">
        <f t="shared" si="0"/>
        <v>0</v>
      </c>
      <c r="J8" s="49">
        <f t="shared" si="1"/>
        <v>0</v>
      </c>
      <c r="K8">
        <f t="shared" si="2"/>
        <v>0</v>
      </c>
      <c r="L8">
        <f t="shared" si="9"/>
        <v>0</v>
      </c>
      <c r="M8">
        <f t="shared" si="3"/>
        <v>0</v>
      </c>
      <c r="N8" s="30">
        <f t="shared" si="10"/>
        <v>0</v>
      </c>
      <c r="O8" s="30">
        <f t="shared" si="4"/>
        <v>0</v>
      </c>
      <c r="P8" s="30">
        <f t="shared" si="11"/>
        <v>0</v>
      </c>
      <c r="Q8">
        <f t="shared" si="12"/>
        <v>0</v>
      </c>
      <c r="R8" s="30">
        <f t="shared" si="13"/>
        <v>0</v>
      </c>
      <c r="S8" s="30">
        <f t="shared" si="5"/>
        <v>0</v>
      </c>
      <c r="T8" s="30">
        <f t="shared" si="14"/>
        <v>0</v>
      </c>
      <c r="U8">
        <f t="shared" si="15"/>
        <v>0</v>
      </c>
      <c r="V8" s="30">
        <f t="shared" si="16"/>
        <v>0</v>
      </c>
      <c r="W8" s="30">
        <f t="shared" si="6"/>
        <v>0</v>
      </c>
      <c r="X8" s="30">
        <f t="shared" si="17"/>
        <v>0</v>
      </c>
      <c r="Y8">
        <f t="shared" si="18"/>
        <v>0</v>
      </c>
    </row>
    <row r="9" spans="1:26" x14ac:dyDescent="0.25">
      <c r="A9" s="4" t="s">
        <v>675</v>
      </c>
      <c r="B9" s="7" t="s">
        <v>314</v>
      </c>
      <c r="C9" s="2" t="s">
        <v>676</v>
      </c>
      <c r="D9">
        <f>VLOOKUP(B9,'Model allocations'!$A$1:$L$319,4,FALSE)</f>
        <v>0</v>
      </c>
      <c r="E9" s="32">
        <f>VLOOKUP(B9,'Initial adjusted formula count'!$A$1:$P$319,12,FALSE)</f>
        <v>9.7363083164300201E-2</v>
      </c>
      <c r="F9">
        <f>VLOOKUP(B9,'Model allocations'!$A$1:$L$319,9,FALSE)</f>
        <v>0</v>
      </c>
      <c r="G9" s="31">
        <f t="shared" si="7"/>
        <v>0.85</v>
      </c>
      <c r="H9">
        <f t="shared" si="8"/>
        <v>0</v>
      </c>
      <c r="I9">
        <f t="shared" si="0"/>
        <v>0</v>
      </c>
      <c r="J9">
        <f t="shared" si="1"/>
        <v>0</v>
      </c>
      <c r="K9">
        <f t="shared" si="2"/>
        <v>0</v>
      </c>
      <c r="L9">
        <f t="shared" si="9"/>
        <v>0</v>
      </c>
      <c r="M9">
        <f t="shared" si="3"/>
        <v>0</v>
      </c>
      <c r="N9" s="30">
        <f t="shared" si="10"/>
        <v>0</v>
      </c>
      <c r="O9" s="30">
        <f t="shared" si="4"/>
        <v>0</v>
      </c>
      <c r="P9" s="30">
        <f t="shared" si="11"/>
        <v>0</v>
      </c>
      <c r="Q9">
        <f t="shared" si="12"/>
        <v>0</v>
      </c>
      <c r="R9" s="30">
        <f t="shared" si="13"/>
        <v>0</v>
      </c>
      <c r="S9" s="30">
        <f t="shared" si="5"/>
        <v>0</v>
      </c>
      <c r="T9" s="30">
        <f t="shared" si="14"/>
        <v>0</v>
      </c>
      <c r="U9">
        <f t="shared" si="15"/>
        <v>0</v>
      </c>
      <c r="V9" s="30">
        <f t="shared" si="16"/>
        <v>0</v>
      </c>
      <c r="W9" s="30">
        <f t="shared" si="6"/>
        <v>0</v>
      </c>
      <c r="X9" s="30">
        <f t="shared" si="17"/>
        <v>0</v>
      </c>
      <c r="Y9">
        <f t="shared" si="18"/>
        <v>0</v>
      </c>
    </row>
    <row r="10" spans="1:26" hidden="1" x14ac:dyDescent="0.25">
      <c r="A10" s="4" t="s">
        <v>677</v>
      </c>
      <c r="B10" s="7" t="s">
        <v>316</v>
      </c>
      <c r="C10" s="2" t="s">
        <v>678</v>
      </c>
      <c r="D10">
        <f>VLOOKUP(B10,'Model allocations'!$A$1:$L$319,4,FALSE)</f>
        <v>600304.13415748032</v>
      </c>
      <c r="E10" s="32">
        <f>VLOOKUP(B10,'Initial adjusted formula count'!$A$1:$P$319,12,FALSE)</f>
        <v>0.16230252008965201</v>
      </c>
      <c r="F10">
        <f>VLOOKUP(B10,'Model allocations'!$A$1:$L$319,9,FALSE)</f>
        <v>673067.85051994352</v>
      </c>
      <c r="G10" s="31">
        <f t="shared" si="7"/>
        <v>0.9</v>
      </c>
      <c r="H10">
        <f t="shared" si="8"/>
        <v>540273.72074173228</v>
      </c>
      <c r="I10">
        <f t="shared" si="0"/>
        <v>0</v>
      </c>
      <c r="J10">
        <f t="shared" si="1"/>
        <v>673067.85051994352</v>
      </c>
      <c r="K10">
        <f t="shared" si="2"/>
        <v>671912.35569552495</v>
      </c>
      <c r="L10">
        <f t="shared" si="9"/>
        <v>671912.35569552495</v>
      </c>
      <c r="M10">
        <f t="shared" si="3"/>
        <v>0</v>
      </c>
      <c r="N10" s="30">
        <f t="shared" si="10"/>
        <v>671912.35569552495</v>
      </c>
      <c r="O10" s="30">
        <f t="shared" si="4"/>
        <v>671318.21183872048</v>
      </c>
      <c r="P10" s="30">
        <f t="shared" si="11"/>
        <v>671318.21183872048</v>
      </c>
      <c r="Q10">
        <f t="shared" si="12"/>
        <v>0</v>
      </c>
      <c r="R10" s="30">
        <f t="shared" si="13"/>
        <v>671318.21183872048</v>
      </c>
      <c r="S10" s="30">
        <f t="shared" si="5"/>
        <v>671318.2118387206</v>
      </c>
      <c r="T10" s="30">
        <f t="shared" si="14"/>
        <v>671318.2118387206</v>
      </c>
      <c r="U10">
        <f t="shared" si="15"/>
        <v>0</v>
      </c>
      <c r="V10" s="30">
        <f t="shared" si="16"/>
        <v>671318.2118387206</v>
      </c>
      <c r="W10" s="30">
        <f t="shared" si="6"/>
        <v>671318.2118387206</v>
      </c>
      <c r="X10" s="30">
        <f t="shared" si="17"/>
        <v>671318.2118387206</v>
      </c>
      <c r="Y10">
        <f t="shared" si="18"/>
        <v>0</v>
      </c>
    </row>
    <row r="11" spans="1:26" x14ac:dyDescent="0.25">
      <c r="A11" s="4" t="s">
        <v>679</v>
      </c>
      <c r="B11" s="7" t="s">
        <v>97</v>
      </c>
      <c r="C11" s="2" t="s">
        <v>680</v>
      </c>
      <c r="D11">
        <f>VLOOKUP(B11,'Model allocations'!$A$1:$L$319,4,FALSE)</f>
        <v>0</v>
      </c>
      <c r="E11" s="32">
        <f>VLOOKUP(B11,'Initial adjusted formula count'!$A$1:$P$319,12,FALSE)</f>
        <v>3.57232704402516E-2</v>
      </c>
      <c r="F11">
        <f>VLOOKUP(B11,'Model allocations'!$A$1:$L$319,9,FALSE)</f>
        <v>0</v>
      </c>
      <c r="G11" s="31">
        <f t="shared" si="7"/>
        <v>0.85</v>
      </c>
      <c r="H11">
        <f t="shared" si="8"/>
        <v>0</v>
      </c>
      <c r="I11">
        <f t="shared" si="0"/>
        <v>0</v>
      </c>
      <c r="J11">
        <f t="shared" si="1"/>
        <v>0</v>
      </c>
      <c r="K11">
        <f t="shared" si="2"/>
        <v>0</v>
      </c>
      <c r="L11">
        <f t="shared" si="9"/>
        <v>0</v>
      </c>
      <c r="M11">
        <f t="shared" si="3"/>
        <v>0</v>
      </c>
      <c r="N11" s="30">
        <f t="shared" si="10"/>
        <v>0</v>
      </c>
      <c r="O11" s="30">
        <f t="shared" si="4"/>
        <v>0</v>
      </c>
      <c r="P11" s="30">
        <f t="shared" si="11"/>
        <v>0</v>
      </c>
      <c r="Q11">
        <f t="shared" si="12"/>
        <v>0</v>
      </c>
      <c r="R11" s="30">
        <f t="shared" si="13"/>
        <v>0</v>
      </c>
      <c r="S11" s="30">
        <f t="shared" si="5"/>
        <v>0</v>
      </c>
      <c r="T11" s="30">
        <f t="shared" si="14"/>
        <v>0</v>
      </c>
      <c r="U11">
        <f t="shared" si="15"/>
        <v>0</v>
      </c>
      <c r="V11" s="30">
        <f t="shared" si="16"/>
        <v>0</v>
      </c>
      <c r="W11" s="30">
        <f t="shared" si="6"/>
        <v>0</v>
      </c>
      <c r="X11" s="30">
        <f t="shared" si="17"/>
        <v>0</v>
      </c>
      <c r="Y11">
        <f t="shared" si="18"/>
        <v>0</v>
      </c>
    </row>
    <row r="12" spans="1:26" x14ac:dyDescent="0.25">
      <c r="A12" s="4" t="s">
        <v>681</v>
      </c>
      <c r="B12" s="7" t="s">
        <v>99</v>
      </c>
      <c r="C12" s="2" t="s">
        <v>682</v>
      </c>
      <c r="D12">
        <f>VLOOKUP(B12,'Model allocations'!$A$1:$L$319,4,FALSE)</f>
        <v>0</v>
      </c>
      <c r="E12" s="32">
        <f>VLOOKUP(B12,'Initial adjusted formula count'!$A$1:$P$319,12,FALSE)</f>
        <v>5.1700164328150701E-2</v>
      </c>
      <c r="F12">
        <f>VLOOKUP(B12,'Model allocations'!$A$1:$L$319,9,FALSE)</f>
        <v>0</v>
      </c>
      <c r="G12" s="31">
        <f t="shared" si="7"/>
        <v>0.85</v>
      </c>
      <c r="H12">
        <f t="shared" si="8"/>
        <v>0</v>
      </c>
      <c r="I12">
        <f t="shared" si="0"/>
        <v>0</v>
      </c>
      <c r="J12">
        <f t="shared" si="1"/>
        <v>0</v>
      </c>
      <c r="K12">
        <f t="shared" si="2"/>
        <v>0</v>
      </c>
      <c r="L12">
        <f t="shared" si="9"/>
        <v>0</v>
      </c>
      <c r="M12">
        <f t="shared" si="3"/>
        <v>0</v>
      </c>
      <c r="N12" s="30">
        <f t="shared" si="10"/>
        <v>0</v>
      </c>
      <c r="O12" s="30">
        <f t="shared" si="4"/>
        <v>0</v>
      </c>
      <c r="P12" s="30">
        <f t="shared" si="11"/>
        <v>0</v>
      </c>
      <c r="Q12">
        <f t="shared" si="12"/>
        <v>0</v>
      </c>
      <c r="R12" s="30">
        <f t="shared" si="13"/>
        <v>0</v>
      </c>
      <c r="S12" s="30">
        <f t="shared" si="5"/>
        <v>0</v>
      </c>
      <c r="T12" s="30">
        <f t="shared" si="14"/>
        <v>0</v>
      </c>
      <c r="U12">
        <f t="shared" si="15"/>
        <v>0</v>
      </c>
      <c r="V12" s="30">
        <f t="shared" si="16"/>
        <v>0</v>
      </c>
      <c r="W12" s="30">
        <f t="shared" si="6"/>
        <v>0</v>
      </c>
      <c r="X12" s="30">
        <f t="shared" si="17"/>
        <v>0</v>
      </c>
      <c r="Y12">
        <f t="shared" si="18"/>
        <v>0</v>
      </c>
    </row>
    <row r="13" spans="1:26" x14ac:dyDescent="0.25">
      <c r="A13" s="4" t="s">
        <v>683</v>
      </c>
      <c r="B13" s="7" t="s">
        <v>101</v>
      </c>
      <c r="C13" s="2" t="s">
        <v>684</v>
      </c>
      <c r="D13">
        <f>VLOOKUP(B13,'Model allocations'!$A$1:$L$319,4,FALSE)</f>
        <v>0</v>
      </c>
      <c r="E13" s="32">
        <f>VLOOKUP(B13,'Initial adjusted formula count'!$A$1:$P$319,12,FALSE)</f>
        <v>6.0331353547983801E-2</v>
      </c>
      <c r="F13">
        <f>VLOOKUP(B13,'Model allocations'!$A$1:$L$319,9,FALSE)</f>
        <v>0</v>
      </c>
      <c r="G13" s="31">
        <f t="shared" si="7"/>
        <v>0.85</v>
      </c>
      <c r="H13">
        <f t="shared" si="8"/>
        <v>0</v>
      </c>
      <c r="I13">
        <f t="shared" si="0"/>
        <v>0</v>
      </c>
      <c r="J13">
        <f t="shared" si="1"/>
        <v>0</v>
      </c>
      <c r="K13">
        <f t="shared" si="2"/>
        <v>0</v>
      </c>
      <c r="L13">
        <f t="shared" si="9"/>
        <v>0</v>
      </c>
      <c r="M13">
        <f t="shared" si="3"/>
        <v>0</v>
      </c>
      <c r="N13" s="30">
        <f t="shared" si="10"/>
        <v>0</v>
      </c>
      <c r="O13" s="30">
        <f t="shared" si="4"/>
        <v>0</v>
      </c>
      <c r="P13" s="30">
        <f t="shared" si="11"/>
        <v>0</v>
      </c>
      <c r="Q13">
        <f t="shared" si="12"/>
        <v>0</v>
      </c>
      <c r="R13" s="30">
        <f t="shared" si="13"/>
        <v>0</v>
      </c>
      <c r="S13" s="30">
        <f t="shared" si="5"/>
        <v>0</v>
      </c>
      <c r="T13" s="30">
        <f t="shared" si="14"/>
        <v>0</v>
      </c>
      <c r="U13">
        <f t="shared" si="15"/>
        <v>0</v>
      </c>
      <c r="V13" s="30">
        <f t="shared" si="16"/>
        <v>0</v>
      </c>
      <c r="W13" s="30">
        <f t="shared" si="6"/>
        <v>0</v>
      </c>
      <c r="X13" s="30">
        <f t="shared" si="17"/>
        <v>0</v>
      </c>
      <c r="Y13">
        <f t="shared" si="18"/>
        <v>0</v>
      </c>
    </row>
    <row r="14" spans="1:26" x14ac:dyDescent="0.25">
      <c r="A14" s="4" t="s">
        <v>14</v>
      </c>
      <c r="B14" s="7" t="s">
        <v>59</v>
      </c>
      <c r="C14" s="2" t="s">
        <v>685</v>
      </c>
      <c r="D14">
        <f>VLOOKUP(B14,'Model allocations'!$A$1:$L$319,4,FALSE)</f>
        <v>0</v>
      </c>
      <c r="E14" s="32">
        <f>VLOOKUP(B14,'Initial adjusted formula count'!$A$1:$P$319,12,FALSE)</f>
        <v>0.109426670225929</v>
      </c>
      <c r="F14">
        <f>VLOOKUP(B14,'Model allocations'!$A$1:$L$319,9,FALSE)</f>
        <v>0</v>
      </c>
      <c r="G14" s="31">
        <f t="shared" si="7"/>
        <v>0.85</v>
      </c>
      <c r="H14">
        <f t="shared" si="8"/>
        <v>0</v>
      </c>
      <c r="I14">
        <f t="shared" si="0"/>
        <v>0</v>
      </c>
      <c r="J14">
        <f t="shared" si="1"/>
        <v>0</v>
      </c>
      <c r="K14">
        <f t="shared" si="2"/>
        <v>0</v>
      </c>
      <c r="L14">
        <f t="shared" si="9"/>
        <v>0</v>
      </c>
      <c r="M14">
        <f t="shared" si="3"/>
        <v>0</v>
      </c>
      <c r="N14" s="30">
        <f t="shared" si="10"/>
        <v>0</v>
      </c>
      <c r="O14" s="30">
        <f t="shared" si="4"/>
        <v>0</v>
      </c>
      <c r="P14" s="30">
        <f t="shared" si="11"/>
        <v>0</v>
      </c>
      <c r="Q14">
        <f t="shared" si="12"/>
        <v>0</v>
      </c>
      <c r="R14" s="30">
        <f t="shared" si="13"/>
        <v>0</v>
      </c>
      <c r="S14" s="30">
        <f t="shared" si="5"/>
        <v>0</v>
      </c>
      <c r="T14" s="30">
        <f t="shared" si="14"/>
        <v>0</v>
      </c>
      <c r="U14">
        <f t="shared" si="15"/>
        <v>0</v>
      </c>
      <c r="V14" s="30">
        <f t="shared" si="16"/>
        <v>0</v>
      </c>
      <c r="W14" s="30">
        <f t="shared" si="6"/>
        <v>0</v>
      </c>
      <c r="X14" s="30">
        <f t="shared" si="17"/>
        <v>0</v>
      </c>
      <c r="Y14">
        <f t="shared" si="18"/>
        <v>0</v>
      </c>
    </row>
    <row r="15" spans="1:26" x14ac:dyDescent="0.25">
      <c r="A15" s="4" t="s">
        <v>686</v>
      </c>
      <c r="B15" s="7" t="s">
        <v>103</v>
      </c>
      <c r="C15" s="2" t="s">
        <v>687</v>
      </c>
      <c r="D15">
        <f>VLOOKUP(B15,'Model allocations'!$A$1:$L$319,4,FALSE)</f>
        <v>0</v>
      </c>
      <c r="E15" s="32">
        <f>VLOOKUP(B15,'Initial adjusted formula count'!$A$1:$P$319,12,FALSE)</f>
        <v>6.25E-2</v>
      </c>
      <c r="F15">
        <f>VLOOKUP(B15,'Model allocations'!$A$1:$L$319,9,FALSE)</f>
        <v>0</v>
      </c>
      <c r="G15" s="31">
        <f t="shared" si="7"/>
        <v>0.85</v>
      </c>
      <c r="H15">
        <f t="shared" si="8"/>
        <v>0</v>
      </c>
      <c r="I15">
        <f t="shared" si="0"/>
        <v>0</v>
      </c>
      <c r="J15">
        <f t="shared" si="1"/>
        <v>0</v>
      </c>
      <c r="K15">
        <f t="shared" si="2"/>
        <v>0</v>
      </c>
      <c r="L15">
        <f t="shared" si="9"/>
        <v>0</v>
      </c>
      <c r="M15">
        <f t="shared" si="3"/>
        <v>0</v>
      </c>
      <c r="N15" s="30">
        <f t="shared" si="10"/>
        <v>0</v>
      </c>
      <c r="O15" s="30">
        <f t="shared" si="4"/>
        <v>0</v>
      </c>
      <c r="P15" s="30">
        <f t="shared" si="11"/>
        <v>0</v>
      </c>
      <c r="Q15">
        <f t="shared" si="12"/>
        <v>0</v>
      </c>
      <c r="R15" s="30">
        <f t="shared" si="13"/>
        <v>0</v>
      </c>
      <c r="S15" s="30">
        <f t="shared" si="5"/>
        <v>0</v>
      </c>
      <c r="T15" s="30">
        <f t="shared" si="14"/>
        <v>0</v>
      </c>
      <c r="U15">
        <f t="shared" si="15"/>
        <v>0</v>
      </c>
      <c r="V15" s="30">
        <f t="shared" si="16"/>
        <v>0</v>
      </c>
      <c r="W15" s="30">
        <f t="shared" si="6"/>
        <v>0</v>
      </c>
      <c r="X15" s="30">
        <f t="shared" si="17"/>
        <v>0</v>
      </c>
      <c r="Y15">
        <f t="shared" si="18"/>
        <v>0</v>
      </c>
    </row>
    <row r="16" spans="1:26" x14ac:dyDescent="0.25">
      <c r="A16" s="4" t="s">
        <v>688</v>
      </c>
      <c r="B16" s="7" t="s">
        <v>268</v>
      </c>
      <c r="C16" s="2" t="s">
        <v>689</v>
      </c>
      <c r="D16">
        <f>VLOOKUP(B16,'Model allocations'!$A$1:$L$319,4,FALSE)</f>
        <v>0</v>
      </c>
      <c r="E16" s="32">
        <f>VLOOKUP(B16,'Initial adjusted formula count'!$A$1:$P$319,12,FALSE)</f>
        <v>9.6088505842380004E-2</v>
      </c>
      <c r="F16">
        <f>VLOOKUP(B16,'Model allocations'!$A$1:$L$319,9,FALSE)</f>
        <v>0</v>
      </c>
      <c r="G16" s="31">
        <f t="shared" si="7"/>
        <v>0.85</v>
      </c>
      <c r="H16">
        <f t="shared" si="8"/>
        <v>0</v>
      </c>
      <c r="I16">
        <f t="shared" si="0"/>
        <v>0</v>
      </c>
      <c r="J16">
        <f t="shared" si="1"/>
        <v>0</v>
      </c>
      <c r="K16">
        <f t="shared" si="2"/>
        <v>0</v>
      </c>
      <c r="L16">
        <f t="shared" si="9"/>
        <v>0</v>
      </c>
      <c r="M16">
        <f t="shared" si="3"/>
        <v>0</v>
      </c>
      <c r="N16" s="30">
        <f t="shared" si="10"/>
        <v>0</v>
      </c>
      <c r="O16" s="30">
        <f t="shared" si="4"/>
        <v>0</v>
      </c>
      <c r="P16" s="30">
        <f t="shared" si="11"/>
        <v>0</v>
      </c>
      <c r="Q16">
        <f t="shared" si="12"/>
        <v>0</v>
      </c>
      <c r="R16" s="30">
        <f t="shared" si="13"/>
        <v>0</v>
      </c>
      <c r="S16" s="30">
        <f t="shared" si="5"/>
        <v>0</v>
      </c>
      <c r="T16" s="30">
        <f t="shared" si="14"/>
        <v>0</v>
      </c>
      <c r="U16">
        <f t="shared" si="15"/>
        <v>0</v>
      </c>
      <c r="V16" s="30">
        <f t="shared" si="16"/>
        <v>0</v>
      </c>
      <c r="W16" s="30">
        <f t="shared" si="6"/>
        <v>0</v>
      </c>
      <c r="X16" s="30">
        <f t="shared" si="17"/>
        <v>0</v>
      </c>
      <c r="Y16">
        <f t="shared" si="18"/>
        <v>0</v>
      </c>
    </row>
    <row r="17" spans="1:25" hidden="1" x14ac:dyDescent="0.25">
      <c r="A17" s="4" t="s">
        <v>690</v>
      </c>
      <c r="B17" s="7" t="s">
        <v>318</v>
      </c>
      <c r="C17" s="2" t="s">
        <v>691</v>
      </c>
      <c r="D17">
        <f>VLOOKUP(B17,'Model allocations'!$A$1:$L$319,4,FALSE)</f>
        <v>3173.9732154960188</v>
      </c>
      <c r="E17" s="32">
        <f>VLOOKUP(B17,'Initial adjusted formula count'!$A$1:$P$319,12,FALSE)</f>
        <v>0.15384615384615399</v>
      </c>
      <c r="F17">
        <f>VLOOKUP(B17,'Model allocations'!$A$1:$L$319,9,FALSE)</f>
        <v>2856.5758939464172</v>
      </c>
      <c r="G17" s="31">
        <f t="shared" si="7"/>
        <v>0.9</v>
      </c>
      <c r="H17">
        <f t="shared" si="8"/>
        <v>2856.5758939464172</v>
      </c>
      <c r="I17">
        <f t="shared" si="0"/>
        <v>0</v>
      </c>
      <c r="J17">
        <f t="shared" si="1"/>
        <v>2856.5758939464172</v>
      </c>
      <c r="K17">
        <f t="shared" si="2"/>
        <v>2851.6718435472421</v>
      </c>
      <c r="L17">
        <f t="shared" si="9"/>
        <v>2851.6718435472421</v>
      </c>
      <c r="M17">
        <f t="shared" si="3"/>
        <v>2856.5758939464172</v>
      </c>
      <c r="N17" s="30">
        <f t="shared" si="10"/>
        <v>0</v>
      </c>
      <c r="O17" s="30">
        <f t="shared" si="4"/>
        <v>0</v>
      </c>
      <c r="P17" s="30">
        <f t="shared" si="11"/>
        <v>2856.5758939464172</v>
      </c>
      <c r="Q17">
        <f t="shared" si="12"/>
        <v>0</v>
      </c>
      <c r="R17" s="30">
        <f t="shared" si="13"/>
        <v>0</v>
      </c>
      <c r="S17" s="30">
        <f t="shared" si="5"/>
        <v>0</v>
      </c>
      <c r="T17" s="30">
        <f t="shared" si="14"/>
        <v>2856.5758939464172</v>
      </c>
      <c r="U17">
        <f t="shared" si="15"/>
        <v>0</v>
      </c>
      <c r="V17" s="30">
        <f t="shared" si="16"/>
        <v>0</v>
      </c>
      <c r="W17" s="30">
        <f t="shared" si="6"/>
        <v>0</v>
      </c>
      <c r="X17" s="30">
        <f t="shared" si="17"/>
        <v>2856.5758939464172</v>
      </c>
      <c r="Y17">
        <f t="shared" si="18"/>
        <v>0</v>
      </c>
    </row>
    <row r="18" spans="1:25" hidden="1" x14ac:dyDescent="0.25">
      <c r="A18" s="4" t="s">
        <v>692</v>
      </c>
      <c r="B18" s="7" t="s">
        <v>320</v>
      </c>
      <c r="C18" s="2" t="s">
        <v>693</v>
      </c>
      <c r="D18">
        <f>VLOOKUP(B18,'Model allocations'!$A$1:$L$319,4,FALSE)</f>
        <v>82311.705388530085</v>
      </c>
      <c r="E18" s="32">
        <f>VLOOKUP(B18,'Initial adjusted formula count'!$A$1:$P$319,12,FALSE)</f>
        <v>0.10877476748888</v>
      </c>
      <c r="F18">
        <f>VLOOKUP(B18,'Model allocations'!$A$1:$L$319,9,FALSE)</f>
        <v>69964.94958025057</v>
      </c>
      <c r="G18" s="31">
        <f t="shared" si="7"/>
        <v>0.85</v>
      </c>
      <c r="H18">
        <f t="shared" si="8"/>
        <v>69964.94958025057</v>
      </c>
      <c r="I18">
        <f t="shared" si="0"/>
        <v>0</v>
      </c>
      <c r="J18">
        <f t="shared" si="1"/>
        <v>69964.94958025057</v>
      </c>
      <c r="K18">
        <f t="shared" si="2"/>
        <v>69844.836671770041</v>
      </c>
      <c r="L18">
        <f t="shared" si="9"/>
        <v>69844.836671770041</v>
      </c>
      <c r="M18">
        <f t="shared" si="3"/>
        <v>69964.94958025057</v>
      </c>
      <c r="N18" s="30">
        <f t="shared" si="10"/>
        <v>0</v>
      </c>
      <c r="O18" s="30">
        <f t="shared" si="4"/>
        <v>0</v>
      </c>
      <c r="P18" s="30">
        <f t="shared" si="11"/>
        <v>69964.94958025057</v>
      </c>
      <c r="Q18">
        <f t="shared" si="12"/>
        <v>0</v>
      </c>
      <c r="R18" s="30">
        <f t="shared" si="13"/>
        <v>0</v>
      </c>
      <c r="S18" s="30">
        <f t="shared" si="5"/>
        <v>0</v>
      </c>
      <c r="T18" s="30">
        <f t="shared" si="14"/>
        <v>69964.94958025057</v>
      </c>
      <c r="U18">
        <f t="shared" si="15"/>
        <v>0</v>
      </c>
      <c r="V18" s="30">
        <f t="shared" si="16"/>
        <v>0</v>
      </c>
      <c r="W18" s="30">
        <f t="shared" si="6"/>
        <v>0</v>
      </c>
      <c r="X18" s="30">
        <f t="shared" si="17"/>
        <v>69964.94958025057</v>
      </c>
      <c r="Y18">
        <f t="shared" si="18"/>
        <v>0</v>
      </c>
    </row>
    <row r="19" spans="1:25" hidden="1" x14ac:dyDescent="0.25">
      <c r="A19" s="4" t="s">
        <v>694</v>
      </c>
      <c r="B19" s="7" t="s">
        <v>322</v>
      </c>
      <c r="C19" s="2" t="s">
        <v>695</v>
      </c>
      <c r="D19">
        <f>VLOOKUP(B19,'Model allocations'!$A$1:$L$319,4,FALSE)</f>
        <v>4507.2007555676237</v>
      </c>
      <c r="E19" s="32">
        <f>VLOOKUP(B19,'Initial adjusted formula count'!$A$1:$P$319,12,FALSE)</f>
        <v>0.13953488372093001</v>
      </c>
      <c r="F19">
        <f>VLOOKUP(B19,'Model allocations'!$A$1:$L$319,9,FALSE)</f>
        <v>3831.1206422324799</v>
      </c>
      <c r="G19" s="31">
        <f t="shared" si="7"/>
        <v>0.85</v>
      </c>
      <c r="H19">
        <f t="shared" si="8"/>
        <v>3831.1206422324799</v>
      </c>
      <c r="I19">
        <f t="shared" si="0"/>
        <v>0</v>
      </c>
      <c r="J19">
        <f t="shared" si="1"/>
        <v>3831.1206422324799</v>
      </c>
      <c r="K19">
        <f t="shared" si="2"/>
        <v>3824.5435340398908</v>
      </c>
      <c r="L19">
        <f t="shared" si="9"/>
        <v>3824.5435340398908</v>
      </c>
      <c r="M19">
        <f t="shared" si="3"/>
        <v>3831.1206422324799</v>
      </c>
      <c r="N19" s="30">
        <f t="shared" si="10"/>
        <v>0</v>
      </c>
      <c r="O19" s="30">
        <f t="shared" si="4"/>
        <v>0</v>
      </c>
      <c r="P19" s="30">
        <f t="shared" si="11"/>
        <v>3831.1206422324799</v>
      </c>
      <c r="Q19">
        <f t="shared" si="12"/>
        <v>0</v>
      </c>
      <c r="R19" s="30">
        <f t="shared" si="13"/>
        <v>0</v>
      </c>
      <c r="S19" s="30">
        <f t="shared" si="5"/>
        <v>0</v>
      </c>
      <c r="T19" s="30">
        <f t="shared" si="14"/>
        <v>3831.1206422324799</v>
      </c>
      <c r="U19">
        <f t="shared" si="15"/>
        <v>0</v>
      </c>
      <c r="V19" s="30">
        <f t="shared" si="16"/>
        <v>0</v>
      </c>
      <c r="W19" s="30">
        <f t="shared" si="6"/>
        <v>0</v>
      </c>
      <c r="X19" s="30">
        <f t="shared" si="17"/>
        <v>3831.1206422324799</v>
      </c>
      <c r="Y19">
        <f t="shared" si="18"/>
        <v>0</v>
      </c>
    </row>
    <row r="20" spans="1:25" hidden="1" x14ac:dyDescent="0.25">
      <c r="A20" s="4" t="s">
        <v>10</v>
      </c>
      <c r="B20" s="7" t="s">
        <v>58</v>
      </c>
      <c r="C20" s="2" t="s">
        <v>696</v>
      </c>
      <c r="D20">
        <f>VLOOKUP(B20,'Model allocations'!$A$1:$L$319,4,FALSE)</f>
        <v>176503.59836791627</v>
      </c>
      <c r="E20" s="32">
        <f>VLOOKUP(B20,'Initial adjusted formula count'!$A$1:$P$319,12,FALSE)</f>
        <v>0.19495978101349801</v>
      </c>
      <c r="F20">
        <f>VLOOKUP(B20,'Model allocations'!$A$1:$L$319,9,FALSE)</f>
        <v>215118.01443947118</v>
      </c>
      <c r="G20" s="31">
        <f t="shared" si="7"/>
        <v>0.9</v>
      </c>
      <c r="H20">
        <f t="shared" si="8"/>
        <v>158853.23853112466</v>
      </c>
      <c r="I20">
        <f t="shared" si="0"/>
        <v>0</v>
      </c>
      <c r="J20">
        <f t="shared" si="1"/>
        <v>215118.01443947118</v>
      </c>
      <c r="K20">
        <f t="shared" si="2"/>
        <v>214748.70880092075</v>
      </c>
      <c r="L20">
        <f t="shared" si="9"/>
        <v>214748.70880092075</v>
      </c>
      <c r="M20">
        <f t="shared" si="3"/>
        <v>0</v>
      </c>
      <c r="N20" s="30">
        <f t="shared" si="10"/>
        <v>214748.70880092075</v>
      </c>
      <c r="O20" s="30">
        <f t="shared" si="4"/>
        <v>214558.81554325225</v>
      </c>
      <c r="P20" s="30">
        <f t="shared" si="11"/>
        <v>214558.81554325225</v>
      </c>
      <c r="Q20">
        <f t="shared" si="12"/>
        <v>0</v>
      </c>
      <c r="R20" s="30">
        <f t="shared" si="13"/>
        <v>214558.81554325225</v>
      </c>
      <c r="S20" s="30">
        <f t="shared" si="5"/>
        <v>214558.81554325231</v>
      </c>
      <c r="T20" s="30">
        <f t="shared" si="14"/>
        <v>214558.81554325231</v>
      </c>
      <c r="U20">
        <f t="shared" si="15"/>
        <v>0</v>
      </c>
      <c r="V20" s="30">
        <f t="shared" si="16"/>
        <v>214558.81554325231</v>
      </c>
      <c r="W20" s="30">
        <f t="shared" si="6"/>
        <v>214558.81554325231</v>
      </c>
      <c r="X20" s="30">
        <f t="shared" si="17"/>
        <v>214558.81554325231</v>
      </c>
      <c r="Y20">
        <f t="shared" si="18"/>
        <v>0</v>
      </c>
    </row>
    <row r="21" spans="1:25" hidden="1" x14ac:dyDescent="0.25">
      <c r="A21" s="4" t="s">
        <v>697</v>
      </c>
      <c r="B21" s="7" t="s">
        <v>324</v>
      </c>
      <c r="C21" s="2" t="s">
        <v>698</v>
      </c>
      <c r="D21">
        <f>VLOOKUP(B21,'Model allocations'!$A$1:$L$319,4,FALSE)</f>
        <v>60254.61938351611</v>
      </c>
      <c r="E21" s="32">
        <f>VLOOKUP(B21,'Initial adjusted formula count'!$A$1:$P$319,12,FALSE)</f>
        <v>0.19628099173553701</v>
      </c>
      <c r="F21">
        <f>VLOOKUP(B21,'Model allocations'!$A$1:$L$319,9,FALSE)</f>
        <v>54229.157445164499</v>
      </c>
      <c r="G21" s="31">
        <f t="shared" si="7"/>
        <v>0.9</v>
      </c>
      <c r="H21">
        <f t="shared" si="8"/>
        <v>54229.157445164499</v>
      </c>
      <c r="I21">
        <f t="shared" si="0"/>
        <v>0</v>
      </c>
      <c r="J21">
        <f t="shared" si="1"/>
        <v>54229.157445164499</v>
      </c>
      <c r="K21">
        <f t="shared" si="2"/>
        <v>54136.059088569302</v>
      </c>
      <c r="L21">
        <f t="shared" si="9"/>
        <v>54136.059088569302</v>
      </c>
      <c r="M21">
        <f t="shared" si="3"/>
        <v>54229.157445164499</v>
      </c>
      <c r="N21" s="30">
        <f t="shared" si="10"/>
        <v>0</v>
      </c>
      <c r="O21" s="30">
        <f t="shared" si="4"/>
        <v>0</v>
      </c>
      <c r="P21" s="30">
        <f t="shared" si="11"/>
        <v>54229.157445164499</v>
      </c>
      <c r="Q21">
        <f t="shared" si="12"/>
        <v>0</v>
      </c>
      <c r="R21" s="30">
        <f t="shared" si="13"/>
        <v>0</v>
      </c>
      <c r="S21" s="30">
        <f t="shared" si="5"/>
        <v>0</v>
      </c>
      <c r="T21" s="30">
        <f t="shared" si="14"/>
        <v>54229.157445164499</v>
      </c>
      <c r="U21">
        <f t="shared" si="15"/>
        <v>0</v>
      </c>
      <c r="V21" s="30">
        <f t="shared" si="16"/>
        <v>0</v>
      </c>
      <c r="W21" s="30">
        <f t="shared" si="6"/>
        <v>0</v>
      </c>
      <c r="X21" s="30">
        <f t="shared" si="17"/>
        <v>54229.157445164499</v>
      </c>
      <c r="Y21">
        <f t="shared" si="18"/>
        <v>0</v>
      </c>
    </row>
    <row r="22" spans="1:25" hidden="1" x14ac:dyDescent="0.25">
      <c r="A22" s="4" t="s">
        <v>699</v>
      </c>
      <c r="B22" s="7" t="s">
        <v>326</v>
      </c>
      <c r="C22" s="2" t="s">
        <v>700</v>
      </c>
      <c r="D22">
        <f>VLOOKUP(B22,'Model allocations'!$A$1:$L$319,4,FALSE)</f>
        <v>43975.30116410998</v>
      </c>
      <c r="E22" s="32">
        <f>VLOOKUP(B22,'Initial adjusted formula count'!$A$1:$P$319,12,FALSE)</f>
        <v>0.24076809453471201</v>
      </c>
      <c r="F22">
        <f>VLOOKUP(B22,'Model allocations'!$A$1:$L$319,9,FALSE)</f>
        <v>39577.771047698981</v>
      </c>
      <c r="G22" s="31">
        <f t="shared" si="7"/>
        <v>0.9</v>
      </c>
      <c r="H22">
        <f t="shared" si="8"/>
        <v>39577.771047698981</v>
      </c>
      <c r="I22">
        <f t="shared" si="0"/>
        <v>0</v>
      </c>
      <c r="J22">
        <f t="shared" si="1"/>
        <v>39577.771047698981</v>
      </c>
      <c r="K22">
        <f t="shared" si="2"/>
        <v>39509.825580429504</v>
      </c>
      <c r="L22">
        <f t="shared" si="9"/>
        <v>39509.825580429504</v>
      </c>
      <c r="M22">
        <f t="shared" si="3"/>
        <v>39577.771047698981</v>
      </c>
      <c r="N22" s="30">
        <f t="shared" si="10"/>
        <v>0</v>
      </c>
      <c r="O22" s="30">
        <f t="shared" si="4"/>
        <v>0</v>
      </c>
      <c r="P22" s="30">
        <f t="shared" si="11"/>
        <v>39577.771047698981</v>
      </c>
      <c r="Q22">
        <f t="shared" si="12"/>
        <v>0</v>
      </c>
      <c r="R22" s="30">
        <f t="shared" si="13"/>
        <v>0</v>
      </c>
      <c r="S22" s="30">
        <f t="shared" si="5"/>
        <v>0</v>
      </c>
      <c r="T22" s="30">
        <f t="shared" si="14"/>
        <v>39577.771047698981</v>
      </c>
      <c r="U22">
        <f t="shared" si="15"/>
        <v>0</v>
      </c>
      <c r="V22" s="30">
        <f t="shared" si="16"/>
        <v>0</v>
      </c>
      <c r="W22" s="30">
        <f t="shared" si="6"/>
        <v>0</v>
      </c>
      <c r="X22" s="30">
        <f t="shared" si="17"/>
        <v>39577.771047698981</v>
      </c>
      <c r="Y22">
        <f t="shared" si="18"/>
        <v>0</v>
      </c>
    </row>
    <row r="23" spans="1:25" hidden="1" x14ac:dyDescent="0.25">
      <c r="A23" s="4" t="s">
        <v>701</v>
      </c>
      <c r="B23" s="7" t="s">
        <v>328</v>
      </c>
      <c r="C23" s="2" t="s">
        <v>702</v>
      </c>
      <c r="D23">
        <f>VLOOKUP(B23,'Model allocations'!$A$1:$L$319,4,FALSE)</f>
        <v>6771.1428597248387</v>
      </c>
      <c r="E23" s="32">
        <f>VLOOKUP(B23,'Initial adjusted formula count'!$A$1:$P$319,12,FALSE)</f>
        <v>0.232758620689655</v>
      </c>
      <c r="F23">
        <f>VLOOKUP(B23,'Model allocations'!$A$1:$L$319,9,FALSE)</f>
        <v>6120.8595365572501</v>
      </c>
      <c r="G23" s="31">
        <f t="shared" si="7"/>
        <v>0.9</v>
      </c>
      <c r="H23">
        <f t="shared" si="8"/>
        <v>6094.0285737523545</v>
      </c>
      <c r="I23">
        <f t="shared" si="0"/>
        <v>0</v>
      </c>
      <c r="J23">
        <f t="shared" si="1"/>
        <v>6120.8595365572501</v>
      </c>
      <c r="K23">
        <f t="shared" si="2"/>
        <v>6110.3515000940297</v>
      </c>
      <c r="L23">
        <f t="shared" si="9"/>
        <v>6110.3515000940297</v>
      </c>
      <c r="M23">
        <f t="shared" si="3"/>
        <v>0</v>
      </c>
      <c r="N23" s="30">
        <f t="shared" si="10"/>
        <v>6110.3515000940297</v>
      </c>
      <c r="O23" s="30">
        <f t="shared" si="4"/>
        <v>6104.9483730702104</v>
      </c>
      <c r="P23" s="30">
        <f t="shared" si="11"/>
        <v>6104.9483730702104</v>
      </c>
      <c r="Q23">
        <f t="shared" si="12"/>
        <v>0</v>
      </c>
      <c r="R23" s="30">
        <f t="shared" si="13"/>
        <v>6104.9483730702104</v>
      </c>
      <c r="S23" s="30">
        <f t="shared" si="5"/>
        <v>6104.9483730702123</v>
      </c>
      <c r="T23" s="30">
        <f t="shared" si="14"/>
        <v>6104.9483730702123</v>
      </c>
      <c r="U23">
        <f t="shared" si="15"/>
        <v>0</v>
      </c>
      <c r="V23" s="30">
        <f t="shared" si="16"/>
        <v>6104.9483730702123</v>
      </c>
      <c r="W23" s="30">
        <f t="shared" si="6"/>
        <v>6104.9483730702123</v>
      </c>
      <c r="X23" s="30">
        <f t="shared" si="17"/>
        <v>6104.9483730702123</v>
      </c>
      <c r="Y23">
        <f t="shared" si="18"/>
        <v>0</v>
      </c>
    </row>
    <row r="24" spans="1:25" hidden="1" x14ac:dyDescent="0.25">
      <c r="A24" s="4" t="s">
        <v>703</v>
      </c>
      <c r="B24" s="7" t="s">
        <v>330</v>
      </c>
      <c r="C24" s="2" t="s">
        <v>704</v>
      </c>
      <c r="D24">
        <f>VLOOKUP(B24,'Model allocations'!$A$1:$L$319,4,FALSE)</f>
        <v>114700.48819341061</v>
      </c>
      <c r="E24" s="32">
        <f>VLOOKUP(B24,'Initial adjusted formula count'!$A$1:$P$319,12,FALSE)</f>
        <v>0.107497984412792</v>
      </c>
      <c r="F24">
        <f>VLOOKUP(B24,'Model allocations'!$A$1:$L$319,9,FALSE)</f>
        <v>97495.414964399009</v>
      </c>
      <c r="G24" s="31">
        <f t="shared" si="7"/>
        <v>0.85</v>
      </c>
      <c r="H24">
        <f t="shared" si="8"/>
        <v>97495.414964399009</v>
      </c>
      <c r="I24">
        <f t="shared" si="0"/>
        <v>0</v>
      </c>
      <c r="J24">
        <f t="shared" si="1"/>
        <v>97495.414964399009</v>
      </c>
      <c r="K24">
        <f t="shared" si="2"/>
        <v>97328.038900739339</v>
      </c>
      <c r="L24">
        <f t="shared" si="9"/>
        <v>97328.038900739339</v>
      </c>
      <c r="M24">
        <f t="shared" si="3"/>
        <v>97495.414964399009</v>
      </c>
      <c r="N24" s="30">
        <f t="shared" si="10"/>
        <v>0</v>
      </c>
      <c r="O24" s="30">
        <f t="shared" si="4"/>
        <v>0</v>
      </c>
      <c r="P24" s="30">
        <f t="shared" si="11"/>
        <v>97495.414964399009</v>
      </c>
      <c r="Q24">
        <f t="shared" si="12"/>
        <v>0</v>
      </c>
      <c r="R24" s="30">
        <f t="shared" si="13"/>
        <v>0</v>
      </c>
      <c r="S24" s="30">
        <f t="shared" si="5"/>
        <v>0</v>
      </c>
      <c r="T24" s="30">
        <f t="shared" si="14"/>
        <v>97495.414964399009</v>
      </c>
      <c r="U24">
        <f t="shared" si="15"/>
        <v>0</v>
      </c>
      <c r="V24" s="30">
        <f t="shared" si="16"/>
        <v>0</v>
      </c>
      <c r="W24" s="30">
        <f t="shared" si="6"/>
        <v>0</v>
      </c>
      <c r="X24" s="30">
        <f t="shared" si="17"/>
        <v>97495.414964399009</v>
      </c>
      <c r="Y24">
        <f t="shared" si="18"/>
        <v>0</v>
      </c>
    </row>
    <row r="25" spans="1:25" x14ac:dyDescent="0.25">
      <c r="A25" s="4" t="s">
        <v>705</v>
      </c>
      <c r="B25" s="7" t="s">
        <v>105</v>
      </c>
      <c r="C25" s="2" t="s">
        <v>706</v>
      </c>
      <c r="D25">
        <f>VLOOKUP(B25,'Model allocations'!$A$1:$L$319,4,FALSE)</f>
        <v>0</v>
      </c>
      <c r="E25" s="32">
        <f>VLOOKUP(B25,'Initial adjusted formula count'!$A$1:$P$319,12,FALSE)</f>
        <v>3.4287257019438397E-2</v>
      </c>
      <c r="F25">
        <f>VLOOKUP(B25,'Model allocations'!$A$1:$L$319,9,FALSE)</f>
        <v>0</v>
      </c>
      <c r="G25" s="31">
        <f t="shared" si="7"/>
        <v>0.85</v>
      </c>
      <c r="H25">
        <f t="shared" si="8"/>
        <v>0</v>
      </c>
      <c r="I25">
        <f t="shared" si="0"/>
        <v>0</v>
      </c>
      <c r="J25">
        <f t="shared" si="1"/>
        <v>0</v>
      </c>
      <c r="K25">
        <f t="shared" si="2"/>
        <v>0</v>
      </c>
      <c r="L25">
        <f t="shared" si="9"/>
        <v>0</v>
      </c>
      <c r="M25">
        <f t="shared" si="3"/>
        <v>0</v>
      </c>
      <c r="N25" s="30">
        <f t="shared" si="10"/>
        <v>0</v>
      </c>
      <c r="O25" s="30">
        <f t="shared" si="4"/>
        <v>0</v>
      </c>
      <c r="P25" s="30">
        <f t="shared" si="11"/>
        <v>0</v>
      </c>
      <c r="Q25">
        <f t="shared" si="12"/>
        <v>0</v>
      </c>
      <c r="R25" s="30">
        <f t="shared" si="13"/>
        <v>0</v>
      </c>
      <c r="S25" s="30">
        <f t="shared" si="5"/>
        <v>0</v>
      </c>
      <c r="T25" s="30">
        <f t="shared" si="14"/>
        <v>0</v>
      </c>
      <c r="U25">
        <f t="shared" si="15"/>
        <v>0</v>
      </c>
      <c r="V25" s="30">
        <f t="shared" si="16"/>
        <v>0</v>
      </c>
      <c r="W25" s="30">
        <f t="shared" si="6"/>
        <v>0</v>
      </c>
      <c r="X25" s="30">
        <f t="shared" si="17"/>
        <v>0</v>
      </c>
      <c r="Y25">
        <f t="shared" si="18"/>
        <v>0</v>
      </c>
    </row>
    <row r="26" spans="1:25" hidden="1" x14ac:dyDescent="0.25">
      <c r="A26" s="4" t="s">
        <v>707</v>
      </c>
      <c r="B26" s="7" t="s">
        <v>332</v>
      </c>
      <c r="C26" s="2" t="s">
        <v>708</v>
      </c>
      <c r="D26">
        <f>VLOOKUP(B26,'Model allocations'!$A$1:$L$319,4,FALSE)</f>
        <v>27930.96429636496</v>
      </c>
      <c r="E26" s="32">
        <f>VLOOKUP(B26,'Initial adjusted formula count'!$A$1:$P$319,12,FALSE)</f>
        <v>0.20909090909090899</v>
      </c>
      <c r="F26">
        <f>VLOOKUP(B26,'Model allocations'!$A$1:$L$319,9,FALSE)</f>
        <v>26070.327655706798</v>
      </c>
      <c r="G26" s="31">
        <f t="shared" si="7"/>
        <v>0.9</v>
      </c>
      <c r="H26">
        <f t="shared" si="8"/>
        <v>25137.867866728466</v>
      </c>
      <c r="I26">
        <f t="shared" si="0"/>
        <v>0</v>
      </c>
      <c r="J26">
        <f t="shared" si="1"/>
        <v>26070.327655706798</v>
      </c>
      <c r="K26">
        <f t="shared" si="2"/>
        <v>26025.571204104192</v>
      </c>
      <c r="L26">
        <f t="shared" si="9"/>
        <v>26025.571204104192</v>
      </c>
      <c r="M26">
        <f t="shared" si="3"/>
        <v>0</v>
      </c>
      <c r="N26" s="30">
        <f t="shared" si="10"/>
        <v>26025.571204104192</v>
      </c>
      <c r="O26" s="30">
        <f t="shared" si="4"/>
        <v>26002.557885299037</v>
      </c>
      <c r="P26" s="30">
        <f t="shared" si="11"/>
        <v>26002.557885299037</v>
      </c>
      <c r="Q26">
        <f t="shared" si="12"/>
        <v>0</v>
      </c>
      <c r="R26" s="30">
        <f t="shared" si="13"/>
        <v>26002.557885299037</v>
      </c>
      <c r="S26" s="30">
        <f t="shared" si="5"/>
        <v>26002.557885299044</v>
      </c>
      <c r="T26" s="30">
        <f t="shared" si="14"/>
        <v>26002.557885299044</v>
      </c>
      <c r="U26">
        <f t="shared" si="15"/>
        <v>0</v>
      </c>
      <c r="V26" s="30">
        <f t="shared" si="16"/>
        <v>26002.557885299044</v>
      </c>
      <c r="W26" s="30">
        <f t="shared" si="6"/>
        <v>26002.557885299044</v>
      </c>
      <c r="X26" s="30">
        <f t="shared" si="17"/>
        <v>26002.557885299044</v>
      </c>
      <c r="Y26">
        <f t="shared" si="18"/>
        <v>0</v>
      </c>
    </row>
    <row r="27" spans="1:25" x14ac:dyDescent="0.25">
      <c r="A27" s="4" t="s">
        <v>709</v>
      </c>
      <c r="B27" s="7" t="s">
        <v>107</v>
      </c>
      <c r="C27" s="2" t="s">
        <v>710</v>
      </c>
      <c r="D27">
        <f>VLOOKUP(B27,'Model allocations'!$A$1:$L$319,4,FALSE)</f>
        <v>0</v>
      </c>
      <c r="E27" s="32">
        <f>VLOOKUP(B27,'Initial adjusted formula count'!$A$1:$P$319,12,FALSE)</f>
        <v>3.3653846153846201E-2</v>
      </c>
      <c r="F27">
        <f>VLOOKUP(B27,'Model allocations'!$A$1:$L$319,9,FALSE)</f>
        <v>0</v>
      </c>
      <c r="G27" s="31">
        <f t="shared" si="7"/>
        <v>0.85</v>
      </c>
      <c r="H27">
        <f t="shared" si="8"/>
        <v>0</v>
      </c>
      <c r="I27">
        <f t="shared" si="0"/>
        <v>0</v>
      </c>
      <c r="J27">
        <f t="shared" si="1"/>
        <v>0</v>
      </c>
      <c r="K27">
        <f t="shared" si="2"/>
        <v>0</v>
      </c>
      <c r="L27">
        <f t="shared" si="9"/>
        <v>0</v>
      </c>
      <c r="M27">
        <f t="shared" si="3"/>
        <v>0</v>
      </c>
      <c r="N27" s="30">
        <f t="shared" si="10"/>
        <v>0</v>
      </c>
      <c r="O27" s="30">
        <f t="shared" si="4"/>
        <v>0</v>
      </c>
      <c r="P27" s="30">
        <f t="shared" si="11"/>
        <v>0</v>
      </c>
      <c r="Q27">
        <f t="shared" si="12"/>
        <v>0</v>
      </c>
      <c r="R27" s="30">
        <f t="shared" si="13"/>
        <v>0</v>
      </c>
      <c r="S27" s="30">
        <f t="shared" si="5"/>
        <v>0</v>
      </c>
      <c r="T27" s="30">
        <f t="shared" si="14"/>
        <v>0</v>
      </c>
      <c r="U27">
        <f t="shared" si="15"/>
        <v>0</v>
      </c>
      <c r="V27" s="30">
        <f t="shared" si="16"/>
        <v>0</v>
      </c>
      <c r="W27" s="30">
        <f t="shared" si="6"/>
        <v>0</v>
      </c>
      <c r="X27" s="30">
        <f t="shared" si="17"/>
        <v>0</v>
      </c>
      <c r="Y27">
        <f t="shared" si="18"/>
        <v>0</v>
      </c>
    </row>
    <row r="28" spans="1:25" hidden="1" x14ac:dyDescent="0.25">
      <c r="A28" s="4" t="s">
        <v>711</v>
      </c>
      <c r="B28" s="7" t="s">
        <v>334</v>
      </c>
      <c r="C28" s="2" t="s">
        <v>712</v>
      </c>
      <c r="D28">
        <f>VLOOKUP(B28,'Model allocations'!$A$1:$L$319,4,FALSE)</f>
        <v>0</v>
      </c>
      <c r="E28" s="32">
        <f>VLOOKUP(B28,'Initial adjusted formula count'!$A$1:$P$319,12,FALSE)</f>
        <v>0.11389961389961401</v>
      </c>
      <c r="F28">
        <f>VLOOKUP(B28,'Model allocations'!$A$1:$L$319,9,FALSE)</f>
        <v>0</v>
      </c>
      <c r="G28" s="31">
        <f t="shared" si="7"/>
        <v>0.85</v>
      </c>
      <c r="H28">
        <f t="shared" si="8"/>
        <v>0</v>
      </c>
      <c r="I28">
        <f t="shared" si="0"/>
        <v>0</v>
      </c>
      <c r="J28">
        <f t="shared" si="1"/>
        <v>0</v>
      </c>
      <c r="K28">
        <f t="shared" si="2"/>
        <v>0</v>
      </c>
      <c r="L28">
        <f t="shared" si="9"/>
        <v>0</v>
      </c>
      <c r="M28">
        <f t="shared" si="3"/>
        <v>0</v>
      </c>
      <c r="N28" s="30">
        <f t="shared" si="10"/>
        <v>0</v>
      </c>
      <c r="O28" s="30">
        <f t="shared" si="4"/>
        <v>0</v>
      </c>
      <c r="P28" s="30">
        <f t="shared" si="11"/>
        <v>0</v>
      </c>
      <c r="Q28">
        <f t="shared" si="12"/>
        <v>0</v>
      </c>
      <c r="R28" s="30">
        <f t="shared" si="13"/>
        <v>0</v>
      </c>
      <c r="S28" s="30">
        <f t="shared" si="5"/>
        <v>0</v>
      </c>
      <c r="T28" s="30">
        <f t="shared" si="14"/>
        <v>0</v>
      </c>
      <c r="U28">
        <f t="shared" si="15"/>
        <v>0</v>
      </c>
      <c r="V28" s="30">
        <f t="shared" si="16"/>
        <v>0</v>
      </c>
      <c r="W28" s="30">
        <f t="shared" si="6"/>
        <v>0</v>
      </c>
      <c r="X28" s="30">
        <f t="shared" si="17"/>
        <v>0</v>
      </c>
      <c r="Y28">
        <f t="shared" si="18"/>
        <v>0</v>
      </c>
    </row>
    <row r="29" spans="1:25" hidden="1" x14ac:dyDescent="0.25">
      <c r="A29" s="4" t="s">
        <v>713</v>
      </c>
      <c r="B29" s="7" t="s">
        <v>336</v>
      </c>
      <c r="C29" s="2" t="s">
        <v>714</v>
      </c>
      <c r="D29">
        <f>VLOOKUP(B29,'Model allocations'!$A$1:$L$319,4,FALSE)</f>
        <v>36679.288907377901</v>
      </c>
      <c r="E29" s="32">
        <f>VLOOKUP(B29,'Initial adjusted formula count'!$A$1:$P$319,12,FALSE)</f>
        <v>0.112967914438503</v>
      </c>
      <c r="F29">
        <f>VLOOKUP(B29,'Model allocations'!$A$1:$L$319,9,FALSE)</f>
        <v>31177.395571271216</v>
      </c>
      <c r="G29" s="31">
        <f t="shared" si="7"/>
        <v>0.85</v>
      </c>
      <c r="H29">
        <f t="shared" si="8"/>
        <v>31177.395571271216</v>
      </c>
      <c r="I29">
        <f t="shared" si="0"/>
        <v>0</v>
      </c>
      <c r="J29">
        <f t="shared" si="1"/>
        <v>31177.395571271216</v>
      </c>
      <c r="K29">
        <f t="shared" si="2"/>
        <v>31123.871518393596</v>
      </c>
      <c r="L29">
        <f t="shared" si="9"/>
        <v>31123.871518393596</v>
      </c>
      <c r="M29">
        <f t="shared" si="3"/>
        <v>31177.395571271216</v>
      </c>
      <c r="N29" s="30">
        <f t="shared" si="10"/>
        <v>0</v>
      </c>
      <c r="O29" s="30">
        <f t="shared" si="4"/>
        <v>0</v>
      </c>
      <c r="P29" s="30">
        <f t="shared" si="11"/>
        <v>31177.395571271216</v>
      </c>
      <c r="Q29">
        <f t="shared" si="12"/>
        <v>0</v>
      </c>
      <c r="R29" s="30">
        <f t="shared" si="13"/>
        <v>0</v>
      </c>
      <c r="S29" s="30">
        <f t="shared" si="5"/>
        <v>0</v>
      </c>
      <c r="T29" s="30">
        <f t="shared" si="14"/>
        <v>31177.395571271216</v>
      </c>
      <c r="U29">
        <f t="shared" si="15"/>
        <v>0</v>
      </c>
      <c r="V29" s="30">
        <f t="shared" si="16"/>
        <v>0</v>
      </c>
      <c r="W29" s="30">
        <f t="shared" si="6"/>
        <v>0</v>
      </c>
      <c r="X29" s="30">
        <f t="shared" si="17"/>
        <v>31177.395571271216</v>
      </c>
      <c r="Y29">
        <f t="shared" si="18"/>
        <v>0</v>
      </c>
    </row>
    <row r="30" spans="1:25" x14ac:dyDescent="0.25">
      <c r="A30" s="4" t="s">
        <v>715</v>
      </c>
      <c r="B30" s="7" t="s">
        <v>109</v>
      </c>
      <c r="C30" s="2" t="s">
        <v>716</v>
      </c>
      <c r="D30">
        <f>VLOOKUP(B30,'Model allocations'!$A$1:$L$319,4,FALSE)</f>
        <v>0</v>
      </c>
      <c r="E30" s="32">
        <f>VLOOKUP(B30,'Initial adjusted formula count'!$A$1:$P$319,12,FALSE)</f>
        <v>0.111858190709046</v>
      </c>
      <c r="F30">
        <f>VLOOKUP(B30,'Model allocations'!$A$1:$L$319,9,FALSE)</f>
        <v>0</v>
      </c>
      <c r="G30" s="31">
        <f t="shared" si="7"/>
        <v>0.85</v>
      </c>
      <c r="H30">
        <f t="shared" si="8"/>
        <v>0</v>
      </c>
      <c r="I30">
        <f t="shared" si="0"/>
        <v>0</v>
      </c>
      <c r="J30">
        <f t="shared" si="1"/>
        <v>0</v>
      </c>
      <c r="K30">
        <f t="shared" si="2"/>
        <v>0</v>
      </c>
      <c r="L30">
        <f t="shared" si="9"/>
        <v>0</v>
      </c>
      <c r="M30">
        <f t="shared" si="3"/>
        <v>0</v>
      </c>
      <c r="N30" s="30">
        <f t="shared" si="10"/>
        <v>0</v>
      </c>
      <c r="O30" s="30">
        <f t="shared" si="4"/>
        <v>0</v>
      </c>
      <c r="P30" s="30">
        <f t="shared" si="11"/>
        <v>0</v>
      </c>
      <c r="Q30">
        <f t="shared" si="12"/>
        <v>0</v>
      </c>
      <c r="R30" s="30">
        <f t="shared" si="13"/>
        <v>0</v>
      </c>
      <c r="S30" s="30">
        <f t="shared" si="5"/>
        <v>0</v>
      </c>
      <c r="T30" s="30">
        <f t="shared" si="14"/>
        <v>0</v>
      </c>
      <c r="U30">
        <f t="shared" si="15"/>
        <v>0</v>
      </c>
      <c r="V30" s="30">
        <f t="shared" si="16"/>
        <v>0</v>
      </c>
      <c r="W30" s="30">
        <f t="shared" si="6"/>
        <v>0</v>
      </c>
      <c r="X30" s="30">
        <f t="shared" si="17"/>
        <v>0</v>
      </c>
      <c r="Y30">
        <f t="shared" si="18"/>
        <v>0</v>
      </c>
    </row>
    <row r="31" spans="1:25" x14ac:dyDescent="0.25">
      <c r="A31" s="4" t="s">
        <v>8</v>
      </c>
      <c r="B31" s="7" t="s">
        <v>69</v>
      </c>
      <c r="C31" s="2" t="s">
        <v>717</v>
      </c>
      <c r="D31">
        <f>VLOOKUP(B31,'Model allocations'!$A$1:$L$319,4,FALSE)</f>
        <v>0</v>
      </c>
      <c r="E31" s="32">
        <f>VLOOKUP(B31,'Initial adjusted formula count'!$A$1:$P$319,12,FALSE)</f>
        <v>0.13928522931482101</v>
      </c>
      <c r="F31">
        <f>VLOOKUP(B31,'Model allocations'!$A$1:$L$319,9,FALSE)</f>
        <v>0</v>
      </c>
      <c r="G31" s="31">
        <f t="shared" si="7"/>
        <v>0.85</v>
      </c>
      <c r="H31">
        <f t="shared" si="8"/>
        <v>0</v>
      </c>
      <c r="I31">
        <f t="shared" si="0"/>
        <v>0</v>
      </c>
      <c r="J31">
        <f t="shared" si="1"/>
        <v>0</v>
      </c>
      <c r="K31">
        <f t="shared" si="2"/>
        <v>0</v>
      </c>
      <c r="L31">
        <f t="shared" si="9"/>
        <v>0</v>
      </c>
      <c r="M31">
        <f t="shared" si="3"/>
        <v>0</v>
      </c>
      <c r="N31" s="30">
        <f t="shared" si="10"/>
        <v>0</v>
      </c>
      <c r="O31" s="30">
        <f t="shared" si="4"/>
        <v>0</v>
      </c>
      <c r="P31" s="30">
        <f t="shared" si="11"/>
        <v>0</v>
      </c>
      <c r="Q31">
        <f t="shared" si="12"/>
        <v>0</v>
      </c>
      <c r="R31" s="30">
        <f t="shared" si="13"/>
        <v>0</v>
      </c>
      <c r="S31" s="30">
        <f t="shared" si="5"/>
        <v>0</v>
      </c>
      <c r="T31" s="30">
        <f t="shared" si="14"/>
        <v>0</v>
      </c>
      <c r="U31">
        <f t="shared" si="15"/>
        <v>0</v>
      </c>
      <c r="V31" s="30">
        <f t="shared" si="16"/>
        <v>0</v>
      </c>
      <c r="W31" s="30">
        <f t="shared" si="6"/>
        <v>0</v>
      </c>
      <c r="X31" s="30">
        <f t="shared" si="17"/>
        <v>0</v>
      </c>
      <c r="Y31">
        <f t="shared" si="18"/>
        <v>0</v>
      </c>
    </row>
    <row r="32" spans="1:25" hidden="1" x14ac:dyDescent="0.25">
      <c r="A32" s="4" t="s">
        <v>718</v>
      </c>
      <c r="B32" s="7" t="s">
        <v>338</v>
      </c>
      <c r="C32" s="2" t="s">
        <v>719</v>
      </c>
      <c r="D32">
        <f>VLOOKUP(B32,'Model allocations'!$A$1:$L$319,4,FALSE)</f>
        <v>1906.344959922915</v>
      </c>
      <c r="E32" s="32">
        <f>VLOOKUP(B32,'Initial adjusted formula count'!$A$1:$P$319,12,FALSE)</f>
        <v>0.29032258064516098</v>
      </c>
      <c r="F32">
        <f>VLOOKUP(B32,'Model allocations'!$A$1:$L$319,9,FALSE)</f>
        <v>6120.8595365572501</v>
      </c>
      <c r="G32" s="31">
        <f t="shared" si="7"/>
        <v>0.9</v>
      </c>
      <c r="H32">
        <f t="shared" si="8"/>
        <v>1715.7104639306235</v>
      </c>
      <c r="I32">
        <f t="shared" si="0"/>
        <v>0</v>
      </c>
      <c r="J32">
        <f t="shared" si="1"/>
        <v>6120.8595365572501</v>
      </c>
      <c r="K32">
        <f t="shared" si="2"/>
        <v>6110.3515000940297</v>
      </c>
      <c r="L32">
        <f t="shared" si="9"/>
        <v>6110.3515000940297</v>
      </c>
      <c r="M32">
        <f t="shared" si="3"/>
        <v>0</v>
      </c>
      <c r="N32" s="30">
        <f t="shared" si="10"/>
        <v>6110.3515000940297</v>
      </c>
      <c r="O32" s="30">
        <f t="shared" si="4"/>
        <v>6104.9483730702104</v>
      </c>
      <c r="P32" s="30">
        <f t="shared" si="11"/>
        <v>6104.9483730702104</v>
      </c>
      <c r="Q32">
        <f t="shared" si="12"/>
        <v>0</v>
      </c>
      <c r="R32" s="30">
        <f t="shared" si="13"/>
        <v>6104.9483730702104</v>
      </c>
      <c r="S32" s="30">
        <f t="shared" si="5"/>
        <v>6104.9483730702123</v>
      </c>
      <c r="T32" s="30">
        <f t="shared" si="14"/>
        <v>6104.9483730702123</v>
      </c>
      <c r="U32">
        <f t="shared" si="15"/>
        <v>0</v>
      </c>
      <c r="V32" s="30">
        <f t="shared" si="16"/>
        <v>6104.9483730702123</v>
      </c>
      <c r="W32" s="30">
        <f t="shared" si="6"/>
        <v>6104.9483730702123</v>
      </c>
      <c r="X32" s="30">
        <f t="shared" si="17"/>
        <v>6104.9483730702123</v>
      </c>
      <c r="Y32">
        <f t="shared" si="18"/>
        <v>0</v>
      </c>
    </row>
    <row r="33" spans="1:25" x14ac:dyDescent="0.25">
      <c r="A33" s="4" t="s">
        <v>720</v>
      </c>
      <c r="B33" s="7" t="s">
        <v>111</v>
      </c>
      <c r="C33" s="2" t="s">
        <v>721</v>
      </c>
      <c r="D33">
        <f>VLOOKUP(B33,'Model allocations'!$A$1:$L$319,4,FALSE)</f>
        <v>0</v>
      </c>
      <c r="E33" s="32">
        <f>VLOOKUP(B33,'Initial adjusted formula count'!$A$1:$P$319,12,FALSE)</f>
        <v>7.9476139217796907E-2</v>
      </c>
      <c r="F33">
        <f>VLOOKUP(B33,'Model allocations'!$A$1:$L$319,9,FALSE)</f>
        <v>0</v>
      </c>
      <c r="G33" s="31">
        <f t="shared" si="7"/>
        <v>0.85</v>
      </c>
      <c r="H33">
        <f t="shared" si="8"/>
        <v>0</v>
      </c>
      <c r="I33">
        <f t="shared" si="0"/>
        <v>0</v>
      </c>
      <c r="J33">
        <f t="shared" si="1"/>
        <v>0</v>
      </c>
      <c r="K33">
        <f t="shared" si="2"/>
        <v>0</v>
      </c>
      <c r="L33">
        <f t="shared" si="9"/>
        <v>0</v>
      </c>
      <c r="M33">
        <f t="shared" si="3"/>
        <v>0</v>
      </c>
      <c r="N33" s="30">
        <f t="shared" si="10"/>
        <v>0</v>
      </c>
      <c r="O33" s="30">
        <f t="shared" si="4"/>
        <v>0</v>
      </c>
      <c r="P33" s="30">
        <f t="shared" si="11"/>
        <v>0</v>
      </c>
      <c r="Q33">
        <f t="shared" si="12"/>
        <v>0</v>
      </c>
      <c r="R33" s="30">
        <f t="shared" si="13"/>
        <v>0</v>
      </c>
      <c r="S33" s="30">
        <f t="shared" si="5"/>
        <v>0</v>
      </c>
      <c r="T33" s="30">
        <f t="shared" si="14"/>
        <v>0</v>
      </c>
      <c r="U33">
        <f t="shared" si="15"/>
        <v>0</v>
      </c>
      <c r="V33" s="30">
        <f t="shared" si="16"/>
        <v>0</v>
      </c>
      <c r="W33" s="30">
        <f t="shared" si="6"/>
        <v>0</v>
      </c>
      <c r="X33" s="30">
        <f t="shared" si="17"/>
        <v>0</v>
      </c>
      <c r="Y33">
        <f t="shared" si="18"/>
        <v>0</v>
      </c>
    </row>
    <row r="34" spans="1:25" x14ac:dyDescent="0.25">
      <c r="A34" s="4" t="s">
        <v>722</v>
      </c>
      <c r="B34" s="7" t="s">
        <v>270</v>
      </c>
      <c r="C34" s="2" t="s">
        <v>723</v>
      </c>
      <c r="D34">
        <f>VLOOKUP(B34,'Model allocations'!$A$1:$L$319,4,FALSE)</f>
        <v>0</v>
      </c>
      <c r="E34" s="32">
        <f>VLOOKUP(B34,'Initial adjusted formula count'!$A$1:$P$319,12,FALSE)</f>
        <v>0.110699806099066</v>
      </c>
      <c r="F34">
        <f>VLOOKUP(B34,'Model allocations'!$A$1:$L$319,9,FALSE)</f>
        <v>0</v>
      </c>
      <c r="G34" s="31">
        <f t="shared" si="7"/>
        <v>0.85</v>
      </c>
      <c r="H34">
        <f t="shared" si="8"/>
        <v>0</v>
      </c>
      <c r="I34">
        <f t="shared" si="0"/>
        <v>0</v>
      </c>
      <c r="J34">
        <f t="shared" si="1"/>
        <v>0</v>
      </c>
      <c r="K34">
        <f t="shared" si="2"/>
        <v>0</v>
      </c>
      <c r="L34">
        <f t="shared" si="9"/>
        <v>0</v>
      </c>
      <c r="M34">
        <f t="shared" si="3"/>
        <v>0</v>
      </c>
      <c r="N34" s="30">
        <f t="shared" si="10"/>
        <v>0</v>
      </c>
      <c r="O34" s="30">
        <f t="shared" si="4"/>
        <v>0</v>
      </c>
      <c r="P34" s="30">
        <f t="shared" si="11"/>
        <v>0</v>
      </c>
      <c r="Q34">
        <f t="shared" si="12"/>
        <v>0</v>
      </c>
      <c r="R34" s="30">
        <f t="shared" si="13"/>
        <v>0</v>
      </c>
      <c r="S34" s="30">
        <f t="shared" si="5"/>
        <v>0</v>
      </c>
      <c r="T34" s="30">
        <f t="shared" si="14"/>
        <v>0</v>
      </c>
      <c r="U34">
        <f t="shared" si="15"/>
        <v>0</v>
      </c>
      <c r="V34" s="30">
        <f t="shared" si="16"/>
        <v>0</v>
      </c>
      <c r="W34" s="30">
        <f t="shared" si="6"/>
        <v>0</v>
      </c>
      <c r="X34" s="30">
        <f t="shared" si="17"/>
        <v>0</v>
      </c>
      <c r="Y34">
        <f t="shared" si="18"/>
        <v>0</v>
      </c>
    </row>
    <row r="35" spans="1:25" hidden="1" x14ac:dyDescent="0.25">
      <c r="A35" s="4" t="s">
        <v>724</v>
      </c>
      <c r="B35" s="7" t="s">
        <v>340</v>
      </c>
      <c r="C35" s="2" t="s">
        <v>725</v>
      </c>
      <c r="D35">
        <f>VLOOKUP(B35,'Model allocations'!$A$1:$L$319,4,FALSE)</f>
        <v>175838.11613847944</v>
      </c>
      <c r="E35" s="32">
        <f>VLOOKUP(B35,'Initial adjusted formula count'!$A$1:$P$319,12,FALSE)</f>
        <v>0.17945718296677601</v>
      </c>
      <c r="F35">
        <f>VLOOKUP(B35,'Model allocations'!$A$1:$L$319,9,FALSE)</f>
        <v>173877.75053849668</v>
      </c>
      <c r="G35" s="31">
        <f t="shared" si="7"/>
        <v>0.9</v>
      </c>
      <c r="H35">
        <f t="shared" si="8"/>
        <v>158254.3045246315</v>
      </c>
      <c r="I35">
        <f t="shared" si="0"/>
        <v>0</v>
      </c>
      <c r="J35">
        <f t="shared" si="1"/>
        <v>173877.75053849668</v>
      </c>
      <c r="K35">
        <f t="shared" si="2"/>
        <v>173579.24446563408</v>
      </c>
      <c r="L35">
        <f t="shared" si="9"/>
        <v>173579.24446563408</v>
      </c>
      <c r="M35">
        <f t="shared" si="3"/>
        <v>0</v>
      </c>
      <c r="N35" s="30">
        <f t="shared" si="10"/>
        <v>173579.24446563408</v>
      </c>
      <c r="O35" s="30">
        <f t="shared" si="4"/>
        <v>173425.75563499448</v>
      </c>
      <c r="P35" s="30">
        <f t="shared" si="11"/>
        <v>173425.75563499448</v>
      </c>
      <c r="Q35">
        <f t="shared" si="12"/>
        <v>0</v>
      </c>
      <c r="R35" s="30">
        <f t="shared" si="13"/>
        <v>173425.75563499448</v>
      </c>
      <c r="S35" s="30">
        <f t="shared" si="5"/>
        <v>173425.75563499451</v>
      </c>
      <c r="T35" s="30">
        <f t="shared" si="14"/>
        <v>173425.75563499451</v>
      </c>
      <c r="U35">
        <f t="shared" si="15"/>
        <v>0</v>
      </c>
      <c r="V35" s="30">
        <f t="shared" si="16"/>
        <v>173425.75563499451</v>
      </c>
      <c r="W35" s="30">
        <f t="shared" si="6"/>
        <v>173425.75563499451</v>
      </c>
      <c r="X35" s="30">
        <f t="shared" si="17"/>
        <v>173425.75563499451</v>
      </c>
      <c r="Y35">
        <f t="shared" si="18"/>
        <v>0</v>
      </c>
    </row>
    <row r="36" spans="1:25" hidden="1" x14ac:dyDescent="0.25">
      <c r="A36" s="4" t="s">
        <v>726</v>
      </c>
      <c r="B36" s="7" t="s">
        <v>342</v>
      </c>
      <c r="C36" s="2" t="s">
        <v>727</v>
      </c>
      <c r="D36">
        <f>VLOOKUP(B36,'Model allocations'!$A$1:$L$319,4,FALSE)</f>
        <v>0</v>
      </c>
      <c r="E36" s="32">
        <f>VLOOKUP(B36,'Initial adjusted formula count'!$A$1:$P$319,12,FALSE)</f>
        <v>9.2178770949720698E-2</v>
      </c>
      <c r="F36">
        <f>VLOOKUP(B36,'Model allocations'!$A$1:$L$319,9,FALSE)</f>
        <v>0</v>
      </c>
      <c r="G36" s="31">
        <f t="shared" si="7"/>
        <v>0.85</v>
      </c>
      <c r="H36">
        <f t="shared" si="8"/>
        <v>0</v>
      </c>
      <c r="I36">
        <f t="shared" si="0"/>
        <v>0</v>
      </c>
      <c r="J36">
        <f t="shared" si="1"/>
        <v>0</v>
      </c>
      <c r="K36">
        <f t="shared" si="2"/>
        <v>0</v>
      </c>
      <c r="L36">
        <f t="shared" si="9"/>
        <v>0</v>
      </c>
      <c r="M36">
        <f t="shared" si="3"/>
        <v>0</v>
      </c>
      <c r="N36" s="30">
        <f t="shared" si="10"/>
        <v>0</v>
      </c>
      <c r="O36" s="30">
        <f t="shared" si="4"/>
        <v>0</v>
      </c>
      <c r="P36" s="30">
        <f t="shared" si="11"/>
        <v>0</v>
      </c>
      <c r="Q36">
        <f t="shared" si="12"/>
        <v>0</v>
      </c>
      <c r="R36" s="30">
        <f t="shared" si="13"/>
        <v>0</v>
      </c>
      <c r="S36" s="30">
        <f t="shared" si="5"/>
        <v>0</v>
      </c>
      <c r="T36" s="30">
        <f t="shared" si="14"/>
        <v>0</v>
      </c>
      <c r="U36">
        <f t="shared" si="15"/>
        <v>0</v>
      </c>
      <c r="V36" s="30">
        <f t="shared" si="16"/>
        <v>0</v>
      </c>
      <c r="W36" s="30">
        <f t="shared" si="6"/>
        <v>0</v>
      </c>
      <c r="X36" s="30">
        <f t="shared" si="17"/>
        <v>0</v>
      </c>
      <c r="Y36">
        <f t="shared" si="18"/>
        <v>0</v>
      </c>
    </row>
    <row r="37" spans="1:25" x14ac:dyDescent="0.25">
      <c r="A37" s="4" t="s">
        <v>728</v>
      </c>
      <c r="B37" s="7" t="s">
        <v>272</v>
      </c>
      <c r="C37" s="2" t="s">
        <v>729</v>
      </c>
      <c r="D37">
        <f>VLOOKUP(B37,'Model allocations'!$A$1:$L$319,4,FALSE)</f>
        <v>0</v>
      </c>
      <c r="E37" s="32">
        <f>VLOOKUP(B37,'Initial adjusted formula count'!$A$1:$P$319,12,FALSE)</f>
        <v>0.141643967312931</v>
      </c>
      <c r="F37">
        <f>VLOOKUP(B37,'Model allocations'!$A$1:$L$319,9,FALSE)</f>
        <v>0</v>
      </c>
      <c r="G37" s="31">
        <f t="shared" si="7"/>
        <v>0.85</v>
      </c>
      <c r="H37">
        <f t="shared" si="8"/>
        <v>0</v>
      </c>
      <c r="I37">
        <f t="shared" si="0"/>
        <v>0</v>
      </c>
      <c r="J37">
        <f t="shared" si="1"/>
        <v>0</v>
      </c>
      <c r="K37">
        <f t="shared" si="2"/>
        <v>0</v>
      </c>
      <c r="L37">
        <f t="shared" si="9"/>
        <v>0</v>
      </c>
      <c r="M37">
        <f t="shared" si="3"/>
        <v>0</v>
      </c>
      <c r="N37" s="30">
        <f t="shared" si="10"/>
        <v>0</v>
      </c>
      <c r="O37" s="30">
        <f t="shared" si="4"/>
        <v>0</v>
      </c>
      <c r="P37" s="30">
        <f t="shared" si="11"/>
        <v>0</v>
      </c>
      <c r="Q37">
        <f t="shared" si="12"/>
        <v>0</v>
      </c>
      <c r="R37" s="30">
        <f t="shared" si="13"/>
        <v>0</v>
      </c>
      <c r="S37" s="30">
        <f t="shared" si="5"/>
        <v>0</v>
      </c>
      <c r="T37" s="30">
        <f t="shared" si="14"/>
        <v>0</v>
      </c>
      <c r="U37">
        <f t="shared" si="15"/>
        <v>0</v>
      </c>
      <c r="V37" s="30">
        <f t="shared" si="16"/>
        <v>0</v>
      </c>
      <c r="W37" s="30">
        <f t="shared" si="6"/>
        <v>0</v>
      </c>
      <c r="X37" s="30">
        <f t="shared" si="17"/>
        <v>0</v>
      </c>
      <c r="Y37">
        <f t="shared" si="18"/>
        <v>0</v>
      </c>
    </row>
    <row r="38" spans="1:25" hidden="1" x14ac:dyDescent="0.25">
      <c r="A38" s="4" t="s">
        <v>730</v>
      </c>
      <c r="B38" s="7" t="s">
        <v>344</v>
      </c>
      <c r="C38" s="2" t="s">
        <v>731</v>
      </c>
      <c r="D38">
        <f>VLOOKUP(B38,'Model allocations'!$A$1:$L$319,4,FALSE)</f>
        <v>43909.310021547004</v>
      </c>
      <c r="E38" s="32">
        <f>VLOOKUP(B38,'Initial adjusted formula count'!$A$1:$P$319,12,FALSE)</f>
        <v>0.171641791044776</v>
      </c>
      <c r="F38">
        <f>VLOOKUP(B38,'Model allocations'!$A$1:$L$319,9,FALSE)</f>
        <v>39518.379019392305</v>
      </c>
      <c r="G38" s="31">
        <f t="shared" si="7"/>
        <v>0.9</v>
      </c>
      <c r="H38">
        <f t="shared" si="8"/>
        <v>39518.379019392305</v>
      </c>
      <c r="I38">
        <f t="shared" si="0"/>
        <v>0</v>
      </c>
      <c r="J38">
        <f t="shared" si="1"/>
        <v>39518.379019392305</v>
      </c>
      <c r="K38">
        <f t="shared" si="2"/>
        <v>39450.535513880866</v>
      </c>
      <c r="L38">
        <f t="shared" si="9"/>
        <v>39450.535513880866</v>
      </c>
      <c r="M38">
        <f t="shared" si="3"/>
        <v>39518.379019392305</v>
      </c>
      <c r="N38" s="30">
        <f t="shared" si="10"/>
        <v>0</v>
      </c>
      <c r="O38" s="30">
        <f t="shared" si="4"/>
        <v>0</v>
      </c>
      <c r="P38" s="30">
        <f t="shared" si="11"/>
        <v>39518.379019392305</v>
      </c>
      <c r="Q38">
        <f t="shared" si="12"/>
        <v>0</v>
      </c>
      <c r="R38" s="30">
        <f t="shared" si="13"/>
        <v>0</v>
      </c>
      <c r="S38" s="30">
        <f t="shared" si="5"/>
        <v>0</v>
      </c>
      <c r="T38" s="30">
        <f t="shared" si="14"/>
        <v>39518.379019392305</v>
      </c>
      <c r="U38">
        <f t="shared" si="15"/>
        <v>0</v>
      </c>
      <c r="V38" s="30">
        <f t="shared" si="16"/>
        <v>0</v>
      </c>
      <c r="W38" s="30">
        <f t="shared" si="6"/>
        <v>0</v>
      </c>
      <c r="X38" s="30">
        <f t="shared" si="17"/>
        <v>39518.379019392305</v>
      </c>
      <c r="Y38">
        <f t="shared" si="18"/>
        <v>0</v>
      </c>
    </row>
    <row r="39" spans="1:25" x14ac:dyDescent="0.25">
      <c r="A39" s="4" t="s">
        <v>732</v>
      </c>
      <c r="B39" s="7" t="s">
        <v>113</v>
      </c>
      <c r="C39" s="2" t="s">
        <v>733</v>
      </c>
      <c r="D39">
        <f>VLOOKUP(B39,'Model allocations'!$A$1:$L$319,4,FALSE)</f>
        <v>44224.026802577864</v>
      </c>
      <c r="E39" s="32">
        <f>VLOOKUP(B39,'Initial adjusted formula count'!$A$1:$P$319,12,FALSE)</f>
        <v>0.15190972222222199</v>
      </c>
      <c r="F39">
        <f>VLOOKUP(B39,'Model allocations'!$A$1:$L$319,9,FALSE)</f>
        <v>39801.624122320078</v>
      </c>
      <c r="G39" s="31">
        <f t="shared" si="7"/>
        <v>0.9</v>
      </c>
      <c r="H39">
        <f t="shared" si="8"/>
        <v>39801.624122320078</v>
      </c>
      <c r="I39">
        <f t="shared" si="0"/>
        <v>0</v>
      </c>
      <c r="J39">
        <f t="shared" si="1"/>
        <v>39801.624122320078</v>
      </c>
      <c r="K39">
        <f t="shared" si="2"/>
        <v>39733.294353424913</v>
      </c>
      <c r="L39">
        <f t="shared" si="9"/>
        <v>39733.294353424913</v>
      </c>
      <c r="M39">
        <f t="shared" si="3"/>
        <v>39801.624122320078</v>
      </c>
      <c r="N39" s="30">
        <f t="shared" si="10"/>
        <v>0</v>
      </c>
      <c r="O39" s="30">
        <f t="shared" si="4"/>
        <v>0</v>
      </c>
      <c r="P39" s="30">
        <f t="shared" si="11"/>
        <v>39801.624122320078</v>
      </c>
      <c r="Q39">
        <f t="shared" si="12"/>
        <v>0</v>
      </c>
      <c r="R39" s="30">
        <f t="shared" si="13"/>
        <v>0</v>
      </c>
      <c r="S39" s="30">
        <f t="shared" si="5"/>
        <v>0</v>
      </c>
      <c r="T39" s="30">
        <f t="shared" si="14"/>
        <v>39801.624122320078</v>
      </c>
      <c r="U39">
        <f t="shared" si="15"/>
        <v>0</v>
      </c>
      <c r="V39" s="30">
        <f t="shared" si="16"/>
        <v>0</v>
      </c>
      <c r="W39" s="30">
        <f t="shared" si="6"/>
        <v>0</v>
      </c>
      <c r="X39" s="30">
        <f t="shared" si="17"/>
        <v>39801.624122320078</v>
      </c>
      <c r="Y39">
        <f t="shared" si="18"/>
        <v>0</v>
      </c>
    </row>
    <row r="40" spans="1:25" hidden="1" x14ac:dyDescent="0.25">
      <c r="A40" s="4" t="s">
        <v>734</v>
      </c>
      <c r="B40" s="7" t="s">
        <v>346</v>
      </c>
      <c r="C40" s="2" t="s">
        <v>735</v>
      </c>
      <c r="D40">
        <f>VLOOKUP(B40,'Model allocations'!$A$1:$L$319,4,FALSE)</f>
        <v>124842.94647617673</v>
      </c>
      <c r="E40" s="32">
        <f>VLOOKUP(B40,'Initial adjusted formula count'!$A$1:$P$319,12,FALSE)</f>
        <v>0.21323792486583201</v>
      </c>
      <c r="F40">
        <f>VLOOKUP(B40,'Model allocations'!$A$1:$L$319,9,FALSE)</f>
        <v>135112.30680696745</v>
      </c>
      <c r="G40" s="31">
        <f t="shared" si="7"/>
        <v>0.9</v>
      </c>
      <c r="H40">
        <f t="shared" si="8"/>
        <v>112358.65182855906</v>
      </c>
      <c r="I40">
        <f t="shared" si="0"/>
        <v>0</v>
      </c>
      <c r="J40">
        <f t="shared" si="1"/>
        <v>135112.30680696745</v>
      </c>
      <c r="K40">
        <f t="shared" si="2"/>
        <v>134880.35163170524</v>
      </c>
      <c r="L40">
        <f t="shared" si="9"/>
        <v>134880.35163170524</v>
      </c>
      <c r="M40">
        <f t="shared" si="3"/>
        <v>0</v>
      </c>
      <c r="N40" s="30">
        <f t="shared" si="10"/>
        <v>134880.35163170524</v>
      </c>
      <c r="O40" s="30">
        <f t="shared" si="4"/>
        <v>134761.0826055498</v>
      </c>
      <c r="P40" s="30">
        <f t="shared" si="11"/>
        <v>134761.0826055498</v>
      </c>
      <c r="Q40">
        <f t="shared" si="12"/>
        <v>0</v>
      </c>
      <c r="R40" s="30">
        <f t="shared" si="13"/>
        <v>134761.0826055498</v>
      </c>
      <c r="S40" s="30">
        <f t="shared" si="5"/>
        <v>134761.08260554983</v>
      </c>
      <c r="T40" s="30">
        <f t="shared" si="14"/>
        <v>134761.08260554983</v>
      </c>
      <c r="U40">
        <f t="shared" si="15"/>
        <v>0</v>
      </c>
      <c r="V40" s="30">
        <f t="shared" si="16"/>
        <v>134761.08260554983</v>
      </c>
      <c r="W40" s="30">
        <f t="shared" si="6"/>
        <v>134761.08260554983</v>
      </c>
      <c r="X40" s="30">
        <f t="shared" si="17"/>
        <v>134761.08260554983</v>
      </c>
      <c r="Y40">
        <f t="shared" si="18"/>
        <v>0</v>
      </c>
    </row>
    <row r="41" spans="1:25" hidden="1" x14ac:dyDescent="0.25">
      <c r="A41" s="4" t="s">
        <v>736</v>
      </c>
      <c r="B41" s="7" t="s">
        <v>348</v>
      </c>
      <c r="C41" s="2" t="s">
        <v>737</v>
      </c>
      <c r="D41">
        <f>VLOOKUP(B41,'Model allocations'!$A$1:$L$319,4,FALSE)</f>
        <v>27198.625249114968</v>
      </c>
      <c r="E41" s="32">
        <f>VLOOKUP(B41,'Initial adjusted formula count'!$A$1:$P$319,12,FALSE)</f>
        <v>0.145951035781544</v>
      </c>
      <c r="F41">
        <f>VLOOKUP(B41,'Model allocations'!$A$1:$L$319,9,FALSE)</f>
        <v>23118.831461747723</v>
      </c>
      <c r="G41" s="31">
        <f t="shared" si="7"/>
        <v>0.85</v>
      </c>
      <c r="H41">
        <f t="shared" si="8"/>
        <v>23118.831461747723</v>
      </c>
      <c r="I41">
        <f t="shared" si="0"/>
        <v>0</v>
      </c>
      <c r="J41">
        <f t="shared" si="1"/>
        <v>23118.831461747723</v>
      </c>
      <c r="K41">
        <f t="shared" si="2"/>
        <v>23079.142015757963</v>
      </c>
      <c r="L41">
        <f t="shared" si="9"/>
        <v>23079.142015757963</v>
      </c>
      <c r="M41">
        <f t="shared" si="3"/>
        <v>23118.831461747723</v>
      </c>
      <c r="N41" s="30">
        <f t="shared" si="10"/>
        <v>0</v>
      </c>
      <c r="O41" s="30">
        <f t="shared" si="4"/>
        <v>0</v>
      </c>
      <c r="P41" s="30">
        <f t="shared" si="11"/>
        <v>23118.831461747723</v>
      </c>
      <c r="Q41">
        <f t="shared" si="12"/>
        <v>0</v>
      </c>
      <c r="R41" s="30">
        <f t="shared" si="13"/>
        <v>0</v>
      </c>
      <c r="S41" s="30">
        <f t="shared" si="5"/>
        <v>0</v>
      </c>
      <c r="T41" s="30">
        <f t="shared" si="14"/>
        <v>23118.831461747723</v>
      </c>
      <c r="U41">
        <f t="shared" si="15"/>
        <v>0</v>
      </c>
      <c r="V41" s="30">
        <f t="shared" si="16"/>
        <v>0</v>
      </c>
      <c r="W41" s="30">
        <f t="shared" si="6"/>
        <v>0</v>
      </c>
      <c r="X41" s="30">
        <f t="shared" si="17"/>
        <v>23118.831461747723</v>
      </c>
      <c r="Y41">
        <f t="shared" si="18"/>
        <v>0</v>
      </c>
    </row>
    <row r="42" spans="1:25" hidden="1" x14ac:dyDescent="0.25">
      <c r="A42" s="4" t="s">
        <v>738</v>
      </c>
      <c r="B42" s="7" t="s">
        <v>350</v>
      </c>
      <c r="C42" s="2" t="s">
        <v>739</v>
      </c>
      <c r="D42">
        <f>VLOOKUP(B42,'Model allocations'!$A$1:$L$319,4,FALSE)</f>
        <v>376428.97344775125</v>
      </c>
      <c r="E42" s="32">
        <f>VLOOKUP(B42,'Initial adjusted formula count'!$A$1:$P$319,12,FALSE)</f>
        <v>0.14597953216374299</v>
      </c>
      <c r="F42">
        <f>VLOOKUP(B42,'Model allocations'!$A$1:$L$319,9,FALSE)</f>
        <v>319964.62743058853</v>
      </c>
      <c r="G42" s="31">
        <f t="shared" si="7"/>
        <v>0.85</v>
      </c>
      <c r="H42">
        <f t="shared" si="8"/>
        <v>319964.62743058853</v>
      </c>
      <c r="I42">
        <f t="shared" si="0"/>
        <v>0</v>
      </c>
      <c r="J42">
        <f t="shared" si="1"/>
        <v>319964.62743058853</v>
      </c>
      <c r="K42">
        <f t="shared" si="2"/>
        <v>319415.32549809024</v>
      </c>
      <c r="L42">
        <f t="shared" si="9"/>
        <v>319415.32549809024</v>
      </c>
      <c r="M42">
        <f t="shared" si="3"/>
        <v>319964.62743058853</v>
      </c>
      <c r="N42" s="30">
        <f t="shared" si="10"/>
        <v>0</v>
      </c>
      <c r="O42" s="30">
        <f t="shared" si="4"/>
        <v>0</v>
      </c>
      <c r="P42" s="30">
        <f t="shared" si="11"/>
        <v>319964.62743058853</v>
      </c>
      <c r="Q42">
        <f t="shared" si="12"/>
        <v>0</v>
      </c>
      <c r="R42" s="30">
        <f t="shared" si="13"/>
        <v>0</v>
      </c>
      <c r="S42" s="30">
        <f t="shared" si="5"/>
        <v>0</v>
      </c>
      <c r="T42" s="30">
        <f t="shared" si="14"/>
        <v>319964.62743058853</v>
      </c>
      <c r="U42">
        <f t="shared" si="15"/>
        <v>0</v>
      </c>
      <c r="V42" s="30">
        <f t="shared" si="16"/>
        <v>0</v>
      </c>
      <c r="W42" s="30">
        <f t="shared" si="6"/>
        <v>0</v>
      </c>
      <c r="X42" s="30">
        <f t="shared" si="17"/>
        <v>319964.62743058853</v>
      </c>
      <c r="Y42">
        <f t="shared" si="18"/>
        <v>0</v>
      </c>
    </row>
    <row r="43" spans="1:25" x14ac:dyDescent="0.25">
      <c r="A43" s="4" t="s">
        <v>740</v>
      </c>
      <c r="B43" s="7" t="s">
        <v>274</v>
      </c>
      <c r="C43" s="2" t="s">
        <v>741</v>
      </c>
      <c r="D43">
        <f>VLOOKUP(B43,'Model allocations'!$A$1:$L$319,4,FALSE)</f>
        <v>0</v>
      </c>
      <c r="E43" s="32">
        <f>VLOOKUP(B43,'Initial adjusted formula count'!$A$1:$P$319,12,FALSE)</f>
        <v>7.5376884422110602E-2</v>
      </c>
      <c r="F43">
        <f>VLOOKUP(B43,'Model allocations'!$A$1:$L$319,9,FALSE)</f>
        <v>0</v>
      </c>
      <c r="G43" s="31">
        <f t="shared" si="7"/>
        <v>0.85</v>
      </c>
      <c r="H43">
        <f t="shared" si="8"/>
        <v>0</v>
      </c>
      <c r="I43">
        <f t="shared" si="0"/>
        <v>0</v>
      </c>
      <c r="J43">
        <f t="shared" si="1"/>
        <v>0</v>
      </c>
      <c r="K43">
        <f t="shared" si="2"/>
        <v>0</v>
      </c>
      <c r="L43">
        <f t="shared" si="9"/>
        <v>0</v>
      </c>
      <c r="M43">
        <f t="shared" si="3"/>
        <v>0</v>
      </c>
      <c r="N43" s="30">
        <f t="shared" si="10"/>
        <v>0</v>
      </c>
      <c r="O43" s="30">
        <f t="shared" si="4"/>
        <v>0</v>
      </c>
      <c r="P43" s="30">
        <f t="shared" si="11"/>
        <v>0</v>
      </c>
      <c r="Q43">
        <f t="shared" si="12"/>
        <v>0</v>
      </c>
      <c r="R43" s="30">
        <f t="shared" si="13"/>
        <v>0</v>
      </c>
      <c r="S43" s="30">
        <f t="shared" si="5"/>
        <v>0</v>
      </c>
      <c r="T43" s="30">
        <f t="shared" si="14"/>
        <v>0</v>
      </c>
      <c r="U43">
        <f t="shared" si="15"/>
        <v>0</v>
      </c>
      <c r="V43" s="30">
        <f t="shared" si="16"/>
        <v>0</v>
      </c>
      <c r="W43" s="30">
        <f t="shared" si="6"/>
        <v>0</v>
      </c>
      <c r="X43" s="30">
        <f t="shared" si="17"/>
        <v>0</v>
      </c>
      <c r="Y43">
        <f t="shared" si="18"/>
        <v>0</v>
      </c>
    </row>
    <row r="44" spans="1:25" hidden="1" x14ac:dyDescent="0.25">
      <c r="A44" s="4" t="s">
        <v>742</v>
      </c>
      <c r="B44" s="7" t="s">
        <v>352</v>
      </c>
      <c r="C44" s="2" t="s">
        <v>743</v>
      </c>
      <c r="D44">
        <f>VLOOKUP(B44,'Model allocations'!$A$1:$L$319,4,FALSE)</f>
        <v>0</v>
      </c>
      <c r="E44" s="32">
        <f>VLOOKUP(B44,'Initial adjusted formula count'!$A$1:$P$319,12,FALSE)</f>
        <v>0.10515970515970501</v>
      </c>
      <c r="F44">
        <f>VLOOKUP(B44,'Model allocations'!$A$1:$L$319,9,FALSE)</f>
        <v>0</v>
      </c>
      <c r="G44" s="31">
        <f t="shared" si="7"/>
        <v>0.85</v>
      </c>
      <c r="H44">
        <f t="shared" si="8"/>
        <v>0</v>
      </c>
      <c r="I44">
        <f t="shared" si="0"/>
        <v>0</v>
      </c>
      <c r="J44">
        <f t="shared" si="1"/>
        <v>0</v>
      </c>
      <c r="K44">
        <f t="shared" si="2"/>
        <v>0</v>
      </c>
      <c r="L44">
        <f t="shared" si="9"/>
        <v>0</v>
      </c>
      <c r="M44">
        <f t="shared" si="3"/>
        <v>0</v>
      </c>
      <c r="N44" s="30">
        <f t="shared" si="10"/>
        <v>0</v>
      </c>
      <c r="O44" s="30">
        <f t="shared" si="4"/>
        <v>0</v>
      </c>
      <c r="P44" s="30">
        <f t="shared" si="11"/>
        <v>0</v>
      </c>
      <c r="Q44">
        <f t="shared" si="12"/>
        <v>0</v>
      </c>
      <c r="R44" s="30">
        <f t="shared" si="13"/>
        <v>0</v>
      </c>
      <c r="S44" s="30">
        <f t="shared" si="5"/>
        <v>0</v>
      </c>
      <c r="T44" s="30">
        <f t="shared" si="14"/>
        <v>0</v>
      </c>
      <c r="U44">
        <f t="shared" si="15"/>
        <v>0</v>
      </c>
      <c r="V44" s="30">
        <f t="shared" si="16"/>
        <v>0</v>
      </c>
      <c r="W44" s="30">
        <f t="shared" si="6"/>
        <v>0</v>
      </c>
      <c r="X44" s="30">
        <f t="shared" si="17"/>
        <v>0</v>
      </c>
      <c r="Y44">
        <f t="shared" si="18"/>
        <v>0</v>
      </c>
    </row>
    <row r="45" spans="1:25" x14ac:dyDescent="0.25">
      <c r="A45" s="4" t="s">
        <v>744</v>
      </c>
      <c r="B45" s="7" t="s">
        <v>354</v>
      </c>
      <c r="C45" s="2" t="s">
        <v>745</v>
      </c>
      <c r="D45">
        <f>VLOOKUP(B45,'Model allocations'!$A$1:$L$319,4,FALSE)</f>
        <v>0</v>
      </c>
      <c r="E45" s="32">
        <f>VLOOKUP(B45,'Initial adjusted formula count'!$A$1:$P$319,12,FALSE)</f>
        <v>7.0833333333333304E-2</v>
      </c>
      <c r="F45">
        <f>VLOOKUP(B45,'Model allocations'!$A$1:$L$319,9,FALSE)</f>
        <v>0</v>
      </c>
      <c r="G45" s="31">
        <f t="shared" si="7"/>
        <v>0.85</v>
      </c>
      <c r="H45">
        <f t="shared" si="8"/>
        <v>0</v>
      </c>
      <c r="I45">
        <f t="shared" si="0"/>
        <v>0</v>
      </c>
      <c r="J45">
        <f t="shared" si="1"/>
        <v>0</v>
      </c>
      <c r="K45">
        <f t="shared" si="2"/>
        <v>0</v>
      </c>
      <c r="L45">
        <f t="shared" si="9"/>
        <v>0</v>
      </c>
      <c r="M45">
        <f t="shared" si="3"/>
        <v>0</v>
      </c>
      <c r="N45" s="30">
        <f t="shared" si="10"/>
        <v>0</v>
      </c>
      <c r="O45" s="30">
        <f t="shared" si="4"/>
        <v>0</v>
      </c>
      <c r="P45" s="30">
        <f t="shared" si="11"/>
        <v>0</v>
      </c>
      <c r="Q45">
        <f t="shared" si="12"/>
        <v>0</v>
      </c>
      <c r="R45" s="30">
        <f t="shared" si="13"/>
        <v>0</v>
      </c>
      <c r="S45" s="30">
        <f t="shared" si="5"/>
        <v>0</v>
      </c>
      <c r="T45" s="30">
        <f t="shared" si="14"/>
        <v>0</v>
      </c>
      <c r="U45">
        <f t="shared" si="15"/>
        <v>0</v>
      </c>
      <c r="V45" s="30">
        <f t="shared" si="16"/>
        <v>0</v>
      </c>
      <c r="W45" s="30">
        <f t="shared" si="6"/>
        <v>0</v>
      </c>
      <c r="X45" s="30">
        <f t="shared" si="17"/>
        <v>0</v>
      </c>
      <c r="Y45">
        <f t="shared" si="18"/>
        <v>0</v>
      </c>
    </row>
    <row r="46" spans="1:25" hidden="1" x14ac:dyDescent="0.25">
      <c r="A46" s="4" t="s">
        <v>746</v>
      </c>
      <c r="B46" s="7" t="s">
        <v>356</v>
      </c>
      <c r="C46" s="2" t="s">
        <v>747</v>
      </c>
      <c r="D46">
        <f>VLOOKUP(B46,'Model allocations'!$A$1:$L$319,4,FALSE)</f>
        <v>9098.7232177552505</v>
      </c>
      <c r="E46" s="32">
        <f>VLOOKUP(B46,'Initial adjusted formula count'!$A$1:$P$319,12,FALSE)</f>
        <v>0.20487804878048799</v>
      </c>
      <c r="F46">
        <f>VLOOKUP(B46,'Model allocations'!$A$1:$L$319,9,FALSE)</f>
        <v>9521.3370568668306</v>
      </c>
      <c r="G46" s="31">
        <f t="shared" si="7"/>
        <v>0.9</v>
      </c>
      <c r="H46">
        <f t="shared" si="8"/>
        <v>8188.8508959797255</v>
      </c>
      <c r="I46">
        <f t="shared" si="0"/>
        <v>0</v>
      </c>
      <c r="J46">
        <f t="shared" si="1"/>
        <v>9521.3370568668306</v>
      </c>
      <c r="K46">
        <f t="shared" si="2"/>
        <v>9504.9912223684878</v>
      </c>
      <c r="L46">
        <f t="shared" si="9"/>
        <v>9504.9912223684878</v>
      </c>
      <c r="M46">
        <f t="shared" si="3"/>
        <v>0</v>
      </c>
      <c r="N46" s="30">
        <f t="shared" si="10"/>
        <v>9504.9912223684878</v>
      </c>
      <c r="O46" s="30">
        <f t="shared" si="4"/>
        <v>9496.5863581092126</v>
      </c>
      <c r="P46" s="30">
        <f t="shared" si="11"/>
        <v>9496.5863581092126</v>
      </c>
      <c r="Q46">
        <f t="shared" si="12"/>
        <v>0</v>
      </c>
      <c r="R46" s="30">
        <f t="shared" si="13"/>
        <v>9496.5863581092126</v>
      </c>
      <c r="S46" s="30">
        <f t="shared" si="5"/>
        <v>9496.5863581092162</v>
      </c>
      <c r="T46" s="30">
        <f t="shared" si="14"/>
        <v>9496.5863581092162</v>
      </c>
      <c r="U46">
        <f t="shared" si="15"/>
        <v>0</v>
      </c>
      <c r="V46" s="30">
        <f t="shared" si="16"/>
        <v>9496.5863581092162</v>
      </c>
      <c r="W46" s="30">
        <f t="shared" si="6"/>
        <v>9496.5863581092162</v>
      </c>
      <c r="X46" s="30">
        <f t="shared" si="17"/>
        <v>9496.5863581092162</v>
      </c>
      <c r="Y46">
        <f t="shared" si="18"/>
        <v>0</v>
      </c>
    </row>
    <row r="47" spans="1:25" hidden="1" x14ac:dyDescent="0.25">
      <c r="A47" s="4" t="s">
        <v>748</v>
      </c>
      <c r="B47" s="7" t="s">
        <v>357</v>
      </c>
      <c r="C47" s="2" t="s">
        <v>749</v>
      </c>
      <c r="D47">
        <f>VLOOKUP(B47,'Model allocations'!$A$1:$L$319,4,FALSE)</f>
        <v>26556.665580142275</v>
      </c>
      <c r="E47" s="32">
        <f>VLOOKUP(B47,'Initial adjusted formula count'!$A$1:$P$319,12,FALSE)</f>
        <v>0.134920634920635</v>
      </c>
      <c r="F47">
        <f>VLOOKUP(B47,'Model allocations'!$A$1:$L$319,9,FALSE)</f>
        <v>22573.165743120931</v>
      </c>
      <c r="G47" s="31">
        <f t="shared" si="7"/>
        <v>0.85</v>
      </c>
      <c r="H47">
        <f t="shared" si="8"/>
        <v>22573.165743120931</v>
      </c>
      <c r="I47">
        <f t="shared" si="0"/>
        <v>0</v>
      </c>
      <c r="J47">
        <f t="shared" si="1"/>
        <v>22573.165743120931</v>
      </c>
      <c r="K47">
        <f t="shared" si="2"/>
        <v>22534.413073287167</v>
      </c>
      <c r="L47">
        <f t="shared" si="9"/>
        <v>22534.413073287167</v>
      </c>
      <c r="M47">
        <f t="shared" si="3"/>
        <v>22573.165743120931</v>
      </c>
      <c r="N47" s="30">
        <f t="shared" si="10"/>
        <v>0</v>
      </c>
      <c r="O47" s="30">
        <f t="shared" si="4"/>
        <v>0</v>
      </c>
      <c r="P47" s="30">
        <f t="shared" si="11"/>
        <v>22573.165743120931</v>
      </c>
      <c r="Q47">
        <f t="shared" si="12"/>
        <v>0</v>
      </c>
      <c r="R47" s="30">
        <f t="shared" si="13"/>
        <v>0</v>
      </c>
      <c r="S47" s="30">
        <f t="shared" si="5"/>
        <v>0</v>
      </c>
      <c r="T47" s="30">
        <f t="shared" si="14"/>
        <v>22573.165743120931</v>
      </c>
      <c r="U47">
        <f t="shared" si="15"/>
        <v>0</v>
      </c>
      <c r="V47" s="30">
        <f t="shared" si="16"/>
        <v>0</v>
      </c>
      <c r="W47" s="30">
        <f t="shared" si="6"/>
        <v>0</v>
      </c>
      <c r="X47" s="30">
        <f t="shared" si="17"/>
        <v>22573.165743120931</v>
      </c>
      <c r="Y47">
        <f t="shared" si="18"/>
        <v>0</v>
      </c>
    </row>
    <row r="48" spans="1:25" hidden="1" x14ac:dyDescent="0.25">
      <c r="A48" s="4" t="s">
        <v>750</v>
      </c>
      <c r="B48" s="7" t="s">
        <v>358</v>
      </c>
      <c r="C48" s="2" t="s">
        <v>751</v>
      </c>
      <c r="D48">
        <f>VLOOKUP(B48,'Model allocations'!$A$1:$L$319,4,FALSE)</f>
        <v>76175.357171904412</v>
      </c>
      <c r="E48" s="32">
        <f>VLOOKUP(B48,'Initial adjusted formula count'!$A$1:$P$319,12,FALSE)</f>
        <v>0.16166166166166199</v>
      </c>
      <c r="F48">
        <f>VLOOKUP(B48,'Model allocations'!$A$1:$L$319,9,FALSE)</f>
        <v>73223.61593733303</v>
      </c>
      <c r="G48" s="31">
        <f t="shared" si="7"/>
        <v>0.9</v>
      </c>
      <c r="H48">
        <f t="shared" si="8"/>
        <v>68557.82145471398</v>
      </c>
      <c r="I48">
        <f t="shared" si="0"/>
        <v>0</v>
      </c>
      <c r="J48">
        <f t="shared" si="1"/>
        <v>73223.61593733303</v>
      </c>
      <c r="K48">
        <f t="shared" si="2"/>
        <v>73097.908686310067</v>
      </c>
      <c r="L48">
        <f t="shared" si="9"/>
        <v>73097.908686310067</v>
      </c>
      <c r="M48">
        <f t="shared" si="3"/>
        <v>0</v>
      </c>
      <c r="N48" s="30">
        <f t="shared" si="10"/>
        <v>73097.908686310067</v>
      </c>
      <c r="O48" s="30">
        <f t="shared" si="4"/>
        <v>73033.271277839944</v>
      </c>
      <c r="P48" s="30">
        <f t="shared" si="11"/>
        <v>73033.271277839944</v>
      </c>
      <c r="Q48">
        <f t="shared" si="12"/>
        <v>0</v>
      </c>
      <c r="R48" s="30">
        <f t="shared" si="13"/>
        <v>73033.271277839944</v>
      </c>
      <c r="S48" s="30">
        <f t="shared" si="5"/>
        <v>73033.271277839958</v>
      </c>
      <c r="T48" s="30">
        <f t="shared" si="14"/>
        <v>73033.271277839958</v>
      </c>
      <c r="U48">
        <f t="shared" si="15"/>
        <v>0</v>
      </c>
      <c r="V48" s="30">
        <f t="shared" si="16"/>
        <v>73033.271277839958</v>
      </c>
      <c r="W48" s="30">
        <f t="shared" si="6"/>
        <v>73033.271277839958</v>
      </c>
      <c r="X48" s="30">
        <f t="shared" si="17"/>
        <v>73033.271277839958</v>
      </c>
      <c r="Y48">
        <f t="shared" si="18"/>
        <v>0</v>
      </c>
    </row>
    <row r="49" spans="1:25" hidden="1" x14ac:dyDescent="0.25">
      <c r="A49" s="4" t="s">
        <v>752</v>
      </c>
      <c r="B49" s="7" t="s">
        <v>360</v>
      </c>
      <c r="C49" s="2" t="s">
        <v>753</v>
      </c>
      <c r="D49">
        <f>VLOOKUP(B49,'Model allocations'!$A$1:$L$319,4,FALSE)</f>
        <v>31104.937511860986</v>
      </c>
      <c r="E49" s="32">
        <f>VLOOKUP(B49,'Initial adjusted formula count'!$A$1:$P$319,12,FALSE)</f>
        <v>0.19553072625698301</v>
      </c>
      <c r="F49">
        <f>VLOOKUP(B49,'Model allocations'!$A$1:$L$319,9,FALSE)</f>
        <v>31737.790189556104</v>
      </c>
      <c r="G49" s="31">
        <f t="shared" si="7"/>
        <v>0.9</v>
      </c>
      <c r="H49">
        <f t="shared" si="8"/>
        <v>27994.443760674887</v>
      </c>
      <c r="I49">
        <f t="shared" si="0"/>
        <v>0</v>
      </c>
      <c r="J49">
        <f t="shared" si="1"/>
        <v>31737.790189556104</v>
      </c>
      <c r="K49">
        <f t="shared" si="2"/>
        <v>31683.304074561627</v>
      </c>
      <c r="L49">
        <f t="shared" si="9"/>
        <v>31683.304074561627</v>
      </c>
      <c r="M49">
        <f t="shared" si="3"/>
        <v>0</v>
      </c>
      <c r="N49" s="30">
        <f t="shared" si="10"/>
        <v>31683.304074561627</v>
      </c>
      <c r="O49" s="30">
        <f t="shared" si="4"/>
        <v>31655.287860364046</v>
      </c>
      <c r="P49" s="30">
        <f t="shared" si="11"/>
        <v>31655.287860364046</v>
      </c>
      <c r="Q49">
        <f t="shared" si="12"/>
        <v>0</v>
      </c>
      <c r="R49" s="30">
        <f t="shared" si="13"/>
        <v>31655.287860364046</v>
      </c>
      <c r="S49" s="30">
        <f t="shared" si="5"/>
        <v>31655.287860364053</v>
      </c>
      <c r="T49" s="30">
        <f t="shared" si="14"/>
        <v>31655.287860364053</v>
      </c>
      <c r="U49">
        <f t="shared" si="15"/>
        <v>0</v>
      </c>
      <c r="V49" s="30">
        <f t="shared" si="16"/>
        <v>31655.287860364053</v>
      </c>
      <c r="W49" s="30">
        <f t="shared" si="6"/>
        <v>31655.287860364053</v>
      </c>
      <c r="X49" s="30">
        <f t="shared" si="17"/>
        <v>31655.287860364053</v>
      </c>
      <c r="Y49">
        <f t="shared" si="18"/>
        <v>0</v>
      </c>
    </row>
    <row r="50" spans="1:25" x14ac:dyDescent="0.25">
      <c r="A50" s="4" t="s">
        <v>754</v>
      </c>
      <c r="B50" s="7" t="s">
        <v>115</v>
      </c>
      <c r="C50" s="2" t="s">
        <v>755</v>
      </c>
      <c r="D50">
        <f>VLOOKUP(B50,'Model allocations'!$A$1:$L$319,4,FALSE)</f>
        <v>0</v>
      </c>
      <c r="E50" s="32">
        <f>VLOOKUP(B50,'Initial adjusted formula count'!$A$1:$P$319,12,FALSE)</f>
        <v>0.10885608856088599</v>
      </c>
      <c r="F50">
        <f>VLOOKUP(B50,'Model allocations'!$A$1:$L$319,9,FALSE)</f>
        <v>0</v>
      </c>
      <c r="G50" s="31">
        <f t="shared" si="7"/>
        <v>0.85</v>
      </c>
      <c r="H50">
        <f t="shared" si="8"/>
        <v>0</v>
      </c>
      <c r="I50">
        <f t="shared" si="0"/>
        <v>0</v>
      </c>
      <c r="J50">
        <f t="shared" si="1"/>
        <v>0</v>
      </c>
      <c r="K50">
        <f t="shared" si="2"/>
        <v>0</v>
      </c>
      <c r="L50">
        <f t="shared" si="9"/>
        <v>0</v>
      </c>
      <c r="M50">
        <f t="shared" si="3"/>
        <v>0</v>
      </c>
      <c r="N50" s="30">
        <f t="shared" si="10"/>
        <v>0</v>
      </c>
      <c r="O50" s="30">
        <f t="shared" si="4"/>
        <v>0</v>
      </c>
      <c r="P50" s="30">
        <f t="shared" si="11"/>
        <v>0</v>
      </c>
      <c r="Q50">
        <f t="shared" si="12"/>
        <v>0</v>
      </c>
      <c r="R50" s="30">
        <f t="shared" si="13"/>
        <v>0</v>
      </c>
      <c r="S50" s="30">
        <f t="shared" si="5"/>
        <v>0</v>
      </c>
      <c r="T50" s="30">
        <f t="shared" si="14"/>
        <v>0</v>
      </c>
      <c r="U50">
        <f t="shared" si="15"/>
        <v>0</v>
      </c>
      <c r="V50" s="30">
        <f t="shared" si="16"/>
        <v>0</v>
      </c>
      <c r="W50" s="30">
        <f t="shared" si="6"/>
        <v>0</v>
      </c>
      <c r="X50" s="30">
        <f t="shared" si="17"/>
        <v>0</v>
      </c>
      <c r="Y50">
        <f t="shared" si="18"/>
        <v>0</v>
      </c>
    </row>
    <row r="51" spans="1:25" x14ac:dyDescent="0.25">
      <c r="A51" s="4" t="s">
        <v>756</v>
      </c>
      <c r="B51" s="7" t="s">
        <v>117</v>
      </c>
      <c r="C51" s="2" t="s">
        <v>757</v>
      </c>
      <c r="D51">
        <f>VLOOKUP(B51,'Model allocations'!$A$1:$L$319,4,FALSE)</f>
        <v>0</v>
      </c>
      <c r="E51" s="32">
        <f>VLOOKUP(B51,'Initial adjusted formula count'!$A$1:$P$319,12,FALSE)</f>
        <v>0.158730158730159</v>
      </c>
      <c r="F51">
        <f>VLOOKUP(B51,'Model allocations'!$A$1:$L$319,9,FALSE)</f>
        <v>11334.925067698612</v>
      </c>
      <c r="G51" s="31">
        <f t="shared" si="7"/>
        <v>0.9</v>
      </c>
      <c r="H51">
        <f t="shared" si="8"/>
        <v>0</v>
      </c>
      <c r="I51">
        <f t="shared" si="0"/>
        <v>0</v>
      </c>
      <c r="J51">
        <f t="shared" si="1"/>
        <v>11334.925067698612</v>
      </c>
      <c r="K51">
        <f t="shared" si="2"/>
        <v>11315.465740914869</v>
      </c>
      <c r="L51">
        <f t="shared" si="9"/>
        <v>11315.465740914869</v>
      </c>
      <c r="M51">
        <f t="shared" si="3"/>
        <v>0</v>
      </c>
      <c r="N51" s="30">
        <f t="shared" si="10"/>
        <v>11315.465740914869</v>
      </c>
      <c r="O51" s="30">
        <f t="shared" si="4"/>
        <v>11305.459950130018</v>
      </c>
      <c r="P51" s="30">
        <f t="shared" si="11"/>
        <v>11305.459950130018</v>
      </c>
      <c r="Q51">
        <f t="shared" si="12"/>
        <v>0</v>
      </c>
      <c r="R51" s="30">
        <f t="shared" si="13"/>
        <v>11305.459950130018</v>
      </c>
      <c r="S51" s="30">
        <f t="shared" si="5"/>
        <v>11305.45995013002</v>
      </c>
      <c r="T51" s="30">
        <f t="shared" si="14"/>
        <v>11305.45995013002</v>
      </c>
      <c r="U51">
        <f t="shared" si="15"/>
        <v>0</v>
      </c>
      <c r="V51" s="30">
        <f t="shared" si="16"/>
        <v>11305.45995013002</v>
      </c>
      <c r="W51" s="30">
        <f t="shared" si="6"/>
        <v>11305.45995013002</v>
      </c>
      <c r="X51" s="30">
        <f t="shared" si="17"/>
        <v>11305.45995013002</v>
      </c>
      <c r="Y51">
        <f t="shared" si="18"/>
        <v>0</v>
      </c>
    </row>
    <row r="52" spans="1:25" hidden="1" x14ac:dyDescent="0.25">
      <c r="A52" s="4" t="s">
        <v>758</v>
      </c>
      <c r="B52" s="7" t="s">
        <v>362</v>
      </c>
      <c r="C52" s="2" t="s">
        <v>759</v>
      </c>
      <c r="D52">
        <f>VLOOKUP(B52,'Model allocations'!$A$1:$L$319,4,FALSE)</f>
        <v>7986.9670917721114</v>
      </c>
      <c r="E52" s="32">
        <f>VLOOKUP(B52,'Initial adjusted formula count'!$A$1:$P$319,12,FALSE)</f>
        <v>0.16194331983805699</v>
      </c>
      <c r="F52">
        <f>VLOOKUP(B52,'Model allocations'!$A$1:$L$319,9,FALSE)</f>
        <v>9067.9400541588893</v>
      </c>
      <c r="G52" s="31">
        <f t="shared" si="7"/>
        <v>0.9</v>
      </c>
      <c r="H52">
        <f t="shared" si="8"/>
        <v>7188.2703825949002</v>
      </c>
      <c r="I52">
        <f t="shared" si="0"/>
        <v>0</v>
      </c>
      <c r="J52">
        <f t="shared" si="1"/>
        <v>9067.9400541588893</v>
      </c>
      <c r="K52">
        <f t="shared" si="2"/>
        <v>9052.3725927318956</v>
      </c>
      <c r="L52">
        <f t="shared" si="9"/>
        <v>9052.3725927318956</v>
      </c>
      <c r="M52">
        <f t="shared" si="3"/>
        <v>0</v>
      </c>
      <c r="N52" s="30">
        <f t="shared" si="10"/>
        <v>9052.3725927318956</v>
      </c>
      <c r="O52" s="30">
        <f t="shared" si="4"/>
        <v>9044.3679601040149</v>
      </c>
      <c r="P52" s="30">
        <f t="shared" si="11"/>
        <v>9044.3679601040149</v>
      </c>
      <c r="Q52">
        <f t="shared" si="12"/>
        <v>0</v>
      </c>
      <c r="R52" s="30">
        <f t="shared" si="13"/>
        <v>9044.3679601040149</v>
      </c>
      <c r="S52" s="30">
        <f t="shared" si="5"/>
        <v>9044.3679601040167</v>
      </c>
      <c r="T52" s="30">
        <f t="shared" si="14"/>
        <v>9044.3679601040167</v>
      </c>
      <c r="U52">
        <f t="shared" si="15"/>
        <v>0</v>
      </c>
      <c r="V52" s="30">
        <f t="shared" si="16"/>
        <v>9044.3679601040167</v>
      </c>
      <c r="W52" s="30">
        <f t="shared" si="6"/>
        <v>9044.3679601040167</v>
      </c>
      <c r="X52" s="30">
        <f t="shared" si="17"/>
        <v>9044.3679601040167</v>
      </c>
      <c r="Y52">
        <f t="shared" si="18"/>
        <v>0</v>
      </c>
    </row>
    <row r="53" spans="1:25" hidden="1" x14ac:dyDescent="0.25">
      <c r="A53" s="4" t="s">
        <v>760</v>
      </c>
      <c r="B53" s="7" t="s">
        <v>364</v>
      </c>
      <c r="C53" s="2" t="s">
        <v>761</v>
      </c>
      <c r="D53">
        <f>VLOOKUP(B53,'Model allocations'!$A$1:$L$319,4,FALSE)</f>
        <v>0</v>
      </c>
      <c r="E53" s="32">
        <f>VLOOKUP(B53,'Initial adjusted formula count'!$A$1:$P$319,12,FALSE)</f>
        <v>8.7751371115173699E-2</v>
      </c>
      <c r="F53">
        <f>VLOOKUP(B53,'Model allocations'!$A$1:$L$319,9,FALSE)</f>
        <v>0</v>
      </c>
      <c r="G53" s="31">
        <f t="shared" si="7"/>
        <v>0.85</v>
      </c>
      <c r="H53">
        <f t="shared" si="8"/>
        <v>0</v>
      </c>
      <c r="I53">
        <f t="shared" si="0"/>
        <v>0</v>
      </c>
      <c r="J53">
        <f t="shared" si="1"/>
        <v>0</v>
      </c>
      <c r="K53">
        <f t="shared" si="2"/>
        <v>0</v>
      </c>
      <c r="L53">
        <f t="shared" si="9"/>
        <v>0</v>
      </c>
      <c r="M53">
        <f t="shared" si="3"/>
        <v>0</v>
      </c>
      <c r="N53" s="30">
        <f t="shared" si="10"/>
        <v>0</v>
      </c>
      <c r="O53" s="30">
        <f t="shared" si="4"/>
        <v>0</v>
      </c>
      <c r="P53" s="30">
        <f t="shared" si="11"/>
        <v>0</v>
      </c>
      <c r="Q53">
        <f t="shared" si="12"/>
        <v>0</v>
      </c>
      <c r="R53" s="30">
        <f t="shared" si="13"/>
        <v>0</v>
      </c>
      <c r="S53" s="30">
        <f t="shared" si="5"/>
        <v>0</v>
      </c>
      <c r="T53" s="30">
        <f t="shared" si="14"/>
        <v>0</v>
      </c>
      <c r="U53">
        <f t="shared" si="15"/>
        <v>0</v>
      </c>
      <c r="V53" s="30">
        <f t="shared" si="16"/>
        <v>0</v>
      </c>
      <c r="W53" s="30">
        <f t="shared" si="6"/>
        <v>0</v>
      </c>
      <c r="X53" s="30">
        <f t="shared" si="17"/>
        <v>0</v>
      </c>
      <c r="Y53">
        <f t="shared" si="18"/>
        <v>0</v>
      </c>
    </row>
    <row r="54" spans="1:25" hidden="1" x14ac:dyDescent="0.25">
      <c r="A54" s="4" t="s">
        <v>762</v>
      </c>
      <c r="B54" s="7" t="s">
        <v>366</v>
      </c>
      <c r="C54" s="2" t="s">
        <v>763</v>
      </c>
      <c r="D54">
        <f>VLOOKUP(B54,'Model allocations'!$A$1:$L$319,4,FALSE)</f>
        <v>12685.183028108648</v>
      </c>
      <c r="E54" s="32">
        <f>VLOOKUP(B54,'Initial adjusted formula count'!$A$1:$P$319,12,FALSE)</f>
        <v>0.20579710144927499</v>
      </c>
      <c r="F54">
        <f>VLOOKUP(B54,'Model allocations'!$A$1:$L$319,9,FALSE)</f>
        <v>16095.593596132023</v>
      </c>
      <c r="G54" s="31">
        <f t="shared" si="7"/>
        <v>0.9</v>
      </c>
      <c r="H54">
        <f t="shared" si="8"/>
        <v>11416.664725297784</v>
      </c>
      <c r="I54">
        <f t="shared" si="0"/>
        <v>0</v>
      </c>
      <c r="J54">
        <f t="shared" si="1"/>
        <v>16095.593596132023</v>
      </c>
      <c r="K54">
        <f t="shared" si="2"/>
        <v>16067.961352099108</v>
      </c>
      <c r="L54">
        <f t="shared" si="9"/>
        <v>16067.961352099108</v>
      </c>
      <c r="M54">
        <f t="shared" si="3"/>
        <v>0</v>
      </c>
      <c r="N54" s="30">
        <f t="shared" si="10"/>
        <v>16067.961352099108</v>
      </c>
      <c r="O54" s="30">
        <f t="shared" si="4"/>
        <v>16053.753129184619</v>
      </c>
      <c r="P54" s="30">
        <f t="shared" si="11"/>
        <v>16053.753129184619</v>
      </c>
      <c r="Q54">
        <f t="shared" si="12"/>
        <v>0</v>
      </c>
      <c r="R54" s="30">
        <f t="shared" si="13"/>
        <v>16053.753129184619</v>
      </c>
      <c r="S54" s="30">
        <f t="shared" si="5"/>
        <v>16053.753129184621</v>
      </c>
      <c r="T54" s="30">
        <f t="shared" si="14"/>
        <v>16053.753129184621</v>
      </c>
      <c r="U54">
        <f t="shared" si="15"/>
        <v>0</v>
      </c>
      <c r="V54" s="30">
        <f t="shared" si="16"/>
        <v>16053.753129184621</v>
      </c>
      <c r="W54" s="30">
        <f t="shared" si="6"/>
        <v>16053.753129184621</v>
      </c>
      <c r="X54" s="30">
        <f t="shared" si="17"/>
        <v>16053.753129184621</v>
      </c>
      <c r="Y54">
        <f t="shared" si="18"/>
        <v>0</v>
      </c>
    </row>
    <row r="55" spans="1:25" hidden="1" x14ac:dyDescent="0.25">
      <c r="A55" s="8" t="s">
        <v>764</v>
      </c>
      <c r="B55" s="7" t="s">
        <v>368</v>
      </c>
      <c r="C55" s="2" t="s">
        <v>765</v>
      </c>
      <c r="D55">
        <f>VLOOKUP(B55,'Model allocations'!$A$1:$L$319,4,FALSE)</f>
        <v>4020.3660729616226</v>
      </c>
      <c r="E55" s="32">
        <f>VLOOKUP(B55,'Initial adjusted formula count'!$A$1:$P$319,12,FALSE)</f>
        <v>0.114035087719298</v>
      </c>
      <c r="F55">
        <f>VLOOKUP(B55,'Model allocations'!$A$1:$L$319,9,FALSE)</f>
        <v>3417.311162017379</v>
      </c>
      <c r="G55" s="31">
        <f t="shared" si="7"/>
        <v>0.85</v>
      </c>
      <c r="H55">
        <f t="shared" si="8"/>
        <v>3417.311162017379</v>
      </c>
      <c r="I55">
        <f t="shared" si="0"/>
        <v>0</v>
      </c>
      <c r="J55">
        <f t="shared" si="1"/>
        <v>3417.311162017379</v>
      </c>
      <c r="K55">
        <f t="shared" si="2"/>
        <v>3411.4444646879956</v>
      </c>
      <c r="L55">
        <f t="shared" si="9"/>
        <v>3411.4444646879956</v>
      </c>
      <c r="M55">
        <f t="shared" si="3"/>
        <v>3417.311162017379</v>
      </c>
      <c r="N55" s="30">
        <f t="shared" si="10"/>
        <v>0</v>
      </c>
      <c r="O55" s="30">
        <f t="shared" si="4"/>
        <v>0</v>
      </c>
      <c r="P55" s="30">
        <f t="shared" si="11"/>
        <v>3417.311162017379</v>
      </c>
      <c r="Q55">
        <f t="shared" si="12"/>
        <v>0</v>
      </c>
      <c r="R55" s="30">
        <f t="shared" si="13"/>
        <v>0</v>
      </c>
      <c r="S55" s="30">
        <f t="shared" si="5"/>
        <v>0</v>
      </c>
      <c r="T55" s="30">
        <f t="shared" si="14"/>
        <v>3417.311162017379</v>
      </c>
      <c r="U55">
        <f t="shared" si="15"/>
        <v>0</v>
      </c>
      <c r="V55" s="30">
        <f t="shared" si="16"/>
        <v>0</v>
      </c>
      <c r="W55" s="30">
        <f t="shared" si="6"/>
        <v>0</v>
      </c>
      <c r="X55" s="30">
        <f t="shared" si="17"/>
        <v>3417.311162017379</v>
      </c>
      <c r="Y55">
        <f t="shared" si="18"/>
        <v>0</v>
      </c>
    </row>
    <row r="56" spans="1:25" hidden="1" x14ac:dyDescent="0.25">
      <c r="A56" s="4" t="s">
        <v>766</v>
      </c>
      <c r="B56" s="7" t="s">
        <v>370</v>
      </c>
      <c r="C56" s="2" t="s">
        <v>767</v>
      </c>
      <c r="D56">
        <f>VLOOKUP(B56,'Model allocations'!$A$1:$L$319,4,FALSE)</f>
        <v>11848.543974068243</v>
      </c>
      <c r="E56" s="32">
        <f>VLOOKUP(B56,'Initial adjusted formula count'!$A$1:$P$319,12,FALSE)</f>
        <v>0.259493670886076</v>
      </c>
      <c r="F56">
        <f>VLOOKUP(B56,'Model allocations'!$A$1:$L$319,9,FALSE)</f>
        <v>10663.68957666142</v>
      </c>
      <c r="G56" s="31">
        <f t="shared" si="7"/>
        <v>0.9</v>
      </c>
      <c r="H56">
        <f t="shared" si="8"/>
        <v>10663.68957666142</v>
      </c>
      <c r="I56">
        <f t="shared" si="0"/>
        <v>0</v>
      </c>
      <c r="J56">
        <f t="shared" si="1"/>
        <v>10663.68957666142</v>
      </c>
      <c r="K56">
        <f t="shared" si="2"/>
        <v>10645.382598983731</v>
      </c>
      <c r="L56">
        <f t="shared" si="9"/>
        <v>10645.382598983731</v>
      </c>
      <c r="M56">
        <f t="shared" si="3"/>
        <v>10663.68957666142</v>
      </c>
      <c r="N56" s="30">
        <f t="shared" si="10"/>
        <v>0</v>
      </c>
      <c r="O56" s="30">
        <f t="shared" si="4"/>
        <v>0</v>
      </c>
      <c r="P56" s="30">
        <f t="shared" si="11"/>
        <v>10663.68957666142</v>
      </c>
      <c r="Q56">
        <f t="shared" si="12"/>
        <v>0</v>
      </c>
      <c r="R56" s="30">
        <f t="shared" si="13"/>
        <v>0</v>
      </c>
      <c r="S56" s="30">
        <f t="shared" si="5"/>
        <v>0</v>
      </c>
      <c r="T56" s="30">
        <f t="shared" si="14"/>
        <v>10663.68957666142</v>
      </c>
      <c r="U56">
        <f t="shared" si="15"/>
        <v>0</v>
      </c>
      <c r="V56" s="30">
        <f t="shared" si="16"/>
        <v>0</v>
      </c>
      <c r="W56" s="30">
        <f t="shared" si="6"/>
        <v>0</v>
      </c>
      <c r="X56" s="30">
        <f t="shared" si="17"/>
        <v>10663.68957666142</v>
      </c>
      <c r="Y56">
        <f t="shared" si="18"/>
        <v>0</v>
      </c>
    </row>
    <row r="57" spans="1:25" hidden="1" x14ac:dyDescent="0.25">
      <c r="A57" s="4" t="s">
        <v>768</v>
      </c>
      <c r="B57" s="7" t="s">
        <v>372</v>
      </c>
      <c r="C57" s="2" t="s">
        <v>769</v>
      </c>
      <c r="D57">
        <f>VLOOKUP(B57,'Model allocations'!$A$1:$L$319,4,FALSE)</f>
        <v>20734.951954619424</v>
      </c>
      <c r="E57" s="32">
        <f>VLOOKUP(B57,'Initial adjusted formula count'!$A$1:$P$319,12,FALSE)</f>
        <v>0.237341772151899</v>
      </c>
      <c r="F57">
        <f>VLOOKUP(B57,'Model allocations'!$A$1:$L$319,9,FALSE)</f>
        <v>18661.456759157481</v>
      </c>
      <c r="G57" s="31">
        <f t="shared" si="7"/>
        <v>0.9</v>
      </c>
      <c r="H57">
        <f t="shared" si="8"/>
        <v>18661.456759157481</v>
      </c>
      <c r="I57">
        <f t="shared" si="0"/>
        <v>0</v>
      </c>
      <c r="J57">
        <f t="shared" si="1"/>
        <v>18661.456759157481</v>
      </c>
      <c r="K57">
        <f t="shared" si="2"/>
        <v>18629.419548221525</v>
      </c>
      <c r="L57">
        <f t="shared" si="9"/>
        <v>18629.419548221525</v>
      </c>
      <c r="M57">
        <f t="shared" si="3"/>
        <v>18661.456759157481</v>
      </c>
      <c r="N57" s="30">
        <f t="shared" si="10"/>
        <v>0</v>
      </c>
      <c r="O57" s="30">
        <f t="shared" si="4"/>
        <v>0</v>
      </c>
      <c r="P57" s="30">
        <f t="shared" si="11"/>
        <v>18661.456759157481</v>
      </c>
      <c r="Q57">
        <f t="shared" si="12"/>
        <v>0</v>
      </c>
      <c r="R57" s="30">
        <f t="shared" si="13"/>
        <v>0</v>
      </c>
      <c r="S57" s="30">
        <f t="shared" si="5"/>
        <v>0</v>
      </c>
      <c r="T57" s="30">
        <f t="shared" si="14"/>
        <v>18661.456759157481</v>
      </c>
      <c r="U57">
        <f t="shared" si="15"/>
        <v>0</v>
      </c>
      <c r="V57" s="30">
        <f t="shared" si="16"/>
        <v>0</v>
      </c>
      <c r="W57" s="30">
        <f t="shared" si="6"/>
        <v>0</v>
      </c>
      <c r="X57" s="30">
        <f t="shared" si="17"/>
        <v>18661.456759157481</v>
      </c>
      <c r="Y57">
        <f t="shared" si="18"/>
        <v>0</v>
      </c>
    </row>
    <row r="58" spans="1:25" x14ac:dyDescent="0.25">
      <c r="A58" s="4" t="s">
        <v>770</v>
      </c>
      <c r="B58" s="7" t="s">
        <v>119</v>
      </c>
      <c r="C58" s="2" t="s">
        <v>771</v>
      </c>
      <c r="D58">
        <f>VLOOKUP(B58,'Model allocations'!$A$1:$L$319,4,FALSE)</f>
        <v>0</v>
      </c>
      <c r="E58" s="32">
        <f>VLOOKUP(B58,'Initial adjusted formula count'!$A$1:$P$319,12,FALSE)</f>
        <v>1.8018018018018001E-2</v>
      </c>
      <c r="F58">
        <f>VLOOKUP(B58,'Model allocations'!$A$1:$L$319,9,FALSE)</f>
        <v>0</v>
      </c>
      <c r="G58" s="31">
        <f t="shared" si="7"/>
        <v>0.85</v>
      </c>
      <c r="H58">
        <f t="shared" si="8"/>
        <v>0</v>
      </c>
      <c r="I58">
        <f t="shared" si="0"/>
        <v>0</v>
      </c>
      <c r="J58">
        <f t="shared" si="1"/>
        <v>0</v>
      </c>
      <c r="K58">
        <f t="shared" si="2"/>
        <v>0</v>
      </c>
      <c r="L58">
        <f t="shared" si="9"/>
        <v>0</v>
      </c>
      <c r="M58">
        <f t="shared" si="3"/>
        <v>0</v>
      </c>
      <c r="N58" s="30">
        <f t="shared" si="10"/>
        <v>0</v>
      </c>
      <c r="O58" s="30">
        <f t="shared" si="4"/>
        <v>0</v>
      </c>
      <c r="P58" s="30">
        <f t="shared" si="11"/>
        <v>0</v>
      </c>
      <c r="Q58">
        <f t="shared" si="12"/>
        <v>0</v>
      </c>
      <c r="R58" s="30">
        <f t="shared" si="13"/>
        <v>0</v>
      </c>
      <c r="S58" s="30">
        <f t="shared" si="5"/>
        <v>0</v>
      </c>
      <c r="T58" s="30">
        <f t="shared" si="14"/>
        <v>0</v>
      </c>
      <c r="U58">
        <f t="shared" si="15"/>
        <v>0</v>
      </c>
      <c r="V58" s="30">
        <f t="shared" si="16"/>
        <v>0</v>
      </c>
      <c r="W58" s="30">
        <f t="shared" si="6"/>
        <v>0</v>
      </c>
      <c r="X58" s="30">
        <f t="shared" si="17"/>
        <v>0</v>
      </c>
      <c r="Y58">
        <f t="shared" si="18"/>
        <v>0</v>
      </c>
    </row>
    <row r="59" spans="1:25" x14ac:dyDescent="0.25">
      <c r="A59" s="4" t="s">
        <v>772</v>
      </c>
      <c r="B59" s="7" t="s">
        <v>276</v>
      </c>
      <c r="C59" s="2" t="s">
        <v>773</v>
      </c>
      <c r="D59">
        <f>VLOOKUP(B59,'Model allocations'!$A$1:$L$319,4,FALSE)</f>
        <v>17562.651792411303</v>
      </c>
      <c r="E59" s="32">
        <f>VLOOKUP(B59,'Initial adjusted formula count'!$A$1:$P$319,12,FALSE)</f>
        <v>0.12896825396825401</v>
      </c>
      <c r="F59">
        <f>VLOOKUP(B59,'Model allocations'!$A$1:$L$319,9,FALSE)</f>
        <v>14928.254023549607</v>
      </c>
      <c r="G59" s="31">
        <f t="shared" si="7"/>
        <v>0.85</v>
      </c>
      <c r="H59">
        <f t="shared" si="8"/>
        <v>14928.254023549607</v>
      </c>
      <c r="I59">
        <f t="shared" si="0"/>
        <v>0</v>
      </c>
      <c r="J59">
        <f t="shared" si="1"/>
        <v>14928.254023549607</v>
      </c>
      <c r="K59">
        <f t="shared" si="2"/>
        <v>14902.625819426512</v>
      </c>
      <c r="L59">
        <f t="shared" si="9"/>
        <v>14902.625819426512</v>
      </c>
      <c r="M59">
        <f t="shared" si="3"/>
        <v>14928.254023549607</v>
      </c>
      <c r="N59" s="30">
        <f t="shared" si="10"/>
        <v>0</v>
      </c>
      <c r="O59" s="30">
        <f t="shared" si="4"/>
        <v>0</v>
      </c>
      <c r="P59" s="30">
        <f t="shared" si="11"/>
        <v>14928.254023549607</v>
      </c>
      <c r="Q59">
        <f t="shared" si="12"/>
        <v>0</v>
      </c>
      <c r="R59" s="30">
        <f t="shared" si="13"/>
        <v>0</v>
      </c>
      <c r="S59" s="30">
        <f t="shared" si="5"/>
        <v>0</v>
      </c>
      <c r="T59" s="30">
        <f t="shared" si="14"/>
        <v>14928.254023549607</v>
      </c>
      <c r="U59">
        <f t="shared" si="15"/>
        <v>0</v>
      </c>
      <c r="V59" s="30">
        <f t="shared" si="16"/>
        <v>0</v>
      </c>
      <c r="W59" s="30">
        <f t="shared" si="6"/>
        <v>0</v>
      </c>
      <c r="X59" s="30">
        <f t="shared" si="17"/>
        <v>14928.254023549607</v>
      </c>
      <c r="Y59">
        <f t="shared" si="18"/>
        <v>0</v>
      </c>
    </row>
    <row r="60" spans="1:25" hidden="1" x14ac:dyDescent="0.25">
      <c r="A60" s="4" t="s">
        <v>774</v>
      </c>
      <c r="B60" s="7" t="s">
        <v>374</v>
      </c>
      <c r="C60" s="2" t="s">
        <v>775</v>
      </c>
      <c r="D60">
        <f>VLOOKUP(B60,'Model allocations'!$A$1:$L$319,4,FALSE)</f>
        <v>18969.046842958767</v>
      </c>
      <c r="E60" s="32">
        <f>VLOOKUP(B60,'Initial adjusted formula count'!$A$1:$P$319,12,FALSE)</f>
        <v>0.13775510204081601</v>
      </c>
      <c r="F60">
        <f>VLOOKUP(B60,'Model allocations'!$A$1:$L$319,9,FALSE)</f>
        <v>16123.689816514952</v>
      </c>
      <c r="G60" s="31">
        <f t="shared" si="7"/>
        <v>0.85</v>
      </c>
      <c r="H60">
        <f t="shared" si="8"/>
        <v>16123.689816514952</v>
      </c>
      <c r="I60">
        <f t="shared" si="0"/>
        <v>0</v>
      </c>
      <c r="J60">
        <f t="shared" si="1"/>
        <v>16123.689816514952</v>
      </c>
      <c r="K60">
        <f t="shared" si="2"/>
        <v>16096.009338062266</v>
      </c>
      <c r="L60">
        <f t="shared" si="9"/>
        <v>16096.009338062266</v>
      </c>
      <c r="M60">
        <f t="shared" si="3"/>
        <v>16123.689816514952</v>
      </c>
      <c r="N60" s="30">
        <f t="shared" si="10"/>
        <v>0</v>
      </c>
      <c r="O60" s="30">
        <f t="shared" si="4"/>
        <v>0</v>
      </c>
      <c r="P60" s="30">
        <f t="shared" si="11"/>
        <v>16123.689816514952</v>
      </c>
      <c r="Q60">
        <f t="shared" si="12"/>
        <v>0</v>
      </c>
      <c r="R60" s="30">
        <f t="shared" si="13"/>
        <v>0</v>
      </c>
      <c r="S60" s="30">
        <f t="shared" si="5"/>
        <v>0</v>
      </c>
      <c r="T60" s="30">
        <f t="shared" si="14"/>
        <v>16123.689816514952</v>
      </c>
      <c r="U60">
        <f t="shared" si="15"/>
        <v>0</v>
      </c>
      <c r="V60" s="30">
        <f t="shared" si="16"/>
        <v>0</v>
      </c>
      <c r="W60" s="30">
        <f t="shared" si="6"/>
        <v>0</v>
      </c>
      <c r="X60" s="30">
        <f t="shared" si="17"/>
        <v>16123.689816514952</v>
      </c>
      <c r="Y60">
        <f t="shared" si="18"/>
        <v>0</v>
      </c>
    </row>
    <row r="61" spans="1:25" hidden="1" x14ac:dyDescent="0.25">
      <c r="A61" s="4" t="s">
        <v>776</v>
      </c>
      <c r="B61" s="7" t="s">
        <v>376</v>
      </c>
      <c r="C61" s="2" t="s">
        <v>777</v>
      </c>
      <c r="D61">
        <f>VLOOKUP(B61,'Model allocations'!$A$1:$L$319,4,FALSE)</f>
        <v>21371.419651006519</v>
      </c>
      <c r="E61" s="32">
        <f>VLOOKUP(B61,'Initial adjusted formula count'!$A$1:$P$319,12,FALSE)</f>
        <v>0.15049504950494999</v>
      </c>
      <c r="F61">
        <f>VLOOKUP(B61,'Model allocations'!$A$1:$L$319,9,FALSE)</f>
        <v>19234.277685905869</v>
      </c>
      <c r="G61" s="31">
        <f t="shared" si="7"/>
        <v>0.9</v>
      </c>
      <c r="H61">
        <f t="shared" si="8"/>
        <v>19234.277685905869</v>
      </c>
      <c r="I61">
        <f t="shared" si="0"/>
        <v>0</v>
      </c>
      <c r="J61">
        <f t="shared" si="1"/>
        <v>19234.277685905869</v>
      </c>
      <c r="K61">
        <f t="shared" si="2"/>
        <v>19201.257079884759</v>
      </c>
      <c r="L61">
        <f t="shared" si="9"/>
        <v>19201.257079884759</v>
      </c>
      <c r="M61">
        <f t="shared" si="3"/>
        <v>19234.277685905869</v>
      </c>
      <c r="N61" s="30">
        <f t="shared" si="10"/>
        <v>0</v>
      </c>
      <c r="O61" s="30">
        <f t="shared" si="4"/>
        <v>0</v>
      </c>
      <c r="P61" s="30">
        <f t="shared" si="11"/>
        <v>19234.277685905869</v>
      </c>
      <c r="Q61">
        <f t="shared" si="12"/>
        <v>0</v>
      </c>
      <c r="R61" s="30">
        <f t="shared" si="13"/>
        <v>0</v>
      </c>
      <c r="S61" s="30">
        <f t="shared" si="5"/>
        <v>0</v>
      </c>
      <c r="T61" s="30">
        <f t="shared" si="14"/>
        <v>19234.277685905869</v>
      </c>
      <c r="U61">
        <f t="shared" si="15"/>
        <v>0</v>
      </c>
      <c r="V61" s="30">
        <f t="shared" si="16"/>
        <v>0</v>
      </c>
      <c r="W61" s="30">
        <f t="shared" si="6"/>
        <v>0</v>
      </c>
      <c r="X61" s="30">
        <f t="shared" si="17"/>
        <v>19234.277685905869</v>
      </c>
      <c r="Y61">
        <f t="shared" si="18"/>
        <v>0</v>
      </c>
    </row>
    <row r="62" spans="1:25" hidden="1" x14ac:dyDescent="0.25">
      <c r="A62" s="4" t="s">
        <v>778</v>
      </c>
      <c r="B62" s="7" t="s">
        <v>378</v>
      </c>
      <c r="C62" s="2" t="s">
        <v>779</v>
      </c>
      <c r="D62">
        <f>VLOOKUP(B62,'Model allocations'!$A$1:$L$319,4,FALSE)</f>
        <v>0</v>
      </c>
      <c r="E62" s="32">
        <f>VLOOKUP(B62,'Initial adjusted formula count'!$A$1:$P$319,12,FALSE)</f>
        <v>0.143942591810891</v>
      </c>
      <c r="F62">
        <f>VLOOKUP(B62,'Model allocations'!$A$1:$L$319,9,FALSE)</f>
        <v>0</v>
      </c>
      <c r="G62" s="31">
        <f t="shared" si="7"/>
        <v>0.85</v>
      </c>
      <c r="H62">
        <f t="shared" si="8"/>
        <v>0</v>
      </c>
      <c r="I62">
        <f t="shared" si="0"/>
        <v>0</v>
      </c>
      <c r="J62">
        <f t="shared" si="1"/>
        <v>0</v>
      </c>
      <c r="K62">
        <f t="shared" si="2"/>
        <v>0</v>
      </c>
      <c r="L62">
        <f t="shared" si="9"/>
        <v>0</v>
      </c>
      <c r="M62">
        <f t="shared" si="3"/>
        <v>0</v>
      </c>
      <c r="N62" s="30">
        <f t="shared" si="10"/>
        <v>0</v>
      </c>
      <c r="O62" s="30">
        <f t="shared" si="4"/>
        <v>0</v>
      </c>
      <c r="P62" s="30">
        <f t="shared" si="11"/>
        <v>0</v>
      </c>
      <c r="Q62">
        <f t="shared" si="12"/>
        <v>0</v>
      </c>
      <c r="R62" s="30">
        <f t="shared" si="13"/>
        <v>0</v>
      </c>
      <c r="S62" s="30">
        <f t="shared" si="5"/>
        <v>0</v>
      </c>
      <c r="T62" s="30">
        <f t="shared" si="14"/>
        <v>0</v>
      </c>
      <c r="U62">
        <f t="shared" si="15"/>
        <v>0</v>
      </c>
      <c r="V62" s="30">
        <f t="shared" si="16"/>
        <v>0</v>
      </c>
      <c r="W62" s="30">
        <f t="shared" si="6"/>
        <v>0</v>
      </c>
      <c r="X62" s="30">
        <f t="shared" si="17"/>
        <v>0</v>
      </c>
      <c r="Y62">
        <f t="shared" si="18"/>
        <v>0</v>
      </c>
    </row>
    <row r="63" spans="1:25" x14ac:dyDescent="0.25">
      <c r="A63" s="4" t="s">
        <v>780</v>
      </c>
      <c r="B63" s="7" t="s">
        <v>278</v>
      </c>
      <c r="C63" s="2" t="s">
        <v>781</v>
      </c>
      <c r="D63">
        <f>VLOOKUP(B63,'Model allocations'!$A$1:$L$319,4,FALSE)</f>
        <v>0</v>
      </c>
      <c r="E63" s="32">
        <f>VLOOKUP(B63,'Initial adjusted formula count'!$A$1:$P$319,12,FALSE)</f>
        <v>4.0439560439560401E-2</v>
      </c>
      <c r="F63">
        <f>VLOOKUP(B63,'Model allocations'!$A$1:$L$319,9,FALSE)</f>
        <v>0</v>
      </c>
      <c r="G63" s="31">
        <f t="shared" si="7"/>
        <v>0.85</v>
      </c>
      <c r="H63">
        <f t="shared" si="8"/>
        <v>0</v>
      </c>
      <c r="I63">
        <f t="shared" si="0"/>
        <v>0</v>
      </c>
      <c r="J63">
        <f t="shared" si="1"/>
        <v>0</v>
      </c>
      <c r="K63">
        <f t="shared" si="2"/>
        <v>0</v>
      </c>
      <c r="L63">
        <f t="shared" si="9"/>
        <v>0</v>
      </c>
      <c r="M63">
        <f t="shared" si="3"/>
        <v>0</v>
      </c>
      <c r="N63" s="30">
        <f t="shared" si="10"/>
        <v>0</v>
      </c>
      <c r="O63" s="30">
        <f t="shared" si="4"/>
        <v>0</v>
      </c>
      <c r="P63" s="30">
        <f t="shared" si="11"/>
        <v>0</v>
      </c>
      <c r="Q63">
        <f t="shared" si="12"/>
        <v>0</v>
      </c>
      <c r="R63" s="30">
        <f t="shared" si="13"/>
        <v>0</v>
      </c>
      <c r="S63" s="30">
        <f t="shared" si="5"/>
        <v>0</v>
      </c>
      <c r="T63" s="30">
        <f t="shared" si="14"/>
        <v>0</v>
      </c>
      <c r="U63">
        <f t="shared" si="15"/>
        <v>0</v>
      </c>
      <c r="V63" s="30">
        <f t="shared" si="16"/>
        <v>0</v>
      </c>
      <c r="W63" s="30">
        <f t="shared" si="6"/>
        <v>0</v>
      </c>
      <c r="X63" s="30">
        <f t="shared" si="17"/>
        <v>0</v>
      </c>
      <c r="Y63">
        <f t="shared" si="18"/>
        <v>0</v>
      </c>
    </row>
    <row r="64" spans="1:25" hidden="1" x14ac:dyDescent="0.25">
      <c r="A64" s="4" t="s">
        <v>782</v>
      </c>
      <c r="B64" s="7" t="s">
        <v>380</v>
      </c>
      <c r="C64" s="2" t="s">
        <v>783</v>
      </c>
      <c r="D64">
        <f>VLOOKUP(B64,'Model allocations'!$A$1:$L$319,4,FALSE)</f>
        <v>1709.6278728015129</v>
      </c>
      <c r="E64" s="32">
        <f>VLOOKUP(B64,'Initial adjusted formula count'!$A$1:$P$319,12,FALSE)</f>
        <v>2.7027027027027001E-2</v>
      </c>
      <c r="F64">
        <f>VLOOKUP(B64,'Model allocations'!$A$1:$L$319,9,FALSE)</f>
        <v>1453.183691881286</v>
      </c>
      <c r="G64" s="31">
        <f t="shared" si="7"/>
        <v>0.85</v>
      </c>
      <c r="H64">
        <f t="shared" si="8"/>
        <v>1453.183691881286</v>
      </c>
      <c r="I64">
        <f t="shared" si="0"/>
        <v>0</v>
      </c>
      <c r="J64">
        <f t="shared" si="1"/>
        <v>1453.183691881286</v>
      </c>
      <c r="K64">
        <f t="shared" si="2"/>
        <v>1450.6889267047868</v>
      </c>
      <c r="L64">
        <f t="shared" si="9"/>
        <v>1450.6889267047868</v>
      </c>
      <c r="M64">
        <f t="shared" si="3"/>
        <v>1453.183691881286</v>
      </c>
      <c r="N64" s="30">
        <f t="shared" si="10"/>
        <v>0</v>
      </c>
      <c r="O64" s="30">
        <f t="shared" si="4"/>
        <v>0</v>
      </c>
      <c r="P64" s="30">
        <f t="shared" si="11"/>
        <v>1453.183691881286</v>
      </c>
      <c r="Q64">
        <f t="shared" si="12"/>
        <v>0</v>
      </c>
      <c r="R64" s="30">
        <f t="shared" si="13"/>
        <v>0</v>
      </c>
      <c r="S64" s="30">
        <f t="shared" si="5"/>
        <v>0</v>
      </c>
      <c r="T64" s="30">
        <f t="shared" si="14"/>
        <v>1453.183691881286</v>
      </c>
      <c r="U64">
        <f t="shared" si="15"/>
        <v>0</v>
      </c>
      <c r="V64" s="30">
        <f t="shared" si="16"/>
        <v>0</v>
      </c>
      <c r="W64" s="30">
        <f t="shared" si="6"/>
        <v>0</v>
      </c>
      <c r="X64" s="30">
        <f t="shared" si="17"/>
        <v>1453.183691881286</v>
      </c>
      <c r="Y64">
        <f t="shared" si="18"/>
        <v>0</v>
      </c>
    </row>
    <row r="65" spans="1:25" hidden="1" x14ac:dyDescent="0.25">
      <c r="A65" s="4" t="s">
        <v>784</v>
      </c>
      <c r="B65" s="7" t="s">
        <v>382</v>
      </c>
      <c r="C65" s="2" t="s">
        <v>785</v>
      </c>
      <c r="D65">
        <f>VLOOKUP(B65,'Model allocations'!$A$1:$L$319,4,FALSE)</f>
        <v>157640.66970296888</v>
      </c>
      <c r="E65" s="32">
        <f>VLOOKUP(B65,'Initial adjusted formula count'!$A$1:$P$319,12,FALSE)</f>
        <v>0.17653344731780299</v>
      </c>
      <c r="F65">
        <f>VLOOKUP(B65,'Model allocations'!$A$1:$L$319,9,FALSE)</f>
        <v>187252.96211838108</v>
      </c>
      <c r="G65" s="31">
        <f t="shared" si="7"/>
        <v>0.9</v>
      </c>
      <c r="H65">
        <f t="shared" si="8"/>
        <v>141876.60273267201</v>
      </c>
      <c r="I65">
        <f t="shared" si="0"/>
        <v>0</v>
      </c>
      <c r="J65">
        <f t="shared" si="1"/>
        <v>187252.96211838108</v>
      </c>
      <c r="K65">
        <f t="shared" si="2"/>
        <v>186931.49403991367</v>
      </c>
      <c r="L65">
        <f t="shared" si="9"/>
        <v>186931.49403991367</v>
      </c>
      <c r="M65">
        <f t="shared" si="3"/>
        <v>0</v>
      </c>
      <c r="N65" s="30">
        <f t="shared" si="10"/>
        <v>186931.49403991367</v>
      </c>
      <c r="O65" s="30">
        <f t="shared" si="4"/>
        <v>186766.19837614792</v>
      </c>
      <c r="P65" s="30">
        <f t="shared" si="11"/>
        <v>186766.19837614792</v>
      </c>
      <c r="Q65">
        <f t="shared" si="12"/>
        <v>0</v>
      </c>
      <c r="R65" s="30">
        <f t="shared" si="13"/>
        <v>186766.19837614792</v>
      </c>
      <c r="S65" s="30">
        <f t="shared" si="5"/>
        <v>186766.19837614795</v>
      </c>
      <c r="T65" s="30">
        <f t="shared" si="14"/>
        <v>186766.19837614795</v>
      </c>
      <c r="U65">
        <f t="shared" si="15"/>
        <v>0</v>
      </c>
      <c r="V65" s="30">
        <f t="shared" si="16"/>
        <v>186766.19837614795</v>
      </c>
      <c r="W65" s="30">
        <f t="shared" si="6"/>
        <v>186766.19837614795</v>
      </c>
      <c r="X65" s="30">
        <f t="shared" si="17"/>
        <v>186766.19837614795</v>
      </c>
      <c r="Y65">
        <f t="shared" si="18"/>
        <v>0</v>
      </c>
    </row>
    <row r="66" spans="1:25" hidden="1" x14ac:dyDescent="0.25">
      <c r="A66" s="4" t="s">
        <v>786</v>
      </c>
      <c r="B66" s="7" t="s">
        <v>384</v>
      </c>
      <c r="C66" s="2" t="s">
        <v>787</v>
      </c>
      <c r="D66">
        <f>VLOOKUP(B66,'Model allocations'!$A$1:$L$319,4,FALSE)</f>
        <v>0</v>
      </c>
      <c r="E66" s="32">
        <f>VLOOKUP(B66,'Initial adjusted formula count'!$A$1:$P$319,12,FALSE)</f>
        <v>0.11726659167604001</v>
      </c>
      <c r="F66">
        <f>VLOOKUP(B66,'Model allocations'!$A$1:$L$319,9,FALSE)</f>
        <v>0</v>
      </c>
      <c r="G66" s="31">
        <f t="shared" si="7"/>
        <v>0.85</v>
      </c>
      <c r="H66">
        <f t="shared" si="8"/>
        <v>0</v>
      </c>
      <c r="I66">
        <f t="shared" si="0"/>
        <v>0</v>
      </c>
      <c r="J66">
        <f t="shared" si="1"/>
        <v>0</v>
      </c>
      <c r="K66">
        <f t="shared" si="2"/>
        <v>0</v>
      </c>
      <c r="L66">
        <f t="shared" si="9"/>
        <v>0</v>
      </c>
      <c r="M66">
        <f t="shared" si="3"/>
        <v>0</v>
      </c>
      <c r="N66" s="30">
        <f t="shared" si="10"/>
        <v>0</v>
      </c>
      <c r="O66" s="30">
        <f t="shared" si="4"/>
        <v>0</v>
      </c>
      <c r="P66" s="30">
        <f t="shared" si="11"/>
        <v>0</v>
      </c>
      <c r="Q66">
        <f t="shared" si="12"/>
        <v>0</v>
      </c>
      <c r="R66" s="30">
        <f t="shared" si="13"/>
        <v>0</v>
      </c>
      <c r="S66" s="30">
        <f t="shared" si="5"/>
        <v>0</v>
      </c>
      <c r="T66" s="30">
        <f t="shared" si="14"/>
        <v>0</v>
      </c>
      <c r="U66">
        <f t="shared" si="15"/>
        <v>0</v>
      </c>
      <c r="V66" s="30">
        <f t="shared" si="16"/>
        <v>0</v>
      </c>
      <c r="W66" s="30">
        <f t="shared" si="6"/>
        <v>0</v>
      </c>
      <c r="X66" s="30">
        <f t="shared" si="17"/>
        <v>0</v>
      </c>
      <c r="Y66">
        <f t="shared" si="18"/>
        <v>0</v>
      </c>
    </row>
    <row r="67" spans="1:25" hidden="1" x14ac:dyDescent="0.25">
      <c r="A67" s="4" t="s">
        <v>788</v>
      </c>
      <c r="B67" s="7" t="s">
        <v>386</v>
      </c>
      <c r="C67" s="2" t="s">
        <v>789</v>
      </c>
      <c r="D67">
        <f>VLOOKUP(B67,'Model allocations'!$A$1:$L$319,4,FALSE)</f>
        <v>0</v>
      </c>
      <c r="E67" s="32">
        <f>VLOOKUP(B67,'Initial adjusted formula count'!$A$1:$P$319,12,FALSE)</f>
        <v>9.6442687747035599E-2</v>
      </c>
      <c r="F67">
        <f>VLOOKUP(B67,'Model allocations'!$A$1:$L$319,9,FALSE)</f>
        <v>0</v>
      </c>
      <c r="G67" s="31">
        <f t="shared" si="7"/>
        <v>0.85</v>
      </c>
      <c r="H67">
        <f t="shared" si="8"/>
        <v>0</v>
      </c>
      <c r="I67">
        <f t="shared" si="0"/>
        <v>0</v>
      </c>
      <c r="J67">
        <f t="shared" si="1"/>
        <v>0</v>
      </c>
      <c r="K67">
        <f t="shared" si="2"/>
        <v>0</v>
      </c>
      <c r="L67">
        <f t="shared" si="9"/>
        <v>0</v>
      </c>
      <c r="M67">
        <f t="shared" si="3"/>
        <v>0</v>
      </c>
      <c r="N67" s="30">
        <f t="shared" si="10"/>
        <v>0</v>
      </c>
      <c r="O67" s="30">
        <f t="shared" si="4"/>
        <v>0</v>
      </c>
      <c r="P67" s="30">
        <f t="shared" si="11"/>
        <v>0</v>
      </c>
      <c r="Q67">
        <f t="shared" si="12"/>
        <v>0</v>
      </c>
      <c r="R67" s="30">
        <f t="shared" si="13"/>
        <v>0</v>
      </c>
      <c r="S67" s="30">
        <f t="shared" si="5"/>
        <v>0</v>
      </c>
      <c r="T67" s="30">
        <f t="shared" si="14"/>
        <v>0</v>
      </c>
      <c r="U67">
        <f t="shared" si="15"/>
        <v>0</v>
      </c>
      <c r="V67" s="30">
        <f t="shared" si="16"/>
        <v>0</v>
      </c>
      <c r="W67" s="30">
        <f t="shared" si="6"/>
        <v>0</v>
      </c>
      <c r="X67" s="30">
        <f t="shared" si="17"/>
        <v>0</v>
      </c>
      <c r="Y67">
        <f t="shared" si="18"/>
        <v>0</v>
      </c>
    </row>
    <row r="68" spans="1:25" x14ac:dyDescent="0.25">
      <c r="A68" s="4" t="s">
        <v>790</v>
      </c>
      <c r="B68" s="7" t="s">
        <v>121</v>
      </c>
      <c r="C68" s="2" t="s">
        <v>791</v>
      </c>
      <c r="D68">
        <f>VLOOKUP(B68,'Model allocations'!$A$1:$L$319,4,FALSE)</f>
        <v>0</v>
      </c>
      <c r="E68" s="32">
        <f>VLOOKUP(B68,'Initial adjusted formula count'!$A$1:$P$319,12,FALSE)</f>
        <v>4.6666666666666697E-2</v>
      </c>
      <c r="F68">
        <f>VLOOKUP(B68,'Model allocations'!$A$1:$L$319,9,FALSE)</f>
        <v>0</v>
      </c>
      <c r="G68" s="31">
        <f t="shared" si="7"/>
        <v>0.85</v>
      </c>
      <c r="H68">
        <f t="shared" si="8"/>
        <v>0</v>
      </c>
      <c r="I68">
        <f t="shared" ref="I68:I131" si="19">IF(F68&lt;H68,H68,0)</f>
        <v>0</v>
      </c>
      <c r="J68">
        <f t="shared" ref="J68:J131" si="20">IF(I68=0,F68,0)</f>
        <v>0</v>
      </c>
      <c r="K68">
        <f t="shared" ref="K68:K131" si="21">(J68/$J$3)*($F$3-$I$3)</f>
        <v>0</v>
      </c>
      <c r="L68">
        <f t="shared" si="9"/>
        <v>0</v>
      </c>
      <c r="M68">
        <f t="shared" ref="M68:M131" si="22">IF(L68&lt;H68,H68,0)</f>
        <v>0</v>
      </c>
      <c r="N68" s="30">
        <f t="shared" si="10"/>
        <v>0</v>
      </c>
      <c r="O68" s="30">
        <f t="shared" ref="O68:O131" si="23">((N68/$N$3)*($F$3-$I$3-$M$3))</f>
        <v>0</v>
      </c>
      <c r="P68" s="30">
        <f t="shared" si="11"/>
        <v>0</v>
      </c>
      <c r="Q68">
        <f t="shared" si="12"/>
        <v>0</v>
      </c>
      <c r="R68" s="30">
        <f t="shared" si="13"/>
        <v>0</v>
      </c>
      <c r="S68" s="30">
        <f t="shared" ref="S68:S131" si="24">((R68/$R$3)*($F$3-$I$3-$M$3-$Q$3))</f>
        <v>0</v>
      </c>
      <c r="T68" s="30">
        <f t="shared" si="14"/>
        <v>0</v>
      </c>
      <c r="U68">
        <f t="shared" si="15"/>
        <v>0</v>
      </c>
      <c r="V68" s="30">
        <f t="shared" si="16"/>
        <v>0</v>
      </c>
      <c r="W68" s="30">
        <f t="shared" ref="W68:W131" si="25">((V68/$V$3)*($F$3-$I$3-$M$3-$Q$3-$U$3))</f>
        <v>0</v>
      </c>
      <c r="X68" s="30">
        <f t="shared" si="17"/>
        <v>0</v>
      </c>
      <c r="Y68">
        <f t="shared" si="18"/>
        <v>0</v>
      </c>
    </row>
    <row r="69" spans="1:25" x14ac:dyDescent="0.25">
      <c r="A69" s="4" t="s">
        <v>792</v>
      </c>
      <c r="B69" s="7" t="s">
        <v>123</v>
      </c>
      <c r="C69" s="2" t="s">
        <v>793</v>
      </c>
      <c r="D69">
        <f>VLOOKUP(B69,'Model allocations'!$A$1:$L$319,4,FALSE)</f>
        <v>0</v>
      </c>
      <c r="E69" s="32">
        <f>VLOOKUP(B69,'Initial adjusted formula count'!$A$1:$P$319,12,FALSE)</f>
        <v>8.4845735027223201E-2</v>
      </c>
      <c r="F69">
        <f>VLOOKUP(B69,'Model allocations'!$A$1:$L$319,9,FALSE)</f>
        <v>0</v>
      </c>
      <c r="G69" s="31">
        <f t="shared" ref="G69:G132" si="26">IF(E69&lt;0.15,0.85,IF(AND(E69&gt;=0.15,E69&lt;0.3),0.9,0.95))</f>
        <v>0.85</v>
      </c>
      <c r="H69">
        <f t="shared" ref="H69:H132" si="27">IF(F69 = 0, 0, D69*G69)</f>
        <v>0</v>
      </c>
      <c r="I69">
        <f t="shared" si="19"/>
        <v>0</v>
      </c>
      <c r="J69">
        <f t="shared" si="20"/>
        <v>0</v>
      </c>
      <c r="K69">
        <f t="shared" si="21"/>
        <v>0</v>
      </c>
      <c r="L69">
        <f t="shared" ref="L69:L132" si="28">I69+K69</f>
        <v>0</v>
      </c>
      <c r="M69">
        <f t="shared" si="22"/>
        <v>0</v>
      </c>
      <c r="N69" s="30">
        <f t="shared" ref="N69:N132" si="29">IF(I69+M69=0,L69,0)</f>
        <v>0</v>
      </c>
      <c r="O69" s="30">
        <f t="shared" si="23"/>
        <v>0</v>
      </c>
      <c r="P69" s="30">
        <f t="shared" ref="P69:P132" si="30">$I69+$M69+O69</f>
        <v>0</v>
      </c>
      <c r="Q69">
        <f t="shared" ref="Q69:Q132" si="31">IF(P69&lt;H69,H69,0)</f>
        <v>0</v>
      </c>
      <c r="R69" s="30">
        <f t="shared" ref="R69:R132" si="32">IF($I69+$M69+$Q69=0,P69,0)</f>
        <v>0</v>
      </c>
      <c r="S69" s="30">
        <f t="shared" si="24"/>
        <v>0</v>
      </c>
      <c r="T69" s="30">
        <f t="shared" ref="T69:T132" si="33">$I69+$M69+$Q69+S69</f>
        <v>0</v>
      </c>
      <c r="U69">
        <f t="shared" ref="U69:U132" si="34">IF(T69&lt;H69,H69,0)</f>
        <v>0</v>
      </c>
      <c r="V69" s="30">
        <f t="shared" ref="V69:V132" si="35">IF($I69+$M69+$Q69+U69=0,T69,0)</f>
        <v>0</v>
      </c>
      <c r="W69" s="30">
        <f t="shared" si="25"/>
        <v>0</v>
      </c>
      <c r="X69" s="30">
        <f t="shared" ref="X69:X132" si="36">$I69+$M69+$Q69+$U69+W69</f>
        <v>0</v>
      </c>
      <c r="Y69">
        <f t="shared" ref="Y69:Y132" si="37">IF(X69&lt;H69,H69,0)</f>
        <v>0</v>
      </c>
    </row>
    <row r="70" spans="1:25" x14ac:dyDescent="0.25">
      <c r="A70" s="4" t="s">
        <v>794</v>
      </c>
      <c r="B70" s="7" t="s">
        <v>125</v>
      </c>
      <c r="C70" s="2" t="s">
        <v>795</v>
      </c>
      <c r="D70">
        <f>VLOOKUP(B70,'Model allocations'!$A$1:$L$319,4,FALSE)</f>
        <v>0</v>
      </c>
      <c r="E70" s="32">
        <f>VLOOKUP(B70,'Initial adjusted formula count'!$A$1:$P$319,12,FALSE)</f>
        <v>8.7055136294280203E-2</v>
      </c>
      <c r="F70">
        <f>VLOOKUP(B70,'Model allocations'!$A$1:$L$319,9,FALSE)</f>
        <v>0</v>
      </c>
      <c r="G70" s="31">
        <f t="shared" si="26"/>
        <v>0.85</v>
      </c>
      <c r="H70">
        <f t="shared" si="27"/>
        <v>0</v>
      </c>
      <c r="I70">
        <f t="shared" si="19"/>
        <v>0</v>
      </c>
      <c r="J70">
        <f t="shared" si="20"/>
        <v>0</v>
      </c>
      <c r="K70">
        <f t="shared" si="21"/>
        <v>0</v>
      </c>
      <c r="L70">
        <f t="shared" si="28"/>
        <v>0</v>
      </c>
      <c r="M70">
        <f t="shared" si="22"/>
        <v>0</v>
      </c>
      <c r="N70" s="30">
        <f t="shared" si="29"/>
        <v>0</v>
      </c>
      <c r="O70" s="30">
        <f t="shared" si="23"/>
        <v>0</v>
      </c>
      <c r="P70" s="30">
        <f t="shared" si="30"/>
        <v>0</v>
      </c>
      <c r="Q70">
        <f t="shared" si="31"/>
        <v>0</v>
      </c>
      <c r="R70" s="30">
        <f t="shared" si="32"/>
        <v>0</v>
      </c>
      <c r="S70" s="30">
        <f t="shared" si="24"/>
        <v>0</v>
      </c>
      <c r="T70" s="30">
        <f t="shared" si="33"/>
        <v>0</v>
      </c>
      <c r="U70">
        <f t="shared" si="34"/>
        <v>0</v>
      </c>
      <c r="V70" s="30">
        <f t="shared" si="35"/>
        <v>0</v>
      </c>
      <c r="W70" s="30">
        <f t="shared" si="25"/>
        <v>0</v>
      </c>
      <c r="X70" s="30">
        <f t="shared" si="36"/>
        <v>0</v>
      </c>
      <c r="Y70">
        <f t="shared" si="37"/>
        <v>0</v>
      </c>
    </row>
    <row r="71" spans="1:25" hidden="1" x14ac:dyDescent="0.25">
      <c r="A71" s="4" t="s">
        <v>796</v>
      </c>
      <c r="B71" s="7" t="s">
        <v>388</v>
      </c>
      <c r="C71" s="2" t="s">
        <v>797</v>
      </c>
      <c r="D71">
        <f>VLOOKUP(B71,'Model allocations'!$A$1:$L$319,4,FALSE)</f>
        <v>0</v>
      </c>
      <c r="E71" s="32">
        <f>VLOOKUP(B71,'Initial adjusted formula count'!$A$1:$P$319,12,FALSE)</f>
        <v>0.112334180073384</v>
      </c>
      <c r="F71">
        <f>VLOOKUP(B71,'Model allocations'!$A$1:$L$319,9,FALSE)</f>
        <v>0</v>
      </c>
      <c r="G71" s="31">
        <f t="shared" si="26"/>
        <v>0.85</v>
      </c>
      <c r="H71">
        <f t="shared" si="27"/>
        <v>0</v>
      </c>
      <c r="I71">
        <f t="shared" si="19"/>
        <v>0</v>
      </c>
      <c r="J71">
        <f t="shared" si="20"/>
        <v>0</v>
      </c>
      <c r="K71">
        <f t="shared" si="21"/>
        <v>0</v>
      </c>
      <c r="L71">
        <f t="shared" si="28"/>
        <v>0</v>
      </c>
      <c r="M71">
        <f t="shared" si="22"/>
        <v>0</v>
      </c>
      <c r="N71" s="30">
        <f t="shared" si="29"/>
        <v>0</v>
      </c>
      <c r="O71" s="30">
        <f t="shared" si="23"/>
        <v>0</v>
      </c>
      <c r="P71" s="30">
        <f t="shared" si="30"/>
        <v>0</v>
      </c>
      <c r="Q71">
        <f t="shared" si="31"/>
        <v>0</v>
      </c>
      <c r="R71" s="30">
        <f t="shared" si="32"/>
        <v>0</v>
      </c>
      <c r="S71" s="30">
        <f t="shared" si="24"/>
        <v>0</v>
      </c>
      <c r="T71" s="30">
        <f t="shared" si="33"/>
        <v>0</v>
      </c>
      <c r="U71">
        <f t="shared" si="34"/>
        <v>0</v>
      </c>
      <c r="V71" s="30">
        <f t="shared" si="35"/>
        <v>0</v>
      </c>
      <c r="W71" s="30">
        <f t="shared" si="25"/>
        <v>0</v>
      </c>
      <c r="X71" s="30">
        <f t="shared" si="36"/>
        <v>0</v>
      </c>
      <c r="Y71">
        <f t="shared" si="37"/>
        <v>0</v>
      </c>
    </row>
    <row r="72" spans="1:25" hidden="1" x14ac:dyDescent="0.25">
      <c r="A72" s="4" t="s">
        <v>798</v>
      </c>
      <c r="B72" s="7" t="s">
        <v>390</v>
      </c>
      <c r="C72" s="2" t="s">
        <v>799</v>
      </c>
      <c r="D72">
        <f>VLOOKUP(B72,'Model allocations'!$A$1:$L$319,4,FALSE)</f>
        <v>61786.678594989178</v>
      </c>
      <c r="E72" s="32">
        <f>VLOOKUP(B72,'Initial adjusted formula count'!$A$1:$P$319,12,FALSE)</f>
        <v>0.20969773299748101</v>
      </c>
      <c r="F72">
        <f>VLOOKUP(B72,'Model allocations'!$A$1:$L$319,9,FALSE)</f>
        <v>75490.600950872729</v>
      </c>
      <c r="G72" s="31">
        <f t="shared" si="26"/>
        <v>0.9</v>
      </c>
      <c r="H72">
        <f t="shared" si="27"/>
        <v>55608.010735490265</v>
      </c>
      <c r="I72">
        <f t="shared" si="19"/>
        <v>0</v>
      </c>
      <c r="J72">
        <f t="shared" si="20"/>
        <v>75490.600950872729</v>
      </c>
      <c r="K72">
        <f t="shared" si="21"/>
        <v>75361.001834493014</v>
      </c>
      <c r="L72">
        <f t="shared" si="28"/>
        <v>75361.001834493014</v>
      </c>
      <c r="M72">
        <f t="shared" si="22"/>
        <v>0</v>
      </c>
      <c r="N72" s="30">
        <f t="shared" si="29"/>
        <v>75361.001834493014</v>
      </c>
      <c r="O72" s="30">
        <f t="shared" si="23"/>
        <v>75294.363267865905</v>
      </c>
      <c r="P72" s="30">
        <f t="shared" si="30"/>
        <v>75294.363267865905</v>
      </c>
      <c r="Q72">
        <f t="shared" si="31"/>
        <v>0</v>
      </c>
      <c r="R72" s="30">
        <f t="shared" si="32"/>
        <v>75294.363267865905</v>
      </c>
      <c r="S72" s="30">
        <f t="shared" si="24"/>
        <v>75294.36326786592</v>
      </c>
      <c r="T72" s="30">
        <f t="shared" si="33"/>
        <v>75294.36326786592</v>
      </c>
      <c r="U72">
        <f t="shared" si="34"/>
        <v>0</v>
      </c>
      <c r="V72" s="30">
        <f t="shared" si="35"/>
        <v>75294.36326786592</v>
      </c>
      <c r="W72" s="30">
        <f t="shared" si="25"/>
        <v>75294.36326786592</v>
      </c>
      <c r="X72" s="30">
        <f t="shared" si="36"/>
        <v>75294.36326786592</v>
      </c>
      <c r="Y72">
        <f t="shared" si="37"/>
        <v>0</v>
      </c>
    </row>
    <row r="73" spans="1:25" hidden="1" x14ac:dyDescent="0.25">
      <c r="A73" s="4" t="s">
        <v>800</v>
      </c>
      <c r="B73" s="7" t="s">
        <v>392</v>
      </c>
      <c r="C73" s="2" t="s">
        <v>801</v>
      </c>
      <c r="D73">
        <f>VLOOKUP(B73,'Model allocations'!$A$1:$L$319,4,FALSE)</f>
        <v>4651.2337769731721</v>
      </c>
      <c r="E73" s="32">
        <f>VLOOKUP(B73,'Initial adjusted formula count'!$A$1:$P$319,12,FALSE)</f>
        <v>0.195402298850575</v>
      </c>
      <c r="F73">
        <f>VLOOKUP(B73,'Model allocations'!$A$1:$L$319,9,FALSE)</f>
        <v>4186.1103992758553</v>
      </c>
      <c r="G73" s="31">
        <f t="shared" si="26"/>
        <v>0.9</v>
      </c>
      <c r="H73">
        <f t="shared" si="27"/>
        <v>4186.1103992758553</v>
      </c>
      <c r="I73">
        <f t="shared" si="19"/>
        <v>0</v>
      </c>
      <c r="J73">
        <f t="shared" si="20"/>
        <v>4186.1103992758553</v>
      </c>
      <c r="K73">
        <f t="shared" si="21"/>
        <v>4178.9238594685066</v>
      </c>
      <c r="L73">
        <f t="shared" si="28"/>
        <v>4178.9238594685066</v>
      </c>
      <c r="M73">
        <f t="shared" si="22"/>
        <v>4186.1103992758553</v>
      </c>
      <c r="N73" s="30">
        <f t="shared" si="29"/>
        <v>0</v>
      </c>
      <c r="O73" s="30">
        <f t="shared" si="23"/>
        <v>0</v>
      </c>
      <c r="P73" s="30">
        <f t="shared" si="30"/>
        <v>4186.1103992758553</v>
      </c>
      <c r="Q73">
        <f t="shared" si="31"/>
        <v>0</v>
      </c>
      <c r="R73" s="30">
        <f t="shared" si="32"/>
        <v>0</v>
      </c>
      <c r="S73" s="30">
        <f t="shared" si="24"/>
        <v>0</v>
      </c>
      <c r="T73" s="30">
        <f t="shared" si="33"/>
        <v>4186.1103992758553</v>
      </c>
      <c r="U73">
        <f t="shared" si="34"/>
        <v>0</v>
      </c>
      <c r="V73" s="30">
        <f t="shared" si="35"/>
        <v>0</v>
      </c>
      <c r="W73" s="30">
        <f t="shared" si="25"/>
        <v>0</v>
      </c>
      <c r="X73" s="30">
        <f t="shared" si="36"/>
        <v>4186.1103992758553</v>
      </c>
      <c r="Y73">
        <f t="shared" si="37"/>
        <v>0</v>
      </c>
    </row>
    <row r="74" spans="1:25" hidden="1" x14ac:dyDescent="0.25">
      <c r="A74" s="4" t="s">
        <v>802</v>
      </c>
      <c r="B74" s="7" t="s">
        <v>394</v>
      </c>
      <c r="C74" s="2" t="s">
        <v>803</v>
      </c>
      <c r="D74">
        <f>VLOOKUP(B74,'Model allocations'!$A$1:$L$319,4,FALSE)</f>
        <v>14177.080362548884</v>
      </c>
      <c r="E74" s="32">
        <f>VLOOKUP(B74,'Initial adjusted formula count'!$A$1:$P$319,12,FALSE)</f>
        <v>0.17733990147783299</v>
      </c>
      <c r="F74">
        <f>VLOOKUP(B74,'Model allocations'!$A$1:$L$319,9,FALSE)</f>
        <v>16322.292097486003</v>
      </c>
      <c r="G74" s="31">
        <f t="shared" si="26"/>
        <v>0.9</v>
      </c>
      <c r="H74">
        <f t="shared" si="27"/>
        <v>12759.372326293997</v>
      </c>
      <c r="I74">
        <f t="shared" si="19"/>
        <v>0</v>
      </c>
      <c r="J74">
        <f t="shared" si="20"/>
        <v>16322.292097486003</v>
      </c>
      <c r="K74">
        <f t="shared" si="21"/>
        <v>16294.270666917413</v>
      </c>
      <c r="L74">
        <f t="shared" si="28"/>
        <v>16294.270666917413</v>
      </c>
      <c r="M74">
        <f t="shared" si="22"/>
        <v>0</v>
      </c>
      <c r="N74" s="30">
        <f t="shared" si="29"/>
        <v>16294.270666917413</v>
      </c>
      <c r="O74" s="30">
        <f t="shared" si="23"/>
        <v>16279.862328187228</v>
      </c>
      <c r="P74" s="30">
        <f t="shared" si="30"/>
        <v>16279.862328187228</v>
      </c>
      <c r="Q74">
        <f t="shared" si="31"/>
        <v>0</v>
      </c>
      <c r="R74" s="30">
        <f t="shared" si="32"/>
        <v>16279.862328187228</v>
      </c>
      <c r="S74" s="30">
        <f t="shared" si="24"/>
        <v>16279.862328187231</v>
      </c>
      <c r="T74" s="30">
        <f t="shared" si="33"/>
        <v>16279.862328187231</v>
      </c>
      <c r="U74">
        <f t="shared" si="34"/>
        <v>0</v>
      </c>
      <c r="V74" s="30">
        <f t="shared" si="35"/>
        <v>16279.862328187231</v>
      </c>
      <c r="W74" s="30">
        <f t="shared" si="25"/>
        <v>16279.862328187231</v>
      </c>
      <c r="X74" s="30">
        <f t="shared" si="36"/>
        <v>16279.862328187231</v>
      </c>
      <c r="Y74">
        <f t="shared" si="37"/>
        <v>0</v>
      </c>
    </row>
    <row r="75" spans="1:25" x14ac:dyDescent="0.25">
      <c r="A75" s="4" t="s">
        <v>804</v>
      </c>
      <c r="B75" s="7" t="s">
        <v>127</v>
      </c>
      <c r="C75" s="2" t="s">
        <v>805</v>
      </c>
      <c r="D75">
        <f>VLOOKUP(B75,'Model allocations'!$A$1:$L$319,4,FALSE)</f>
        <v>0</v>
      </c>
      <c r="E75" s="32">
        <f>VLOOKUP(B75,'Initial adjusted formula count'!$A$1:$P$319,12,FALSE)</f>
        <v>6.3706563706563704E-2</v>
      </c>
      <c r="F75">
        <f>VLOOKUP(B75,'Model allocations'!$A$1:$L$319,9,FALSE)</f>
        <v>0</v>
      </c>
      <c r="G75" s="31">
        <f t="shared" si="26"/>
        <v>0.85</v>
      </c>
      <c r="H75">
        <f t="shared" si="27"/>
        <v>0</v>
      </c>
      <c r="I75">
        <f t="shared" si="19"/>
        <v>0</v>
      </c>
      <c r="J75">
        <f t="shared" si="20"/>
        <v>0</v>
      </c>
      <c r="K75">
        <f t="shared" si="21"/>
        <v>0</v>
      </c>
      <c r="L75">
        <f t="shared" si="28"/>
        <v>0</v>
      </c>
      <c r="M75">
        <f t="shared" si="22"/>
        <v>0</v>
      </c>
      <c r="N75" s="30">
        <f t="shared" si="29"/>
        <v>0</v>
      </c>
      <c r="O75" s="30">
        <f t="shared" si="23"/>
        <v>0</v>
      </c>
      <c r="P75" s="30">
        <f t="shared" si="30"/>
        <v>0</v>
      </c>
      <c r="Q75">
        <f t="shared" si="31"/>
        <v>0</v>
      </c>
      <c r="R75" s="30">
        <f t="shared" si="32"/>
        <v>0</v>
      </c>
      <c r="S75" s="30">
        <f t="shared" si="24"/>
        <v>0</v>
      </c>
      <c r="T75" s="30">
        <f t="shared" si="33"/>
        <v>0</v>
      </c>
      <c r="U75">
        <f t="shared" si="34"/>
        <v>0</v>
      </c>
      <c r="V75" s="30">
        <f t="shared" si="35"/>
        <v>0</v>
      </c>
      <c r="W75" s="30">
        <f t="shared" si="25"/>
        <v>0</v>
      </c>
      <c r="X75" s="30">
        <f t="shared" si="36"/>
        <v>0</v>
      </c>
      <c r="Y75">
        <f t="shared" si="37"/>
        <v>0</v>
      </c>
    </row>
    <row r="76" spans="1:25" hidden="1" x14ac:dyDescent="0.25">
      <c r="A76" s="4" t="s">
        <v>806</v>
      </c>
      <c r="B76" s="7" t="s">
        <v>396</v>
      </c>
      <c r="C76" s="2" t="s">
        <v>807</v>
      </c>
      <c r="D76">
        <f>VLOOKUP(B76,'Model allocations'!$A$1:$L$319,4,FALSE)</f>
        <v>0</v>
      </c>
      <c r="E76" s="32">
        <f>VLOOKUP(B76,'Initial adjusted formula count'!$A$1:$P$319,12,FALSE)</f>
        <v>0.16247848537005199</v>
      </c>
      <c r="F76">
        <f>VLOOKUP(B76,'Model allocations'!$A$1:$L$319,9,FALSE)</f>
        <v>107001.69263907487</v>
      </c>
      <c r="G76" s="31">
        <f t="shared" si="26"/>
        <v>0.9</v>
      </c>
      <c r="H76">
        <f t="shared" si="27"/>
        <v>0</v>
      </c>
      <c r="I76">
        <f t="shared" si="19"/>
        <v>0</v>
      </c>
      <c r="J76">
        <f t="shared" si="20"/>
        <v>107001.69263907487</v>
      </c>
      <c r="K76">
        <f t="shared" si="21"/>
        <v>106817.99659423633</v>
      </c>
      <c r="L76">
        <f t="shared" si="28"/>
        <v>106817.99659423633</v>
      </c>
      <c r="M76">
        <f t="shared" si="22"/>
        <v>0</v>
      </c>
      <c r="N76" s="30">
        <f t="shared" si="29"/>
        <v>106817.99659423633</v>
      </c>
      <c r="O76" s="30">
        <f t="shared" si="23"/>
        <v>106723.54192922734</v>
      </c>
      <c r="P76" s="30">
        <f t="shared" si="30"/>
        <v>106723.54192922734</v>
      </c>
      <c r="Q76">
        <f t="shared" si="31"/>
        <v>0</v>
      </c>
      <c r="R76" s="30">
        <f t="shared" si="32"/>
        <v>106723.54192922734</v>
      </c>
      <c r="S76" s="30">
        <f t="shared" si="24"/>
        <v>106723.54192922736</v>
      </c>
      <c r="T76" s="30">
        <f t="shared" si="33"/>
        <v>106723.54192922736</v>
      </c>
      <c r="U76">
        <f t="shared" si="34"/>
        <v>0</v>
      </c>
      <c r="V76" s="30">
        <f t="shared" si="35"/>
        <v>106723.54192922736</v>
      </c>
      <c r="W76" s="30">
        <f t="shared" si="25"/>
        <v>106723.54192922736</v>
      </c>
      <c r="X76" s="30">
        <f t="shared" si="36"/>
        <v>106723.54192922736</v>
      </c>
      <c r="Y76">
        <f t="shared" si="37"/>
        <v>0</v>
      </c>
    </row>
    <row r="77" spans="1:25" hidden="1" x14ac:dyDescent="0.25">
      <c r="A77" s="4" t="s">
        <v>808</v>
      </c>
      <c r="B77" s="7" t="s">
        <v>398</v>
      </c>
      <c r="C77" s="2" t="s">
        <v>809</v>
      </c>
      <c r="D77">
        <f>VLOOKUP(B77,'Model allocations'!$A$1:$L$319,4,FALSE)</f>
        <v>7734.4662052945459</v>
      </c>
      <c r="E77" s="32">
        <f>VLOOKUP(B77,'Initial adjusted formula count'!$A$1:$P$319,12,FALSE)</f>
        <v>0.171875</v>
      </c>
      <c r="F77">
        <f>VLOOKUP(B77,'Model allocations'!$A$1:$L$319,9,FALSE)</f>
        <v>6961.0195847650912</v>
      </c>
      <c r="G77" s="31">
        <f t="shared" si="26"/>
        <v>0.9</v>
      </c>
      <c r="H77">
        <f t="shared" si="27"/>
        <v>6961.0195847650912</v>
      </c>
      <c r="I77">
        <f t="shared" si="19"/>
        <v>0</v>
      </c>
      <c r="J77">
        <f t="shared" si="20"/>
        <v>6961.0195847650912</v>
      </c>
      <c r="K77">
        <f t="shared" si="21"/>
        <v>6949.0691965588212</v>
      </c>
      <c r="L77">
        <f t="shared" si="28"/>
        <v>6949.0691965588212</v>
      </c>
      <c r="M77">
        <f t="shared" si="22"/>
        <v>6961.0195847650912</v>
      </c>
      <c r="N77" s="30">
        <f t="shared" si="29"/>
        <v>0</v>
      </c>
      <c r="O77" s="30">
        <f t="shared" si="23"/>
        <v>0</v>
      </c>
      <c r="P77" s="30">
        <f t="shared" si="30"/>
        <v>6961.0195847650912</v>
      </c>
      <c r="Q77">
        <f t="shared" si="31"/>
        <v>0</v>
      </c>
      <c r="R77" s="30">
        <f t="shared" si="32"/>
        <v>0</v>
      </c>
      <c r="S77" s="30">
        <f t="shared" si="24"/>
        <v>0</v>
      </c>
      <c r="T77" s="30">
        <f t="shared" si="33"/>
        <v>6961.0195847650912</v>
      </c>
      <c r="U77">
        <f t="shared" si="34"/>
        <v>0</v>
      </c>
      <c r="V77" s="30">
        <f t="shared" si="35"/>
        <v>0</v>
      </c>
      <c r="W77" s="30">
        <f t="shared" si="25"/>
        <v>0</v>
      </c>
      <c r="X77" s="30">
        <f t="shared" si="36"/>
        <v>6961.0195847650912</v>
      </c>
      <c r="Y77">
        <f t="shared" si="37"/>
        <v>0</v>
      </c>
    </row>
    <row r="78" spans="1:25" x14ac:dyDescent="0.25">
      <c r="A78" s="4" t="s">
        <v>810</v>
      </c>
      <c r="B78" s="7" t="s">
        <v>129</v>
      </c>
      <c r="C78" s="2" t="s">
        <v>811</v>
      </c>
      <c r="D78">
        <f>VLOOKUP(B78,'Model allocations'!$A$1:$L$319,4,FALSE)</f>
        <v>0</v>
      </c>
      <c r="E78" s="32">
        <f>VLOOKUP(B78,'Initial adjusted formula count'!$A$1:$P$319,12,FALSE)</f>
        <v>0.103100469236504</v>
      </c>
      <c r="F78">
        <f>VLOOKUP(B78,'Model allocations'!$A$1:$L$319,9,FALSE)</f>
        <v>0</v>
      </c>
      <c r="G78" s="31">
        <f t="shared" si="26"/>
        <v>0.85</v>
      </c>
      <c r="H78">
        <f t="shared" si="27"/>
        <v>0</v>
      </c>
      <c r="I78">
        <f t="shared" si="19"/>
        <v>0</v>
      </c>
      <c r="J78">
        <f t="shared" si="20"/>
        <v>0</v>
      </c>
      <c r="K78">
        <f t="shared" si="21"/>
        <v>0</v>
      </c>
      <c r="L78">
        <f t="shared" si="28"/>
        <v>0</v>
      </c>
      <c r="M78">
        <f t="shared" si="22"/>
        <v>0</v>
      </c>
      <c r="N78" s="30">
        <f t="shared" si="29"/>
        <v>0</v>
      </c>
      <c r="O78" s="30">
        <f t="shared" si="23"/>
        <v>0</v>
      </c>
      <c r="P78" s="30">
        <f t="shared" si="30"/>
        <v>0</v>
      </c>
      <c r="Q78">
        <f t="shared" si="31"/>
        <v>0</v>
      </c>
      <c r="R78" s="30">
        <f t="shared" si="32"/>
        <v>0</v>
      </c>
      <c r="S78" s="30">
        <f t="shared" si="24"/>
        <v>0</v>
      </c>
      <c r="T78" s="30">
        <f t="shared" si="33"/>
        <v>0</v>
      </c>
      <c r="U78">
        <f t="shared" si="34"/>
        <v>0</v>
      </c>
      <c r="V78" s="30">
        <f t="shared" si="35"/>
        <v>0</v>
      </c>
      <c r="W78" s="30">
        <f t="shared" si="25"/>
        <v>0</v>
      </c>
      <c r="X78" s="30">
        <f t="shared" si="36"/>
        <v>0</v>
      </c>
      <c r="Y78">
        <f t="shared" si="37"/>
        <v>0</v>
      </c>
    </row>
    <row r="79" spans="1:25" x14ac:dyDescent="0.25">
      <c r="A79" s="4" t="s">
        <v>812</v>
      </c>
      <c r="B79" s="7" t="s">
        <v>280</v>
      </c>
      <c r="C79" s="2" t="s">
        <v>813</v>
      </c>
      <c r="D79">
        <f>VLOOKUP(B79,'Model allocations'!$A$1:$L$319,4,FALSE)</f>
        <v>0</v>
      </c>
      <c r="E79" s="32">
        <f>VLOOKUP(B79,'Initial adjusted formula count'!$A$1:$P$319,12,FALSE)</f>
        <v>9.9718521298555102E-2</v>
      </c>
      <c r="F79">
        <f>VLOOKUP(B79,'Model allocations'!$A$1:$L$319,9,FALSE)</f>
        <v>0</v>
      </c>
      <c r="G79" s="31">
        <f t="shared" si="26"/>
        <v>0.85</v>
      </c>
      <c r="H79">
        <f t="shared" si="27"/>
        <v>0</v>
      </c>
      <c r="I79">
        <f t="shared" si="19"/>
        <v>0</v>
      </c>
      <c r="J79">
        <f t="shared" si="20"/>
        <v>0</v>
      </c>
      <c r="K79">
        <f t="shared" si="21"/>
        <v>0</v>
      </c>
      <c r="L79">
        <f t="shared" si="28"/>
        <v>0</v>
      </c>
      <c r="M79">
        <f t="shared" si="22"/>
        <v>0</v>
      </c>
      <c r="N79" s="30">
        <f t="shared" si="29"/>
        <v>0</v>
      </c>
      <c r="O79" s="30">
        <f t="shared" si="23"/>
        <v>0</v>
      </c>
      <c r="P79" s="30">
        <f t="shared" si="30"/>
        <v>0</v>
      </c>
      <c r="Q79">
        <f t="shared" si="31"/>
        <v>0</v>
      </c>
      <c r="R79" s="30">
        <f t="shared" si="32"/>
        <v>0</v>
      </c>
      <c r="S79" s="30">
        <f t="shared" si="24"/>
        <v>0</v>
      </c>
      <c r="T79" s="30">
        <f t="shared" si="33"/>
        <v>0</v>
      </c>
      <c r="U79">
        <f t="shared" si="34"/>
        <v>0</v>
      </c>
      <c r="V79" s="30">
        <f t="shared" si="35"/>
        <v>0</v>
      </c>
      <c r="W79" s="30">
        <f t="shared" si="25"/>
        <v>0</v>
      </c>
      <c r="X79" s="30">
        <f t="shared" si="36"/>
        <v>0</v>
      </c>
      <c r="Y79">
        <f t="shared" si="37"/>
        <v>0</v>
      </c>
    </row>
    <row r="80" spans="1:25" hidden="1" x14ac:dyDescent="0.25">
      <c r="A80" s="4" t="s">
        <v>814</v>
      </c>
      <c r="B80" s="7" t="s">
        <v>400</v>
      </c>
      <c r="C80" s="2" t="s">
        <v>815</v>
      </c>
      <c r="D80">
        <f>VLOOKUP(B80,'Model allocations'!$A$1:$L$319,4,FALSE)</f>
        <v>4016.9746255677373</v>
      </c>
      <c r="E80" s="32">
        <f>VLOOKUP(B80,'Initial adjusted formula count'!$A$1:$P$319,12,FALSE)</f>
        <v>0.25</v>
      </c>
      <c r="F80">
        <f>VLOOKUP(B80,'Model allocations'!$A$1:$L$319,9,FALSE)</f>
        <v>3615.2771630109637</v>
      </c>
      <c r="G80" s="31">
        <f t="shared" si="26"/>
        <v>0.9</v>
      </c>
      <c r="H80">
        <f t="shared" si="27"/>
        <v>3615.2771630109637</v>
      </c>
      <c r="I80">
        <f t="shared" si="19"/>
        <v>0</v>
      </c>
      <c r="J80">
        <f t="shared" si="20"/>
        <v>3615.2771630109637</v>
      </c>
      <c r="K80">
        <f t="shared" si="21"/>
        <v>3609.070605904617</v>
      </c>
      <c r="L80">
        <f t="shared" si="28"/>
        <v>3609.070605904617</v>
      </c>
      <c r="M80">
        <f t="shared" si="22"/>
        <v>3615.2771630109637</v>
      </c>
      <c r="N80" s="30">
        <f t="shared" si="29"/>
        <v>0</v>
      </c>
      <c r="O80" s="30">
        <f t="shared" si="23"/>
        <v>0</v>
      </c>
      <c r="P80" s="30">
        <f t="shared" si="30"/>
        <v>3615.2771630109637</v>
      </c>
      <c r="Q80">
        <f t="shared" si="31"/>
        <v>0</v>
      </c>
      <c r="R80" s="30">
        <f t="shared" si="32"/>
        <v>0</v>
      </c>
      <c r="S80" s="30">
        <f t="shared" si="24"/>
        <v>0</v>
      </c>
      <c r="T80" s="30">
        <f t="shared" si="33"/>
        <v>3615.2771630109637</v>
      </c>
      <c r="U80">
        <f t="shared" si="34"/>
        <v>0</v>
      </c>
      <c r="V80" s="30">
        <f t="shared" si="35"/>
        <v>0</v>
      </c>
      <c r="W80" s="30">
        <f t="shared" si="25"/>
        <v>0</v>
      </c>
      <c r="X80" s="30">
        <f t="shared" si="36"/>
        <v>3615.2771630109637</v>
      </c>
      <c r="Y80">
        <f t="shared" si="37"/>
        <v>0</v>
      </c>
    </row>
    <row r="81" spans="1:25" hidden="1" x14ac:dyDescent="0.25">
      <c r="A81" s="4" t="s">
        <v>816</v>
      </c>
      <c r="B81" s="7" t="s">
        <v>402</v>
      </c>
      <c r="C81" s="2" t="s">
        <v>817</v>
      </c>
      <c r="D81">
        <f>VLOOKUP(B81,'Model allocations'!$A$1:$L$319,4,FALSE)</f>
        <v>864378.70568674908</v>
      </c>
      <c r="E81" s="32">
        <f>VLOOKUP(B81,'Initial adjusted formula count'!$A$1:$P$319,12,FALSE)</f>
        <v>0.17725043637270399</v>
      </c>
      <c r="F81">
        <f>VLOOKUP(B81,'Model allocations'!$A$1:$L$319,9,FALSE)</f>
        <v>966869.10827469162</v>
      </c>
      <c r="G81" s="31">
        <f t="shared" si="26"/>
        <v>0.9</v>
      </c>
      <c r="H81">
        <f t="shared" si="27"/>
        <v>777940.8351180742</v>
      </c>
      <c r="I81">
        <f t="shared" si="19"/>
        <v>0</v>
      </c>
      <c r="J81">
        <f t="shared" si="20"/>
        <v>966869.10827469162</v>
      </c>
      <c r="K81">
        <f t="shared" si="21"/>
        <v>965209.22770003846</v>
      </c>
      <c r="L81">
        <f t="shared" si="28"/>
        <v>965209.22770003846</v>
      </c>
      <c r="M81">
        <f t="shared" si="22"/>
        <v>0</v>
      </c>
      <c r="N81" s="30">
        <f t="shared" si="29"/>
        <v>965209.22770003846</v>
      </c>
      <c r="O81" s="30">
        <f t="shared" si="23"/>
        <v>964355.73374609067</v>
      </c>
      <c r="P81" s="30">
        <f t="shared" si="30"/>
        <v>964355.73374609067</v>
      </c>
      <c r="Q81">
        <f t="shared" si="31"/>
        <v>0</v>
      </c>
      <c r="R81" s="30">
        <f t="shared" si="32"/>
        <v>964355.73374609067</v>
      </c>
      <c r="S81" s="30">
        <f t="shared" si="24"/>
        <v>964355.7337460909</v>
      </c>
      <c r="T81" s="30">
        <f t="shared" si="33"/>
        <v>964355.7337460909</v>
      </c>
      <c r="U81">
        <f t="shared" si="34"/>
        <v>0</v>
      </c>
      <c r="V81" s="30">
        <f t="shared" si="35"/>
        <v>964355.7337460909</v>
      </c>
      <c r="W81" s="30">
        <f t="shared" si="25"/>
        <v>964355.7337460909</v>
      </c>
      <c r="X81" s="30">
        <f t="shared" si="36"/>
        <v>964355.7337460909</v>
      </c>
      <c r="Y81">
        <f t="shared" si="37"/>
        <v>0</v>
      </c>
    </row>
    <row r="82" spans="1:25" x14ac:dyDescent="0.25">
      <c r="A82" s="4" t="s">
        <v>818</v>
      </c>
      <c r="B82" s="7" t="s">
        <v>131</v>
      </c>
      <c r="C82" s="2" t="s">
        <v>819</v>
      </c>
      <c r="D82">
        <f>VLOOKUP(B82,'Model allocations'!$A$1:$L$319,4,FALSE)</f>
        <v>218157.75901175966</v>
      </c>
      <c r="E82" s="32">
        <f>VLOOKUP(B82,'Initial adjusted formula count'!$A$1:$P$319,12,FALSE)</f>
        <v>0.127856101118133</v>
      </c>
      <c r="F82">
        <f>VLOOKUP(B82,'Model allocations'!$A$1:$L$319,9,FALSE)</f>
        <v>185434.09515999569</v>
      </c>
      <c r="G82" s="31">
        <f t="shared" si="26"/>
        <v>0.85</v>
      </c>
      <c r="H82">
        <f t="shared" si="27"/>
        <v>185434.09515999569</v>
      </c>
      <c r="I82">
        <f t="shared" si="19"/>
        <v>0</v>
      </c>
      <c r="J82">
        <f t="shared" si="20"/>
        <v>185434.09515999569</v>
      </c>
      <c r="K82">
        <f t="shared" si="21"/>
        <v>185115.74963649074</v>
      </c>
      <c r="L82">
        <f t="shared" si="28"/>
        <v>185115.74963649074</v>
      </c>
      <c r="M82">
        <f t="shared" si="22"/>
        <v>185434.09515999569</v>
      </c>
      <c r="N82" s="30">
        <f t="shared" si="29"/>
        <v>0</v>
      </c>
      <c r="O82" s="30">
        <f t="shared" si="23"/>
        <v>0</v>
      </c>
      <c r="P82" s="30">
        <f t="shared" si="30"/>
        <v>185434.09515999569</v>
      </c>
      <c r="Q82">
        <f t="shared" si="31"/>
        <v>0</v>
      </c>
      <c r="R82" s="30">
        <f t="shared" si="32"/>
        <v>0</v>
      </c>
      <c r="S82" s="30">
        <f t="shared" si="24"/>
        <v>0</v>
      </c>
      <c r="T82" s="30">
        <f t="shared" si="33"/>
        <v>185434.09515999569</v>
      </c>
      <c r="U82">
        <f t="shared" si="34"/>
        <v>0</v>
      </c>
      <c r="V82" s="30">
        <f t="shared" si="35"/>
        <v>0</v>
      </c>
      <c r="W82" s="30">
        <f t="shared" si="25"/>
        <v>0</v>
      </c>
      <c r="X82" s="30">
        <f t="shared" si="36"/>
        <v>185434.09515999569</v>
      </c>
      <c r="Y82">
        <f t="shared" si="37"/>
        <v>0</v>
      </c>
    </row>
    <row r="83" spans="1:25" x14ac:dyDescent="0.25">
      <c r="A83" s="4" t="s">
        <v>820</v>
      </c>
      <c r="B83" s="7" t="s">
        <v>133</v>
      </c>
      <c r="C83" s="2" t="s">
        <v>821</v>
      </c>
      <c r="D83">
        <f>VLOOKUP(B83,'Model allocations'!$A$1:$L$319,4,FALSE)</f>
        <v>0</v>
      </c>
      <c r="E83" s="32">
        <f>VLOOKUP(B83,'Initial adjusted formula count'!$A$1:$P$319,12,FALSE)</f>
        <v>8.8828740157480296E-2</v>
      </c>
      <c r="F83">
        <f>VLOOKUP(B83,'Model allocations'!$A$1:$L$319,9,FALSE)</f>
        <v>0</v>
      </c>
      <c r="G83" s="31">
        <f t="shared" si="26"/>
        <v>0.85</v>
      </c>
      <c r="H83">
        <f t="shared" si="27"/>
        <v>0</v>
      </c>
      <c r="I83">
        <f t="shared" si="19"/>
        <v>0</v>
      </c>
      <c r="J83">
        <f t="shared" si="20"/>
        <v>0</v>
      </c>
      <c r="K83">
        <f t="shared" si="21"/>
        <v>0</v>
      </c>
      <c r="L83">
        <f t="shared" si="28"/>
        <v>0</v>
      </c>
      <c r="M83">
        <f t="shared" si="22"/>
        <v>0</v>
      </c>
      <c r="N83" s="30">
        <f t="shared" si="29"/>
        <v>0</v>
      </c>
      <c r="O83" s="30">
        <f t="shared" si="23"/>
        <v>0</v>
      </c>
      <c r="P83" s="30">
        <f t="shared" si="30"/>
        <v>0</v>
      </c>
      <c r="Q83">
        <f t="shared" si="31"/>
        <v>0</v>
      </c>
      <c r="R83" s="30">
        <f t="shared" si="32"/>
        <v>0</v>
      </c>
      <c r="S83" s="30">
        <f t="shared" si="24"/>
        <v>0</v>
      </c>
      <c r="T83" s="30">
        <f t="shared" si="33"/>
        <v>0</v>
      </c>
      <c r="U83">
        <f t="shared" si="34"/>
        <v>0</v>
      </c>
      <c r="V83" s="30">
        <f t="shared" si="35"/>
        <v>0</v>
      </c>
      <c r="W83" s="30">
        <f t="shared" si="25"/>
        <v>0</v>
      </c>
      <c r="X83" s="30">
        <f t="shared" si="36"/>
        <v>0</v>
      </c>
      <c r="Y83">
        <f t="shared" si="37"/>
        <v>0</v>
      </c>
    </row>
    <row r="84" spans="1:25" hidden="1" x14ac:dyDescent="0.25">
      <c r="A84" s="4" t="s">
        <v>822</v>
      </c>
      <c r="B84" s="7" t="s">
        <v>404</v>
      </c>
      <c r="C84" s="2" t="s">
        <v>823</v>
      </c>
      <c r="D84">
        <f>VLOOKUP(B84,'Model allocations'!$A$1:$L$319,4,FALSE)</f>
        <v>36862.136808212315</v>
      </c>
      <c r="E84" s="32">
        <f>VLOOKUP(B84,'Initial adjusted formula count'!$A$1:$P$319,12,FALSE)</f>
        <v>0.141436464088398</v>
      </c>
      <c r="F84">
        <f>VLOOKUP(B84,'Model allocations'!$A$1:$L$319,9,FALSE)</f>
        <v>31332.816286980466</v>
      </c>
      <c r="G84" s="31">
        <f t="shared" si="26"/>
        <v>0.85</v>
      </c>
      <c r="H84">
        <f t="shared" si="27"/>
        <v>31332.816286980466</v>
      </c>
      <c r="I84">
        <f t="shared" si="19"/>
        <v>0</v>
      </c>
      <c r="J84">
        <f t="shared" si="20"/>
        <v>31332.816286980466</v>
      </c>
      <c r="K84">
        <f t="shared" si="21"/>
        <v>31279.02541429787</v>
      </c>
      <c r="L84">
        <f t="shared" si="28"/>
        <v>31279.02541429787</v>
      </c>
      <c r="M84">
        <f t="shared" si="22"/>
        <v>31332.816286980466</v>
      </c>
      <c r="N84" s="30">
        <f t="shared" si="29"/>
        <v>0</v>
      </c>
      <c r="O84" s="30">
        <f t="shared" si="23"/>
        <v>0</v>
      </c>
      <c r="P84" s="30">
        <f t="shared" si="30"/>
        <v>31332.816286980466</v>
      </c>
      <c r="Q84">
        <f t="shared" si="31"/>
        <v>0</v>
      </c>
      <c r="R84" s="30">
        <f t="shared" si="32"/>
        <v>0</v>
      </c>
      <c r="S84" s="30">
        <f t="shared" si="24"/>
        <v>0</v>
      </c>
      <c r="T84" s="30">
        <f t="shared" si="33"/>
        <v>31332.816286980466</v>
      </c>
      <c r="U84">
        <f t="shared" si="34"/>
        <v>0</v>
      </c>
      <c r="V84" s="30">
        <f t="shared" si="35"/>
        <v>0</v>
      </c>
      <c r="W84" s="30">
        <f t="shared" si="25"/>
        <v>0</v>
      </c>
      <c r="X84" s="30">
        <f t="shared" si="36"/>
        <v>31332.816286980466</v>
      </c>
      <c r="Y84">
        <f t="shared" si="37"/>
        <v>0</v>
      </c>
    </row>
    <row r="85" spans="1:25" hidden="1" x14ac:dyDescent="0.25">
      <c r="A85" s="4" t="s">
        <v>824</v>
      </c>
      <c r="B85" s="7" t="s">
        <v>406</v>
      </c>
      <c r="C85" s="2" t="s">
        <v>825</v>
      </c>
      <c r="D85">
        <f>VLOOKUP(B85,'Model allocations'!$A$1:$L$319,4,FALSE)</f>
        <v>245564.73082058088</v>
      </c>
      <c r="E85" s="32">
        <f>VLOOKUP(B85,'Initial adjusted formula count'!$A$1:$P$319,12,FALSE)</f>
        <v>0.135009712928988</v>
      </c>
      <c r="F85">
        <f>VLOOKUP(B85,'Model allocations'!$A$1:$L$319,9,FALSE)</f>
        <v>208730.02119749374</v>
      </c>
      <c r="G85" s="31">
        <f t="shared" si="26"/>
        <v>0.85</v>
      </c>
      <c r="H85">
        <f t="shared" si="27"/>
        <v>208730.02119749374</v>
      </c>
      <c r="I85">
        <f t="shared" si="19"/>
        <v>0</v>
      </c>
      <c r="J85">
        <f t="shared" si="20"/>
        <v>208730.02119749374</v>
      </c>
      <c r="K85">
        <f t="shared" si="21"/>
        <v>208371.68219941476</v>
      </c>
      <c r="L85">
        <f t="shared" si="28"/>
        <v>208371.68219941476</v>
      </c>
      <c r="M85">
        <f t="shared" si="22"/>
        <v>208730.02119749374</v>
      </c>
      <c r="N85" s="30">
        <f t="shared" si="29"/>
        <v>0</v>
      </c>
      <c r="O85" s="30">
        <f t="shared" si="23"/>
        <v>0</v>
      </c>
      <c r="P85" s="30">
        <f t="shared" si="30"/>
        <v>208730.02119749374</v>
      </c>
      <c r="Q85">
        <f t="shared" si="31"/>
        <v>0</v>
      </c>
      <c r="R85" s="30">
        <f t="shared" si="32"/>
        <v>0</v>
      </c>
      <c r="S85" s="30">
        <f t="shared" si="24"/>
        <v>0</v>
      </c>
      <c r="T85" s="30">
        <f t="shared" si="33"/>
        <v>208730.02119749374</v>
      </c>
      <c r="U85">
        <f t="shared" si="34"/>
        <v>0</v>
      </c>
      <c r="V85" s="30">
        <f t="shared" si="35"/>
        <v>0</v>
      </c>
      <c r="W85" s="30">
        <f t="shared" si="25"/>
        <v>0</v>
      </c>
      <c r="X85" s="30">
        <f t="shared" si="36"/>
        <v>208730.02119749374</v>
      </c>
      <c r="Y85">
        <f t="shared" si="37"/>
        <v>0</v>
      </c>
    </row>
    <row r="86" spans="1:25" x14ac:dyDescent="0.25">
      <c r="A86" s="4" t="s">
        <v>826</v>
      </c>
      <c r="B86" s="7" t="s">
        <v>135</v>
      </c>
      <c r="C86" s="2" t="s">
        <v>827</v>
      </c>
      <c r="D86">
        <f>VLOOKUP(B86,'Model allocations'!$A$1:$L$319,4,FALSE)</f>
        <v>0</v>
      </c>
      <c r="E86" s="32">
        <f>VLOOKUP(B86,'Initial adjusted formula count'!$A$1:$P$319,12,FALSE)</f>
        <v>5.0301810865191199E-2</v>
      </c>
      <c r="F86">
        <f>VLOOKUP(B86,'Model allocations'!$A$1:$L$319,9,FALSE)</f>
        <v>0</v>
      </c>
      <c r="G86" s="31">
        <f t="shared" si="26"/>
        <v>0.85</v>
      </c>
      <c r="H86">
        <f t="shared" si="27"/>
        <v>0</v>
      </c>
      <c r="I86">
        <f t="shared" si="19"/>
        <v>0</v>
      </c>
      <c r="J86">
        <f t="shared" si="20"/>
        <v>0</v>
      </c>
      <c r="K86">
        <f t="shared" si="21"/>
        <v>0</v>
      </c>
      <c r="L86">
        <f t="shared" si="28"/>
        <v>0</v>
      </c>
      <c r="M86">
        <f t="shared" si="22"/>
        <v>0</v>
      </c>
      <c r="N86" s="30">
        <f t="shared" si="29"/>
        <v>0</v>
      </c>
      <c r="O86" s="30">
        <f t="shared" si="23"/>
        <v>0</v>
      </c>
      <c r="P86" s="30">
        <f t="shared" si="30"/>
        <v>0</v>
      </c>
      <c r="Q86">
        <f t="shared" si="31"/>
        <v>0</v>
      </c>
      <c r="R86" s="30">
        <f t="shared" si="32"/>
        <v>0</v>
      </c>
      <c r="S86" s="30">
        <f t="shared" si="24"/>
        <v>0</v>
      </c>
      <c r="T86" s="30">
        <f t="shared" si="33"/>
        <v>0</v>
      </c>
      <c r="U86">
        <f t="shared" si="34"/>
        <v>0</v>
      </c>
      <c r="V86" s="30">
        <f t="shared" si="35"/>
        <v>0</v>
      </c>
      <c r="W86" s="30">
        <f t="shared" si="25"/>
        <v>0</v>
      </c>
      <c r="X86" s="30">
        <f t="shared" si="36"/>
        <v>0</v>
      </c>
      <c r="Y86">
        <f t="shared" si="37"/>
        <v>0</v>
      </c>
    </row>
    <row r="87" spans="1:25" hidden="1" x14ac:dyDescent="0.25">
      <c r="A87" s="4" t="s">
        <v>828</v>
      </c>
      <c r="B87" s="7" t="s">
        <v>408</v>
      </c>
      <c r="C87" s="2" t="s">
        <v>829</v>
      </c>
      <c r="D87">
        <f>VLOOKUP(B87,'Model allocations'!$A$1:$L$319,4,FALSE)</f>
        <v>5750.0286932978206</v>
      </c>
      <c r="E87" s="32">
        <f>VLOOKUP(B87,'Initial adjusted formula count'!$A$1:$P$319,12,FALSE)</f>
        <v>0.27559055118110198</v>
      </c>
      <c r="F87">
        <f>VLOOKUP(B87,'Model allocations'!$A$1:$L$319,9,FALSE)</f>
        <v>7934.4475473890261</v>
      </c>
      <c r="G87" s="31">
        <f t="shared" si="26"/>
        <v>0.9</v>
      </c>
      <c r="H87">
        <f t="shared" si="27"/>
        <v>5175.0258239680388</v>
      </c>
      <c r="I87">
        <f t="shared" si="19"/>
        <v>0</v>
      </c>
      <c r="J87">
        <f t="shared" si="20"/>
        <v>7934.4475473890261</v>
      </c>
      <c r="K87">
        <f t="shared" si="21"/>
        <v>7920.8260186404068</v>
      </c>
      <c r="L87">
        <f t="shared" si="28"/>
        <v>7920.8260186404068</v>
      </c>
      <c r="M87">
        <f t="shared" si="22"/>
        <v>0</v>
      </c>
      <c r="N87" s="30">
        <f t="shared" si="29"/>
        <v>7920.8260186404068</v>
      </c>
      <c r="O87" s="30">
        <f t="shared" si="23"/>
        <v>7913.8219650910114</v>
      </c>
      <c r="P87" s="30">
        <f t="shared" si="30"/>
        <v>7913.8219650910114</v>
      </c>
      <c r="Q87">
        <f t="shared" si="31"/>
        <v>0</v>
      </c>
      <c r="R87" s="30">
        <f t="shared" si="32"/>
        <v>7913.8219650910114</v>
      </c>
      <c r="S87" s="30">
        <f t="shared" si="24"/>
        <v>7913.8219650910132</v>
      </c>
      <c r="T87" s="30">
        <f t="shared" si="33"/>
        <v>7913.8219650910132</v>
      </c>
      <c r="U87">
        <f t="shared" si="34"/>
        <v>0</v>
      </c>
      <c r="V87" s="30">
        <f t="shared" si="35"/>
        <v>7913.8219650910132</v>
      </c>
      <c r="W87" s="30">
        <f t="shared" si="25"/>
        <v>7913.8219650910132</v>
      </c>
      <c r="X87" s="30">
        <f t="shared" si="36"/>
        <v>7913.8219650910132</v>
      </c>
      <c r="Y87">
        <f t="shared" si="37"/>
        <v>0</v>
      </c>
    </row>
    <row r="88" spans="1:25" x14ac:dyDescent="0.25">
      <c r="A88" s="4" t="s">
        <v>830</v>
      </c>
      <c r="B88" s="7" t="s">
        <v>137</v>
      </c>
      <c r="C88" s="2" t="s">
        <v>831</v>
      </c>
      <c r="D88">
        <f>VLOOKUP(B88,'Model allocations'!$A$1:$L$319,4,FALSE)</f>
        <v>3385.5714298624193</v>
      </c>
      <c r="E88" s="32">
        <f>VLOOKUP(B88,'Initial adjusted formula count'!$A$1:$P$319,12,FALSE)</f>
        <v>0.21666666666666701</v>
      </c>
      <c r="F88">
        <f>VLOOKUP(B88,'Model allocations'!$A$1:$L$319,9,FALSE)</f>
        <v>3047.0142868761773</v>
      </c>
      <c r="G88" s="31">
        <f t="shared" si="26"/>
        <v>0.9</v>
      </c>
      <c r="H88">
        <f t="shared" si="27"/>
        <v>3047.0142868761773</v>
      </c>
      <c r="I88">
        <f t="shared" si="19"/>
        <v>0</v>
      </c>
      <c r="J88">
        <f t="shared" si="20"/>
        <v>3047.0142868761773</v>
      </c>
      <c r="K88">
        <f t="shared" si="21"/>
        <v>3041.7832997837245</v>
      </c>
      <c r="L88">
        <f t="shared" si="28"/>
        <v>3041.7832997837245</v>
      </c>
      <c r="M88">
        <f t="shared" si="22"/>
        <v>3047.0142868761773</v>
      </c>
      <c r="N88" s="30">
        <f t="shared" si="29"/>
        <v>0</v>
      </c>
      <c r="O88" s="30">
        <f t="shared" si="23"/>
        <v>0</v>
      </c>
      <c r="P88" s="30">
        <f t="shared" si="30"/>
        <v>3047.0142868761773</v>
      </c>
      <c r="Q88">
        <f t="shared" si="31"/>
        <v>0</v>
      </c>
      <c r="R88" s="30">
        <f t="shared" si="32"/>
        <v>0</v>
      </c>
      <c r="S88" s="30">
        <f t="shared" si="24"/>
        <v>0</v>
      </c>
      <c r="T88" s="30">
        <f t="shared" si="33"/>
        <v>3047.0142868761773</v>
      </c>
      <c r="U88">
        <f t="shared" si="34"/>
        <v>0</v>
      </c>
      <c r="V88" s="30">
        <f t="shared" si="35"/>
        <v>0</v>
      </c>
      <c r="W88" s="30">
        <f t="shared" si="25"/>
        <v>0</v>
      </c>
      <c r="X88" s="30">
        <f t="shared" si="36"/>
        <v>3047.0142868761773</v>
      </c>
      <c r="Y88">
        <f t="shared" si="37"/>
        <v>0</v>
      </c>
    </row>
    <row r="89" spans="1:25" hidden="1" x14ac:dyDescent="0.25">
      <c r="A89" s="4" t="s">
        <v>832</v>
      </c>
      <c r="B89" s="7" t="s">
        <v>410</v>
      </c>
      <c r="C89" s="2" t="s">
        <v>833</v>
      </c>
      <c r="D89">
        <f>VLOOKUP(B89,'Model allocations'!$A$1:$L$319,4,FALSE)</f>
        <v>52899.553591600299</v>
      </c>
      <c r="E89" s="32">
        <f>VLOOKUP(B89,'Initial adjusted formula count'!$A$1:$P$319,12,FALSE)</f>
        <v>0.21327014218009499</v>
      </c>
      <c r="F89">
        <f>VLOOKUP(B89,'Model allocations'!$A$1:$L$319,9,FALSE)</f>
        <v>51007.162804643733</v>
      </c>
      <c r="G89" s="31">
        <f t="shared" si="26"/>
        <v>0.9</v>
      </c>
      <c r="H89">
        <f t="shared" si="27"/>
        <v>47609.598232440272</v>
      </c>
      <c r="I89">
        <f t="shared" si="19"/>
        <v>0</v>
      </c>
      <c r="J89">
        <f t="shared" si="20"/>
        <v>51007.162804643733</v>
      </c>
      <c r="K89">
        <f t="shared" si="21"/>
        <v>50919.595834116888</v>
      </c>
      <c r="L89">
        <f t="shared" si="28"/>
        <v>50919.595834116888</v>
      </c>
      <c r="M89">
        <f t="shared" si="22"/>
        <v>0</v>
      </c>
      <c r="N89" s="30">
        <f t="shared" si="29"/>
        <v>50919.595834116888</v>
      </c>
      <c r="O89" s="30">
        <f t="shared" si="23"/>
        <v>50874.569775585056</v>
      </c>
      <c r="P89" s="30">
        <f t="shared" si="30"/>
        <v>50874.569775585056</v>
      </c>
      <c r="Q89">
        <f t="shared" si="31"/>
        <v>0</v>
      </c>
      <c r="R89" s="30">
        <f t="shared" si="32"/>
        <v>50874.569775585056</v>
      </c>
      <c r="S89" s="30">
        <f t="shared" si="24"/>
        <v>50874.569775585063</v>
      </c>
      <c r="T89" s="30">
        <f t="shared" si="33"/>
        <v>50874.569775585063</v>
      </c>
      <c r="U89">
        <f t="shared" si="34"/>
        <v>0</v>
      </c>
      <c r="V89" s="30">
        <f t="shared" si="35"/>
        <v>50874.569775585063</v>
      </c>
      <c r="W89" s="30">
        <f t="shared" si="25"/>
        <v>50874.569775585063</v>
      </c>
      <c r="X89" s="30">
        <f t="shared" si="36"/>
        <v>50874.569775585063</v>
      </c>
      <c r="Y89">
        <f t="shared" si="37"/>
        <v>0</v>
      </c>
    </row>
    <row r="90" spans="1:25" hidden="1" x14ac:dyDescent="0.25">
      <c r="A90" s="4" t="s">
        <v>834</v>
      </c>
      <c r="B90" s="7" t="s">
        <v>412</v>
      </c>
      <c r="C90" s="2" t="s">
        <v>835</v>
      </c>
      <c r="D90">
        <f>VLOOKUP(B90,'Model allocations'!$A$1:$L$319,4,FALSE)</f>
        <v>20965.788615901802</v>
      </c>
      <c r="E90" s="32">
        <f>VLOOKUP(B90,'Initial adjusted formula count'!$A$1:$P$319,12,FALSE)</f>
        <v>0.15611192930780601</v>
      </c>
      <c r="F90">
        <f>VLOOKUP(B90,'Model allocations'!$A$1:$L$319,9,FALSE)</f>
        <v>24030.041143521063</v>
      </c>
      <c r="G90" s="31">
        <f t="shared" si="26"/>
        <v>0.9</v>
      </c>
      <c r="H90">
        <f t="shared" si="27"/>
        <v>18869.209754311622</v>
      </c>
      <c r="I90">
        <f t="shared" si="19"/>
        <v>0</v>
      </c>
      <c r="J90">
        <f t="shared" si="20"/>
        <v>24030.041143521063</v>
      </c>
      <c r="K90">
        <f t="shared" si="21"/>
        <v>23988.787370739527</v>
      </c>
      <c r="L90">
        <f t="shared" si="28"/>
        <v>23988.787370739527</v>
      </c>
      <c r="M90">
        <f t="shared" si="22"/>
        <v>0</v>
      </c>
      <c r="N90" s="30">
        <f t="shared" si="29"/>
        <v>23988.787370739527</v>
      </c>
      <c r="O90" s="30">
        <f t="shared" si="23"/>
        <v>23967.575094275642</v>
      </c>
      <c r="P90" s="30">
        <f t="shared" si="30"/>
        <v>23967.575094275642</v>
      </c>
      <c r="Q90">
        <f t="shared" si="31"/>
        <v>0</v>
      </c>
      <c r="R90" s="30">
        <f t="shared" si="32"/>
        <v>23967.575094275642</v>
      </c>
      <c r="S90" s="30">
        <f t="shared" si="24"/>
        <v>23967.575094275646</v>
      </c>
      <c r="T90" s="30">
        <f t="shared" si="33"/>
        <v>23967.575094275646</v>
      </c>
      <c r="U90">
        <f t="shared" si="34"/>
        <v>0</v>
      </c>
      <c r="V90" s="30">
        <f t="shared" si="35"/>
        <v>23967.575094275646</v>
      </c>
      <c r="W90" s="30">
        <f t="shared" si="25"/>
        <v>23967.575094275646</v>
      </c>
      <c r="X90" s="30">
        <f t="shared" si="36"/>
        <v>23967.575094275646</v>
      </c>
      <c r="Y90">
        <f t="shared" si="37"/>
        <v>0</v>
      </c>
    </row>
    <row r="91" spans="1:25" hidden="1" x14ac:dyDescent="0.25">
      <c r="A91" s="4" t="s">
        <v>836</v>
      </c>
      <c r="B91" s="7" t="s">
        <v>414</v>
      </c>
      <c r="C91" s="2" t="s">
        <v>837</v>
      </c>
      <c r="D91">
        <f>VLOOKUP(B91,'Model allocations'!$A$1:$L$319,4,FALSE)</f>
        <v>133518.47326519914</v>
      </c>
      <c r="E91" s="32">
        <f>VLOOKUP(B91,'Initial adjusted formula count'!$A$1:$P$319,12,FALSE)</f>
        <v>0.17711682743837101</v>
      </c>
      <c r="F91">
        <f>VLOOKUP(B91,'Model allocations'!$A$1:$L$319,9,FALSE)</f>
        <v>149847.70939497565</v>
      </c>
      <c r="G91" s="31">
        <f t="shared" si="26"/>
        <v>0.9</v>
      </c>
      <c r="H91">
        <f t="shared" si="27"/>
        <v>120166.62593867922</v>
      </c>
      <c r="I91">
        <f t="shared" si="19"/>
        <v>0</v>
      </c>
      <c r="J91">
        <f t="shared" si="20"/>
        <v>149847.70939497565</v>
      </c>
      <c r="K91">
        <f t="shared" si="21"/>
        <v>149590.45709489458</v>
      </c>
      <c r="L91">
        <f t="shared" si="28"/>
        <v>149590.45709489458</v>
      </c>
      <c r="M91">
        <f t="shared" si="22"/>
        <v>0</v>
      </c>
      <c r="N91" s="30">
        <f t="shared" si="29"/>
        <v>149590.45709489458</v>
      </c>
      <c r="O91" s="30">
        <f t="shared" si="23"/>
        <v>149458.18054071884</v>
      </c>
      <c r="P91" s="30">
        <f t="shared" si="30"/>
        <v>149458.18054071884</v>
      </c>
      <c r="Q91">
        <f t="shared" si="31"/>
        <v>0</v>
      </c>
      <c r="R91" s="30">
        <f t="shared" si="32"/>
        <v>149458.18054071884</v>
      </c>
      <c r="S91" s="30">
        <f t="shared" si="24"/>
        <v>149458.18054071887</v>
      </c>
      <c r="T91" s="30">
        <f t="shared" si="33"/>
        <v>149458.18054071887</v>
      </c>
      <c r="U91">
        <f t="shared" si="34"/>
        <v>0</v>
      </c>
      <c r="V91" s="30">
        <f t="shared" si="35"/>
        <v>149458.18054071887</v>
      </c>
      <c r="W91" s="30">
        <f t="shared" si="25"/>
        <v>149458.18054071887</v>
      </c>
      <c r="X91" s="30">
        <f t="shared" si="36"/>
        <v>149458.18054071887</v>
      </c>
      <c r="Y91">
        <f t="shared" si="37"/>
        <v>0</v>
      </c>
    </row>
    <row r="92" spans="1:25" hidden="1" x14ac:dyDescent="0.25">
      <c r="A92" s="4" t="s">
        <v>838</v>
      </c>
      <c r="B92" s="7" t="s">
        <v>416</v>
      </c>
      <c r="C92" s="2" t="s">
        <v>839</v>
      </c>
      <c r="D92">
        <f>VLOOKUP(B92,'Model allocations'!$A$1:$L$319,4,FALSE)</f>
        <v>83288.294405950277</v>
      </c>
      <c r="E92" s="32">
        <f>VLOOKUP(B92,'Initial adjusted formula count'!$A$1:$P$319,12,FALSE)</f>
        <v>0.23440453686200399</v>
      </c>
      <c r="F92">
        <f>VLOOKUP(B92,'Model allocations'!$A$1:$L$319,9,FALSE)</f>
        <v>84331.842503677675</v>
      </c>
      <c r="G92" s="31">
        <f t="shared" si="26"/>
        <v>0.9</v>
      </c>
      <c r="H92">
        <f t="shared" si="27"/>
        <v>74959.464965355248</v>
      </c>
      <c r="I92">
        <f t="shared" si="19"/>
        <v>0</v>
      </c>
      <c r="J92">
        <f t="shared" si="20"/>
        <v>84331.842503677675</v>
      </c>
      <c r="K92">
        <f t="shared" si="21"/>
        <v>84187.065112406635</v>
      </c>
      <c r="L92">
        <f t="shared" si="28"/>
        <v>84187.065112406635</v>
      </c>
      <c r="M92">
        <f t="shared" si="22"/>
        <v>0</v>
      </c>
      <c r="N92" s="30">
        <f t="shared" si="29"/>
        <v>84187.065112406635</v>
      </c>
      <c r="O92" s="30">
        <f t="shared" si="23"/>
        <v>84112.622028967337</v>
      </c>
      <c r="P92" s="30">
        <f t="shared" si="30"/>
        <v>84112.622028967337</v>
      </c>
      <c r="Q92">
        <f t="shared" si="31"/>
        <v>0</v>
      </c>
      <c r="R92" s="30">
        <f t="shared" si="32"/>
        <v>84112.622028967337</v>
      </c>
      <c r="S92" s="30">
        <f t="shared" si="24"/>
        <v>84112.622028967351</v>
      </c>
      <c r="T92" s="30">
        <f t="shared" si="33"/>
        <v>84112.622028967351</v>
      </c>
      <c r="U92">
        <f t="shared" si="34"/>
        <v>0</v>
      </c>
      <c r="V92" s="30">
        <f t="shared" si="35"/>
        <v>84112.622028967351</v>
      </c>
      <c r="W92" s="30">
        <f t="shared" si="25"/>
        <v>84112.622028967351</v>
      </c>
      <c r="X92" s="30">
        <f t="shared" si="36"/>
        <v>84112.622028967351</v>
      </c>
      <c r="Y92">
        <f t="shared" si="37"/>
        <v>0</v>
      </c>
    </row>
    <row r="93" spans="1:25" x14ac:dyDescent="0.25">
      <c r="A93" s="4" t="s">
        <v>840</v>
      </c>
      <c r="B93" s="7" t="s">
        <v>139</v>
      </c>
      <c r="C93" s="2" t="s">
        <v>841</v>
      </c>
      <c r="D93">
        <f>VLOOKUP(B93,'Model allocations'!$A$1:$L$319,4,FALSE)</f>
        <v>0</v>
      </c>
      <c r="E93" s="32">
        <f>VLOOKUP(B93,'Initial adjusted formula count'!$A$1:$P$319,12,FALSE)</f>
        <v>7.8627591136526107E-2</v>
      </c>
      <c r="F93">
        <f>VLOOKUP(B93,'Model allocations'!$A$1:$L$319,9,FALSE)</f>
        <v>0</v>
      </c>
      <c r="G93" s="31">
        <f t="shared" si="26"/>
        <v>0.85</v>
      </c>
      <c r="H93">
        <f t="shared" si="27"/>
        <v>0</v>
      </c>
      <c r="I93">
        <f t="shared" si="19"/>
        <v>0</v>
      </c>
      <c r="J93">
        <f t="shared" si="20"/>
        <v>0</v>
      </c>
      <c r="K93">
        <f t="shared" si="21"/>
        <v>0</v>
      </c>
      <c r="L93">
        <f t="shared" si="28"/>
        <v>0</v>
      </c>
      <c r="M93">
        <f t="shared" si="22"/>
        <v>0</v>
      </c>
      <c r="N93" s="30">
        <f t="shared" si="29"/>
        <v>0</v>
      </c>
      <c r="O93" s="30">
        <f t="shared" si="23"/>
        <v>0</v>
      </c>
      <c r="P93" s="30">
        <f t="shared" si="30"/>
        <v>0</v>
      </c>
      <c r="Q93">
        <f t="shared" si="31"/>
        <v>0</v>
      </c>
      <c r="R93" s="30">
        <f t="shared" si="32"/>
        <v>0</v>
      </c>
      <c r="S93" s="30">
        <f t="shared" si="24"/>
        <v>0</v>
      </c>
      <c r="T93" s="30">
        <f t="shared" si="33"/>
        <v>0</v>
      </c>
      <c r="U93">
        <f t="shared" si="34"/>
        <v>0</v>
      </c>
      <c r="V93" s="30">
        <f t="shared" si="35"/>
        <v>0</v>
      </c>
      <c r="W93" s="30">
        <f t="shared" si="25"/>
        <v>0</v>
      </c>
      <c r="X93" s="30">
        <f t="shared" si="36"/>
        <v>0</v>
      </c>
      <c r="Y93">
        <f t="shared" si="37"/>
        <v>0</v>
      </c>
    </row>
    <row r="94" spans="1:25" hidden="1" x14ac:dyDescent="0.25">
      <c r="A94" s="4" t="s">
        <v>842</v>
      </c>
      <c r="B94" s="7" t="s">
        <v>418</v>
      </c>
      <c r="C94" s="2" t="s">
        <v>843</v>
      </c>
      <c r="D94">
        <f>VLOOKUP(B94,'Model allocations'!$A$1:$L$319,4,FALSE)</f>
        <v>7926.45650117065</v>
      </c>
      <c r="E94" s="32">
        <f>VLOOKUP(B94,'Initial adjusted formula count'!$A$1:$P$319,12,FALSE)</f>
        <v>8.2840236686390595E-2</v>
      </c>
      <c r="F94">
        <f>VLOOKUP(B94,'Model allocations'!$A$1:$L$319,9,FALSE)</f>
        <v>6737.4880259950523</v>
      </c>
      <c r="G94" s="31">
        <f t="shared" si="26"/>
        <v>0.85</v>
      </c>
      <c r="H94">
        <f t="shared" si="27"/>
        <v>6737.4880259950523</v>
      </c>
      <c r="I94">
        <f t="shared" si="19"/>
        <v>0</v>
      </c>
      <c r="J94">
        <f t="shared" si="20"/>
        <v>6737.4880259950523</v>
      </c>
      <c r="K94">
        <f t="shared" si="21"/>
        <v>6725.9213874494653</v>
      </c>
      <c r="L94">
        <f t="shared" si="28"/>
        <v>6725.9213874494653</v>
      </c>
      <c r="M94">
        <f t="shared" si="22"/>
        <v>6737.4880259950523</v>
      </c>
      <c r="N94" s="30">
        <f t="shared" si="29"/>
        <v>0</v>
      </c>
      <c r="O94" s="30">
        <f t="shared" si="23"/>
        <v>0</v>
      </c>
      <c r="P94" s="30">
        <f t="shared" si="30"/>
        <v>6737.4880259950523</v>
      </c>
      <c r="Q94">
        <f t="shared" si="31"/>
        <v>0</v>
      </c>
      <c r="R94" s="30">
        <f t="shared" si="32"/>
        <v>0</v>
      </c>
      <c r="S94" s="30">
        <f t="shared" si="24"/>
        <v>0</v>
      </c>
      <c r="T94" s="30">
        <f t="shared" si="33"/>
        <v>6737.4880259950523</v>
      </c>
      <c r="U94">
        <f t="shared" si="34"/>
        <v>0</v>
      </c>
      <c r="V94" s="30">
        <f t="shared" si="35"/>
        <v>0</v>
      </c>
      <c r="W94" s="30">
        <f t="shared" si="25"/>
        <v>0</v>
      </c>
      <c r="X94" s="30">
        <f t="shared" si="36"/>
        <v>6737.4880259950523</v>
      </c>
      <c r="Y94">
        <f t="shared" si="37"/>
        <v>0</v>
      </c>
    </row>
    <row r="95" spans="1:25" hidden="1" x14ac:dyDescent="0.25">
      <c r="A95" s="4" t="s">
        <v>844</v>
      </c>
      <c r="B95" s="7" t="s">
        <v>420</v>
      </c>
      <c r="C95" s="2" t="s">
        <v>845</v>
      </c>
      <c r="D95">
        <f>VLOOKUP(B95,'Model allocations'!$A$1:$L$319,4,FALSE)</f>
        <v>9310.3214321216565</v>
      </c>
      <c r="E95" s="32">
        <f>VLOOKUP(B95,'Initial adjusted formula count'!$A$1:$P$319,12,FALSE)</f>
        <v>0.22994652406417099</v>
      </c>
      <c r="F95">
        <f>VLOOKUP(B95,'Model allocations'!$A$1:$L$319,9,FALSE)</f>
        <v>9748.0355582208031</v>
      </c>
      <c r="G95" s="31">
        <f t="shared" si="26"/>
        <v>0.9</v>
      </c>
      <c r="H95">
        <f t="shared" si="27"/>
        <v>8379.289288909491</v>
      </c>
      <c r="I95">
        <f t="shared" si="19"/>
        <v>0</v>
      </c>
      <c r="J95">
        <f t="shared" si="20"/>
        <v>9748.0355582208031</v>
      </c>
      <c r="K95">
        <f t="shared" si="21"/>
        <v>9731.3005371867839</v>
      </c>
      <c r="L95">
        <f t="shared" si="28"/>
        <v>9731.3005371867839</v>
      </c>
      <c r="M95">
        <f t="shared" si="22"/>
        <v>0</v>
      </c>
      <c r="N95" s="30">
        <f t="shared" si="29"/>
        <v>9731.3005371867839</v>
      </c>
      <c r="O95" s="30">
        <f t="shared" si="23"/>
        <v>9722.6955571118124</v>
      </c>
      <c r="P95" s="30">
        <f t="shared" si="30"/>
        <v>9722.6955571118124</v>
      </c>
      <c r="Q95">
        <f t="shared" si="31"/>
        <v>0</v>
      </c>
      <c r="R95" s="30">
        <f t="shared" si="32"/>
        <v>9722.6955571118124</v>
      </c>
      <c r="S95" s="30">
        <f t="shared" si="24"/>
        <v>9722.6955571118142</v>
      </c>
      <c r="T95" s="30">
        <f t="shared" si="33"/>
        <v>9722.6955571118142</v>
      </c>
      <c r="U95">
        <f t="shared" si="34"/>
        <v>0</v>
      </c>
      <c r="V95" s="30">
        <f t="shared" si="35"/>
        <v>9722.6955571118142</v>
      </c>
      <c r="W95" s="30">
        <f t="shared" si="25"/>
        <v>9722.6955571118142</v>
      </c>
      <c r="X95" s="30">
        <f t="shared" si="36"/>
        <v>9722.6955571118142</v>
      </c>
      <c r="Y95">
        <f t="shared" si="37"/>
        <v>0</v>
      </c>
    </row>
    <row r="96" spans="1:25" x14ac:dyDescent="0.25">
      <c r="A96" s="4" t="s">
        <v>846</v>
      </c>
      <c r="B96" s="7" t="s">
        <v>141</v>
      </c>
      <c r="C96" s="2" t="s">
        <v>847</v>
      </c>
      <c r="D96">
        <f>VLOOKUP(B96,'Model allocations'!$A$1:$L$319,4,FALSE)</f>
        <v>0</v>
      </c>
      <c r="E96" s="32">
        <f>VLOOKUP(B96,'Initial adjusted formula count'!$A$1:$P$319,12,FALSE)</f>
        <v>7.8048780487804906E-2</v>
      </c>
      <c r="F96">
        <f>VLOOKUP(B96,'Model allocations'!$A$1:$L$319,9,FALSE)</f>
        <v>0</v>
      </c>
      <c r="G96" s="31">
        <f t="shared" si="26"/>
        <v>0.85</v>
      </c>
      <c r="H96">
        <f t="shared" si="27"/>
        <v>0</v>
      </c>
      <c r="I96">
        <f t="shared" si="19"/>
        <v>0</v>
      </c>
      <c r="J96">
        <f t="shared" si="20"/>
        <v>0</v>
      </c>
      <c r="K96">
        <f t="shared" si="21"/>
        <v>0</v>
      </c>
      <c r="L96">
        <f t="shared" si="28"/>
        <v>0</v>
      </c>
      <c r="M96">
        <f t="shared" si="22"/>
        <v>0</v>
      </c>
      <c r="N96" s="30">
        <f t="shared" si="29"/>
        <v>0</v>
      </c>
      <c r="O96" s="30">
        <f t="shared" si="23"/>
        <v>0</v>
      </c>
      <c r="P96" s="30">
        <f t="shared" si="30"/>
        <v>0</v>
      </c>
      <c r="Q96">
        <f t="shared" si="31"/>
        <v>0</v>
      </c>
      <c r="R96" s="30">
        <f t="shared" si="32"/>
        <v>0</v>
      </c>
      <c r="S96" s="30">
        <f t="shared" si="24"/>
        <v>0</v>
      </c>
      <c r="T96" s="30">
        <f t="shared" si="33"/>
        <v>0</v>
      </c>
      <c r="U96">
        <f t="shared" si="34"/>
        <v>0</v>
      </c>
      <c r="V96" s="30">
        <f t="shared" si="35"/>
        <v>0</v>
      </c>
      <c r="W96" s="30">
        <f t="shared" si="25"/>
        <v>0</v>
      </c>
      <c r="X96" s="30">
        <f t="shared" si="36"/>
        <v>0</v>
      </c>
      <c r="Y96">
        <f t="shared" si="37"/>
        <v>0</v>
      </c>
    </row>
    <row r="97" spans="1:25" x14ac:dyDescent="0.25">
      <c r="A97" s="4" t="s">
        <v>848</v>
      </c>
      <c r="B97" s="7" t="s">
        <v>143</v>
      </c>
      <c r="C97" s="2" t="s">
        <v>849</v>
      </c>
      <c r="D97">
        <f>VLOOKUP(B97,'Model allocations'!$A$1:$L$319,4,FALSE)</f>
        <v>0</v>
      </c>
      <c r="E97" s="32">
        <f>VLOOKUP(B97,'Initial adjusted formula count'!$A$1:$P$319,12,FALSE)</f>
        <v>5.2396878483835001E-2</v>
      </c>
      <c r="F97">
        <f>VLOOKUP(B97,'Model allocations'!$A$1:$L$319,9,FALSE)</f>
        <v>0</v>
      </c>
      <c r="G97" s="31">
        <f t="shared" si="26"/>
        <v>0.85</v>
      </c>
      <c r="H97">
        <f t="shared" si="27"/>
        <v>0</v>
      </c>
      <c r="I97">
        <f t="shared" si="19"/>
        <v>0</v>
      </c>
      <c r="J97">
        <f t="shared" si="20"/>
        <v>0</v>
      </c>
      <c r="K97">
        <f t="shared" si="21"/>
        <v>0</v>
      </c>
      <c r="L97">
        <f t="shared" si="28"/>
        <v>0</v>
      </c>
      <c r="M97">
        <f t="shared" si="22"/>
        <v>0</v>
      </c>
      <c r="N97" s="30">
        <f t="shared" si="29"/>
        <v>0</v>
      </c>
      <c r="O97" s="30">
        <f t="shared" si="23"/>
        <v>0</v>
      </c>
      <c r="P97" s="30">
        <f t="shared" si="30"/>
        <v>0</v>
      </c>
      <c r="Q97">
        <f t="shared" si="31"/>
        <v>0</v>
      </c>
      <c r="R97" s="30">
        <f t="shared" si="32"/>
        <v>0</v>
      </c>
      <c r="S97" s="30">
        <f t="shared" si="24"/>
        <v>0</v>
      </c>
      <c r="T97" s="30">
        <f t="shared" si="33"/>
        <v>0</v>
      </c>
      <c r="U97">
        <f t="shared" si="34"/>
        <v>0</v>
      </c>
      <c r="V97" s="30">
        <f t="shared" si="35"/>
        <v>0</v>
      </c>
      <c r="W97" s="30">
        <f t="shared" si="25"/>
        <v>0</v>
      </c>
      <c r="X97" s="30">
        <f t="shared" si="36"/>
        <v>0</v>
      </c>
      <c r="Y97">
        <f t="shared" si="37"/>
        <v>0</v>
      </c>
    </row>
    <row r="98" spans="1:25" hidden="1" x14ac:dyDescent="0.25">
      <c r="A98" s="4" t="s">
        <v>850</v>
      </c>
      <c r="B98" s="7" t="s">
        <v>422</v>
      </c>
      <c r="C98" s="2" t="s">
        <v>851</v>
      </c>
      <c r="D98">
        <f>VLOOKUP(B98,'Model allocations'!$A$1:$L$319,4,FALSE)</f>
        <v>6389.5736734176908</v>
      </c>
      <c r="E98" s="32">
        <f>VLOOKUP(B98,'Initial adjusted formula count'!$A$1:$P$319,12,FALSE)</f>
        <v>8.2758620689655199E-2</v>
      </c>
      <c r="F98">
        <f>VLOOKUP(B98,'Model allocations'!$A$1:$L$319,9,FALSE)</f>
        <v>5431.1376224050373</v>
      </c>
      <c r="G98" s="31">
        <f t="shared" si="26"/>
        <v>0.85</v>
      </c>
      <c r="H98">
        <f t="shared" si="27"/>
        <v>5431.1376224050373</v>
      </c>
      <c r="I98">
        <f t="shared" si="19"/>
        <v>0</v>
      </c>
      <c r="J98">
        <f t="shared" si="20"/>
        <v>5431.1376224050373</v>
      </c>
      <c r="K98">
        <f t="shared" si="21"/>
        <v>5421.8136717683428</v>
      </c>
      <c r="L98">
        <f t="shared" si="28"/>
        <v>5421.8136717683428</v>
      </c>
      <c r="M98">
        <f t="shared" si="22"/>
        <v>5431.1376224050373</v>
      </c>
      <c r="N98" s="30">
        <f t="shared" si="29"/>
        <v>0</v>
      </c>
      <c r="O98" s="30">
        <f t="shared" si="23"/>
        <v>0</v>
      </c>
      <c r="P98" s="30">
        <f t="shared" si="30"/>
        <v>5431.1376224050373</v>
      </c>
      <c r="Q98">
        <f t="shared" si="31"/>
        <v>0</v>
      </c>
      <c r="R98" s="30">
        <f t="shared" si="32"/>
        <v>0</v>
      </c>
      <c r="S98" s="30">
        <f t="shared" si="24"/>
        <v>0</v>
      </c>
      <c r="T98" s="30">
        <f t="shared" si="33"/>
        <v>5431.1376224050373</v>
      </c>
      <c r="U98">
        <f t="shared" si="34"/>
        <v>0</v>
      </c>
      <c r="V98" s="30">
        <f t="shared" si="35"/>
        <v>0</v>
      </c>
      <c r="W98" s="30">
        <f t="shared" si="25"/>
        <v>0</v>
      </c>
      <c r="X98" s="30">
        <f t="shared" si="36"/>
        <v>5431.1376224050373</v>
      </c>
      <c r="Y98">
        <f t="shared" si="37"/>
        <v>0</v>
      </c>
    </row>
    <row r="99" spans="1:25" hidden="1" x14ac:dyDescent="0.25">
      <c r="A99" s="4" t="s">
        <v>852</v>
      </c>
      <c r="B99" s="7" t="s">
        <v>424</v>
      </c>
      <c r="C99" s="2" t="s">
        <v>853</v>
      </c>
      <c r="D99">
        <f>VLOOKUP(B99,'Model allocations'!$A$1:$L$319,4,FALSE)</f>
        <v>48032.794661173066</v>
      </c>
      <c r="E99" s="32">
        <f>VLOOKUP(B99,'Initial adjusted formula count'!$A$1:$P$319,12,FALSE)</f>
        <v>0.18553459119496901</v>
      </c>
      <c r="F99">
        <f>VLOOKUP(B99,'Model allocations'!$A$1:$L$319,9,FALSE)</f>
        <v>53500.846319537435</v>
      </c>
      <c r="G99" s="31">
        <f t="shared" si="26"/>
        <v>0.9</v>
      </c>
      <c r="H99">
        <f t="shared" si="27"/>
        <v>43229.515195055763</v>
      </c>
      <c r="I99">
        <f t="shared" si="19"/>
        <v>0</v>
      </c>
      <c r="J99">
        <f t="shared" si="20"/>
        <v>53500.846319537435</v>
      </c>
      <c r="K99">
        <f t="shared" si="21"/>
        <v>53408.998297118167</v>
      </c>
      <c r="L99">
        <f t="shared" si="28"/>
        <v>53408.998297118167</v>
      </c>
      <c r="M99">
        <f t="shared" si="22"/>
        <v>0</v>
      </c>
      <c r="N99" s="30">
        <f t="shared" si="29"/>
        <v>53408.998297118167</v>
      </c>
      <c r="O99" s="30">
        <f t="shared" si="23"/>
        <v>53361.770964613672</v>
      </c>
      <c r="P99" s="30">
        <f t="shared" si="30"/>
        <v>53361.770964613672</v>
      </c>
      <c r="Q99">
        <f t="shared" si="31"/>
        <v>0</v>
      </c>
      <c r="R99" s="30">
        <f t="shared" si="32"/>
        <v>53361.770964613672</v>
      </c>
      <c r="S99" s="30">
        <f t="shared" si="24"/>
        <v>53361.770964613679</v>
      </c>
      <c r="T99" s="30">
        <f t="shared" si="33"/>
        <v>53361.770964613679</v>
      </c>
      <c r="U99">
        <f t="shared" si="34"/>
        <v>0</v>
      </c>
      <c r="V99" s="30">
        <f t="shared" si="35"/>
        <v>53361.770964613679</v>
      </c>
      <c r="W99" s="30">
        <f t="shared" si="25"/>
        <v>53361.770964613679</v>
      </c>
      <c r="X99" s="30">
        <f t="shared" si="36"/>
        <v>53361.770964613679</v>
      </c>
      <c r="Y99">
        <f t="shared" si="37"/>
        <v>0</v>
      </c>
    </row>
    <row r="100" spans="1:25" hidden="1" x14ac:dyDescent="0.25">
      <c r="A100" s="4" t="s">
        <v>18</v>
      </c>
      <c r="B100" s="7" t="s">
        <v>60</v>
      </c>
      <c r="C100" s="2" t="s">
        <v>854</v>
      </c>
      <c r="D100">
        <f>VLOOKUP(B100,'Model allocations'!$A$1:$L$319,4,FALSE)</f>
        <v>721397.14740051981</v>
      </c>
      <c r="E100" s="32">
        <f>VLOOKUP(B100,'Initial adjusted formula count'!$A$1:$P$319,12,FALSE)</f>
        <v>0.155171309594964</v>
      </c>
      <c r="F100">
        <f>VLOOKUP(B100,'Model allocations'!$A$1:$L$319,9,FALSE)</f>
        <v>684193.25183328637</v>
      </c>
      <c r="G100" s="31">
        <f t="shared" si="26"/>
        <v>0.9</v>
      </c>
      <c r="H100">
        <f t="shared" si="27"/>
        <v>649257.43266046781</v>
      </c>
      <c r="I100">
        <f t="shared" si="19"/>
        <v>0</v>
      </c>
      <c r="J100">
        <f t="shared" si="20"/>
        <v>684193.25183328637</v>
      </c>
      <c r="K100">
        <f t="shared" si="21"/>
        <v>683018.65738373005</v>
      </c>
      <c r="L100">
        <f t="shared" si="28"/>
        <v>683018.65738373005</v>
      </c>
      <c r="M100">
        <f t="shared" si="22"/>
        <v>0</v>
      </c>
      <c r="N100" s="30">
        <f t="shared" si="29"/>
        <v>683018.65738373005</v>
      </c>
      <c r="O100" s="30">
        <f t="shared" si="23"/>
        <v>682414.69269112172</v>
      </c>
      <c r="P100" s="30">
        <f t="shared" si="30"/>
        <v>682414.69269112172</v>
      </c>
      <c r="Q100">
        <f t="shared" si="31"/>
        <v>0</v>
      </c>
      <c r="R100" s="30">
        <f t="shared" si="32"/>
        <v>682414.69269112172</v>
      </c>
      <c r="S100" s="30">
        <f t="shared" si="24"/>
        <v>682414.69269112183</v>
      </c>
      <c r="T100" s="30">
        <f t="shared" si="33"/>
        <v>682414.69269112183</v>
      </c>
      <c r="U100">
        <f t="shared" si="34"/>
        <v>0</v>
      </c>
      <c r="V100" s="30">
        <f t="shared" si="35"/>
        <v>682414.69269112183</v>
      </c>
      <c r="W100" s="30">
        <f t="shared" si="25"/>
        <v>682414.69269112183</v>
      </c>
      <c r="X100" s="30">
        <f t="shared" si="36"/>
        <v>682414.69269112183</v>
      </c>
      <c r="Y100">
        <f t="shared" si="37"/>
        <v>0</v>
      </c>
    </row>
    <row r="101" spans="1:25" x14ac:dyDescent="0.25">
      <c r="A101" s="4" t="s">
        <v>855</v>
      </c>
      <c r="B101" s="7" t="s">
        <v>145</v>
      </c>
      <c r="C101" s="2" t="s">
        <v>856</v>
      </c>
      <c r="D101">
        <f>VLOOKUP(B101,'Model allocations'!$A$1:$L$319,4,FALSE)</f>
        <v>0</v>
      </c>
      <c r="E101" s="32">
        <f>VLOOKUP(B101,'Initial adjusted formula count'!$A$1:$P$319,12,FALSE)</f>
        <v>4.4700460829493097E-2</v>
      </c>
      <c r="F101">
        <f>VLOOKUP(B101,'Model allocations'!$A$1:$L$319,9,FALSE)</f>
        <v>0</v>
      </c>
      <c r="G101" s="31">
        <f t="shared" si="26"/>
        <v>0.85</v>
      </c>
      <c r="H101">
        <f t="shared" si="27"/>
        <v>0</v>
      </c>
      <c r="I101">
        <f t="shared" si="19"/>
        <v>0</v>
      </c>
      <c r="J101">
        <f t="shared" si="20"/>
        <v>0</v>
      </c>
      <c r="K101">
        <f t="shared" si="21"/>
        <v>0</v>
      </c>
      <c r="L101">
        <f t="shared" si="28"/>
        <v>0</v>
      </c>
      <c r="M101">
        <f t="shared" si="22"/>
        <v>0</v>
      </c>
      <c r="N101" s="30">
        <f t="shared" si="29"/>
        <v>0</v>
      </c>
      <c r="O101" s="30">
        <f t="shared" si="23"/>
        <v>0</v>
      </c>
      <c r="P101" s="30">
        <f t="shared" si="30"/>
        <v>0</v>
      </c>
      <c r="Q101">
        <f t="shared" si="31"/>
        <v>0</v>
      </c>
      <c r="R101" s="30">
        <f t="shared" si="32"/>
        <v>0</v>
      </c>
      <c r="S101" s="30">
        <f t="shared" si="24"/>
        <v>0</v>
      </c>
      <c r="T101" s="30">
        <f t="shared" si="33"/>
        <v>0</v>
      </c>
      <c r="U101">
        <f t="shared" si="34"/>
        <v>0</v>
      </c>
      <c r="V101" s="30">
        <f t="shared" si="35"/>
        <v>0</v>
      </c>
      <c r="W101" s="30">
        <f t="shared" si="25"/>
        <v>0</v>
      </c>
      <c r="X101" s="30">
        <f t="shared" si="36"/>
        <v>0</v>
      </c>
      <c r="Y101">
        <f t="shared" si="37"/>
        <v>0</v>
      </c>
    </row>
    <row r="102" spans="1:25" hidden="1" x14ac:dyDescent="0.25">
      <c r="A102" s="4" t="s">
        <v>857</v>
      </c>
      <c r="B102" s="7" t="s">
        <v>426</v>
      </c>
      <c r="C102" s="2" t="s">
        <v>858</v>
      </c>
      <c r="D102">
        <f>VLOOKUP(B102,'Model allocations'!$A$1:$L$319,4,FALSE)</f>
        <v>29623.750011296175</v>
      </c>
      <c r="E102" s="32">
        <f>VLOOKUP(B102,'Initial adjusted formula count'!$A$1:$P$319,12,FALSE)</f>
        <v>0.168345323741007</v>
      </c>
      <c r="F102">
        <f>VLOOKUP(B102,'Model allocations'!$A$1:$L$319,9,FALSE)</f>
        <v>26661.375010166557</v>
      </c>
      <c r="G102" s="31">
        <f t="shared" si="26"/>
        <v>0.9</v>
      </c>
      <c r="H102">
        <f t="shared" si="27"/>
        <v>26661.375010166557</v>
      </c>
      <c r="I102">
        <f t="shared" si="19"/>
        <v>0</v>
      </c>
      <c r="J102">
        <f t="shared" si="20"/>
        <v>26661.375010166557</v>
      </c>
      <c r="K102">
        <f t="shared" si="21"/>
        <v>26615.603873107593</v>
      </c>
      <c r="L102">
        <f t="shared" si="28"/>
        <v>26615.603873107593</v>
      </c>
      <c r="M102">
        <f t="shared" si="22"/>
        <v>26661.375010166557</v>
      </c>
      <c r="N102" s="30">
        <f t="shared" si="29"/>
        <v>0</v>
      </c>
      <c r="O102" s="30">
        <f t="shared" si="23"/>
        <v>0</v>
      </c>
      <c r="P102" s="30">
        <f t="shared" si="30"/>
        <v>26661.375010166557</v>
      </c>
      <c r="Q102">
        <f t="shared" si="31"/>
        <v>0</v>
      </c>
      <c r="R102" s="30">
        <f t="shared" si="32"/>
        <v>0</v>
      </c>
      <c r="S102" s="30">
        <f t="shared" si="24"/>
        <v>0</v>
      </c>
      <c r="T102" s="30">
        <f t="shared" si="33"/>
        <v>26661.375010166557</v>
      </c>
      <c r="U102">
        <f t="shared" si="34"/>
        <v>0</v>
      </c>
      <c r="V102" s="30">
        <f t="shared" si="35"/>
        <v>0</v>
      </c>
      <c r="W102" s="30">
        <f t="shared" si="25"/>
        <v>0</v>
      </c>
      <c r="X102" s="30">
        <f t="shared" si="36"/>
        <v>26661.375010166557</v>
      </c>
      <c r="Y102">
        <f t="shared" si="37"/>
        <v>0</v>
      </c>
    </row>
    <row r="103" spans="1:25" hidden="1" x14ac:dyDescent="0.25">
      <c r="A103" s="4" t="s">
        <v>859</v>
      </c>
      <c r="B103" s="7" t="s">
        <v>428</v>
      </c>
      <c r="C103" s="2" t="s">
        <v>860</v>
      </c>
      <c r="D103">
        <f>VLOOKUP(B103,'Model allocations'!$A$1:$L$319,4,FALSE)</f>
        <v>87813.258962056498</v>
      </c>
      <c r="E103" s="32">
        <f>VLOOKUP(B103,'Initial adjusted formula count'!$A$1:$P$319,12,FALSE)</f>
        <v>0.27312775330396499</v>
      </c>
      <c r="F103">
        <f>VLOOKUP(B103,'Model allocations'!$A$1:$L$319,9,FALSE)</f>
        <v>112442.45667157018</v>
      </c>
      <c r="G103" s="31">
        <f t="shared" si="26"/>
        <v>0.9</v>
      </c>
      <c r="H103">
        <f t="shared" si="27"/>
        <v>79031.933065850855</v>
      </c>
      <c r="I103">
        <f t="shared" si="19"/>
        <v>0</v>
      </c>
      <c r="J103">
        <f t="shared" si="20"/>
        <v>112442.45667157018</v>
      </c>
      <c r="K103">
        <f t="shared" si="21"/>
        <v>112249.42014987546</v>
      </c>
      <c r="L103">
        <f t="shared" si="28"/>
        <v>112249.42014987546</v>
      </c>
      <c r="M103">
        <f t="shared" si="22"/>
        <v>0</v>
      </c>
      <c r="N103" s="30">
        <f t="shared" si="29"/>
        <v>112249.42014987546</v>
      </c>
      <c r="O103" s="30">
        <f t="shared" si="23"/>
        <v>112150.16270528974</v>
      </c>
      <c r="P103" s="30">
        <f t="shared" si="30"/>
        <v>112150.16270528974</v>
      </c>
      <c r="Q103">
        <f t="shared" si="31"/>
        <v>0</v>
      </c>
      <c r="R103" s="30">
        <f t="shared" si="32"/>
        <v>112150.16270528974</v>
      </c>
      <c r="S103" s="30">
        <f t="shared" si="24"/>
        <v>112150.16270528975</v>
      </c>
      <c r="T103" s="30">
        <f t="shared" si="33"/>
        <v>112150.16270528975</v>
      </c>
      <c r="U103">
        <f t="shared" si="34"/>
        <v>0</v>
      </c>
      <c r="V103" s="30">
        <f t="shared" si="35"/>
        <v>112150.16270528975</v>
      </c>
      <c r="W103" s="30">
        <f t="shared" si="25"/>
        <v>112150.16270528975</v>
      </c>
      <c r="X103" s="30">
        <f t="shared" si="36"/>
        <v>112150.16270528975</v>
      </c>
      <c r="Y103">
        <f t="shared" si="37"/>
        <v>0</v>
      </c>
    </row>
    <row r="104" spans="1:25" x14ac:dyDescent="0.25">
      <c r="A104" s="4" t="s">
        <v>38</v>
      </c>
      <c r="B104" s="7" t="s">
        <v>83</v>
      </c>
      <c r="C104" s="2" t="s">
        <v>861</v>
      </c>
      <c r="D104">
        <f>VLOOKUP(B104,'Model allocations'!$A$1:$L$319,4,FALSE)</f>
        <v>0</v>
      </c>
      <c r="E104" s="32">
        <f>VLOOKUP(B104,'Initial adjusted formula count'!$A$1:$P$319,12,FALSE)</f>
        <v>0.150401917830186</v>
      </c>
      <c r="F104">
        <f>VLOOKUP(B104,'Model allocations'!$A$1:$L$319,9,FALSE)</f>
        <v>0</v>
      </c>
      <c r="G104" s="31">
        <f t="shared" si="26"/>
        <v>0.9</v>
      </c>
      <c r="H104">
        <f t="shared" si="27"/>
        <v>0</v>
      </c>
      <c r="I104">
        <f t="shared" si="19"/>
        <v>0</v>
      </c>
      <c r="J104">
        <f t="shared" si="20"/>
        <v>0</v>
      </c>
      <c r="K104">
        <f t="shared" si="21"/>
        <v>0</v>
      </c>
      <c r="L104">
        <f t="shared" si="28"/>
        <v>0</v>
      </c>
      <c r="M104">
        <f t="shared" si="22"/>
        <v>0</v>
      </c>
      <c r="N104" s="30">
        <f t="shared" si="29"/>
        <v>0</v>
      </c>
      <c r="O104" s="30">
        <f t="shared" si="23"/>
        <v>0</v>
      </c>
      <c r="P104" s="30">
        <f t="shared" si="30"/>
        <v>0</v>
      </c>
      <c r="Q104">
        <f t="shared" si="31"/>
        <v>0</v>
      </c>
      <c r="R104" s="30">
        <f t="shared" si="32"/>
        <v>0</v>
      </c>
      <c r="S104" s="30">
        <f t="shared" si="24"/>
        <v>0</v>
      </c>
      <c r="T104" s="30">
        <f t="shared" si="33"/>
        <v>0</v>
      </c>
      <c r="U104">
        <f t="shared" si="34"/>
        <v>0</v>
      </c>
      <c r="V104" s="30">
        <f t="shared" si="35"/>
        <v>0</v>
      </c>
      <c r="W104" s="30">
        <f t="shared" si="25"/>
        <v>0</v>
      </c>
      <c r="X104" s="30">
        <f t="shared" si="36"/>
        <v>0</v>
      </c>
      <c r="Y104">
        <f t="shared" si="37"/>
        <v>0</v>
      </c>
    </row>
    <row r="105" spans="1:25" hidden="1" x14ac:dyDescent="0.25">
      <c r="A105" s="4" t="s">
        <v>43</v>
      </c>
      <c r="B105" s="7" t="s">
        <v>78</v>
      </c>
      <c r="C105" s="2" t="s">
        <v>862</v>
      </c>
      <c r="D105">
        <f>VLOOKUP(B105,'Model allocations'!$A$1:$L$319,4,FALSE)</f>
        <v>22104.286742706343</v>
      </c>
      <c r="E105" s="32">
        <f>VLOOKUP(B105,'Initial adjusted formula count'!$A$1:$P$319,12,FALSE)</f>
        <v>0.181661214923031</v>
      </c>
      <c r="F105">
        <f>VLOOKUP(B105,'Model allocations'!$A$1:$L$319,9,FALSE)</f>
        <v>16826.204224916077</v>
      </c>
      <c r="G105" s="31">
        <f t="shared" si="26"/>
        <v>0.9</v>
      </c>
      <c r="H105">
        <f t="shared" si="27"/>
        <v>19893.858068435708</v>
      </c>
      <c r="I105">
        <f t="shared" si="19"/>
        <v>19893.858068435708</v>
      </c>
      <c r="J105">
        <f t="shared" si="20"/>
        <v>0</v>
      </c>
      <c r="K105">
        <f t="shared" si="21"/>
        <v>0</v>
      </c>
      <c r="L105">
        <f t="shared" si="28"/>
        <v>19893.858068435708</v>
      </c>
      <c r="M105">
        <f t="shared" si="22"/>
        <v>0</v>
      </c>
      <c r="N105" s="30">
        <f t="shared" si="29"/>
        <v>0</v>
      </c>
      <c r="O105" s="30">
        <f t="shared" si="23"/>
        <v>0</v>
      </c>
      <c r="P105" s="30">
        <f t="shared" si="30"/>
        <v>19893.858068435708</v>
      </c>
      <c r="Q105">
        <f t="shared" si="31"/>
        <v>0</v>
      </c>
      <c r="R105" s="30">
        <f t="shared" si="32"/>
        <v>0</v>
      </c>
      <c r="S105" s="30">
        <f t="shared" si="24"/>
        <v>0</v>
      </c>
      <c r="T105" s="30">
        <f t="shared" si="33"/>
        <v>19893.858068435708</v>
      </c>
      <c r="U105">
        <f t="shared" si="34"/>
        <v>0</v>
      </c>
      <c r="V105" s="30">
        <f t="shared" si="35"/>
        <v>0</v>
      </c>
      <c r="W105" s="30">
        <f t="shared" si="25"/>
        <v>0</v>
      </c>
      <c r="X105" s="30">
        <f t="shared" si="36"/>
        <v>19893.858068435708</v>
      </c>
      <c r="Y105">
        <f t="shared" si="37"/>
        <v>0</v>
      </c>
    </row>
    <row r="106" spans="1:25" hidden="1" x14ac:dyDescent="0.25">
      <c r="A106" s="4" t="s">
        <v>47</v>
      </c>
      <c r="B106" s="7" t="s">
        <v>79</v>
      </c>
      <c r="C106" s="2" t="s">
        <v>863</v>
      </c>
      <c r="D106">
        <f>VLOOKUP(B106,'Model allocations'!$A$1:$L$319,4,FALSE)</f>
        <v>11032.934814209921</v>
      </c>
      <c r="E106" s="32">
        <f>VLOOKUP(B106,'Initial adjusted formula count'!$A$1:$P$319,12,FALSE)</f>
        <v>0.15137770493984801</v>
      </c>
      <c r="F106">
        <f>VLOOKUP(B106,'Model allocations'!$A$1:$L$319,9,FALSE)</f>
        <v>12055.359734314896</v>
      </c>
      <c r="G106" s="31">
        <f t="shared" si="26"/>
        <v>0.9</v>
      </c>
      <c r="H106">
        <f t="shared" si="27"/>
        <v>9929.6413327889295</v>
      </c>
      <c r="I106">
        <f t="shared" si="19"/>
        <v>0</v>
      </c>
      <c r="J106">
        <f t="shared" si="20"/>
        <v>12055.359734314896</v>
      </c>
      <c r="K106">
        <f t="shared" si="21"/>
        <v>12034.663595331665</v>
      </c>
      <c r="L106">
        <f t="shared" si="28"/>
        <v>12034.663595331665</v>
      </c>
      <c r="M106">
        <f t="shared" si="22"/>
        <v>0</v>
      </c>
      <c r="N106" s="30">
        <f t="shared" si="29"/>
        <v>12034.663595331665</v>
      </c>
      <c r="O106" s="30">
        <f t="shared" si="23"/>
        <v>12024.021848110819</v>
      </c>
      <c r="P106" s="30">
        <f t="shared" si="30"/>
        <v>12024.021848110819</v>
      </c>
      <c r="Q106">
        <f t="shared" si="31"/>
        <v>0</v>
      </c>
      <c r="R106" s="30">
        <f t="shared" si="32"/>
        <v>12024.021848110819</v>
      </c>
      <c r="S106" s="30">
        <f t="shared" si="24"/>
        <v>12024.02184811082</v>
      </c>
      <c r="T106" s="30">
        <f t="shared" si="33"/>
        <v>12024.02184811082</v>
      </c>
      <c r="U106">
        <f t="shared" si="34"/>
        <v>0</v>
      </c>
      <c r="V106" s="30">
        <f t="shared" si="35"/>
        <v>12024.02184811082</v>
      </c>
      <c r="W106" s="30">
        <f t="shared" si="25"/>
        <v>12024.02184811082</v>
      </c>
      <c r="X106" s="30">
        <f t="shared" si="36"/>
        <v>12024.02184811082</v>
      </c>
      <c r="Y106">
        <f t="shared" si="37"/>
        <v>0</v>
      </c>
    </row>
    <row r="107" spans="1:25" hidden="1" x14ac:dyDescent="0.25">
      <c r="A107" s="4" t="s">
        <v>864</v>
      </c>
      <c r="B107" s="7" t="s">
        <v>430</v>
      </c>
      <c r="C107" s="2" t="s">
        <v>865</v>
      </c>
      <c r="D107">
        <f>VLOOKUP(B107,'Model allocations'!$A$1:$L$319,4,FALSE)</f>
        <v>10359.566139622068</v>
      </c>
      <c r="E107" s="32">
        <f>VLOOKUP(B107,'Initial adjusted formula count'!$A$1:$P$319,12,FALSE)</f>
        <v>0.238095238095238</v>
      </c>
      <c r="F107">
        <f>VLOOKUP(B107,'Model allocations'!$A$1:$L$319,9,FALSE)</f>
        <v>10201.43256092875</v>
      </c>
      <c r="G107" s="31">
        <f t="shared" si="26"/>
        <v>0.9</v>
      </c>
      <c r="H107">
        <f t="shared" si="27"/>
        <v>9323.6095256598619</v>
      </c>
      <c r="I107">
        <f t="shared" si="19"/>
        <v>0</v>
      </c>
      <c r="J107">
        <f t="shared" si="20"/>
        <v>10201.43256092875</v>
      </c>
      <c r="K107">
        <f t="shared" si="21"/>
        <v>10183.919166823382</v>
      </c>
      <c r="L107">
        <f t="shared" si="28"/>
        <v>10183.919166823382</v>
      </c>
      <c r="M107">
        <f t="shared" si="22"/>
        <v>0</v>
      </c>
      <c r="N107" s="30">
        <f t="shared" si="29"/>
        <v>10183.919166823382</v>
      </c>
      <c r="O107" s="30">
        <f t="shared" si="23"/>
        <v>10174.913955117017</v>
      </c>
      <c r="P107" s="30">
        <f t="shared" si="30"/>
        <v>10174.913955117017</v>
      </c>
      <c r="Q107">
        <f t="shared" si="31"/>
        <v>0</v>
      </c>
      <c r="R107" s="30">
        <f t="shared" si="32"/>
        <v>10174.913955117017</v>
      </c>
      <c r="S107" s="30">
        <f t="shared" si="24"/>
        <v>10174.913955117019</v>
      </c>
      <c r="T107" s="30">
        <f t="shared" si="33"/>
        <v>10174.913955117019</v>
      </c>
      <c r="U107">
        <f t="shared" si="34"/>
        <v>0</v>
      </c>
      <c r="V107" s="30">
        <f t="shared" si="35"/>
        <v>10174.913955117019</v>
      </c>
      <c r="W107" s="30">
        <f t="shared" si="25"/>
        <v>10174.913955117019</v>
      </c>
      <c r="X107" s="30">
        <f t="shared" si="36"/>
        <v>10174.913955117019</v>
      </c>
      <c r="Y107">
        <f t="shared" si="37"/>
        <v>0</v>
      </c>
    </row>
    <row r="108" spans="1:25" hidden="1" x14ac:dyDescent="0.25">
      <c r="A108" s="4" t="s">
        <v>866</v>
      </c>
      <c r="B108" s="7" t="s">
        <v>432</v>
      </c>
      <c r="C108" s="2" t="s">
        <v>867</v>
      </c>
      <c r="D108">
        <f>VLOOKUP(B108,'Model allocations'!$A$1:$L$319,4,FALSE)</f>
        <v>2537.0366056217304</v>
      </c>
      <c r="E108" s="32">
        <f>VLOOKUP(B108,'Initial adjusted formula count'!$A$1:$P$319,12,FALSE)</f>
        <v>0.16666666666666699</v>
      </c>
      <c r="F108">
        <f>VLOOKUP(B108,'Model allocations'!$A$1:$L$319,9,FALSE)</f>
        <v>2283.3329450595575</v>
      </c>
      <c r="G108" s="31">
        <f t="shared" si="26"/>
        <v>0.9</v>
      </c>
      <c r="H108">
        <f t="shared" si="27"/>
        <v>2283.3329450595575</v>
      </c>
      <c r="I108">
        <f t="shared" si="19"/>
        <v>0</v>
      </c>
      <c r="J108">
        <f t="shared" si="20"/>
        <v>2283.3329450595575</v>
      </c>
      <c r="K108">
        <f t="shared" si="21"/>
        <v>2279.4130142555491</v>
      </c>
      <c r="L108">
        <f t="shared" si="28"/>
        <v>2279.4130142555491</v>
      </c>
      <c r="M108">
        <f t="shared" si="22"/>
        <v>2283.3329450595575</v>
      </c>
      <c r="N108" s="30">
        <f t="shared" si="29"/>
        <v>0</v>
      </c>
      <c r="O108" s="30">
        <f t="shared" si="23"/>
        <v>0</v>
      </c>
      <c r="P108" s="30">
        <f t="shared" si="30"/>
        <v>2283.3329450595575</v>
      </c>
      <c r="Q108">
        <f t="shared" si="31"/>
        <v>0</v>
      </c>
      <c r="R108" s="30">
        <f t="shared" si="32"/>
        <v>0</v>
      </c>
      <c r="S108" s="30">
        <f t="shared" si="24"/>
        <v>0</v>
      </c>
      <c r="T108" s="30">
        <f t="shared" si="33"/>
        <v>2283.3329450595575</v>
      </c>
      <c r="U108">
        <f t="shared" si="34"/>
        <v>0</v>
      </c>
      <c r="V108" s="30">
        <f t="shared" si="35"/>
        <v>0</v>
      </c>
      <c r="W108" s="30">
        <f t="shared" si="25"/>
        <v>0</v>
      </c>
      <c r="X108" s="30">
        <f t="shared" si="36"/>
        <v>2283.3329450595575</v>
      </c>
      <c r="Y108">
        <f t="shared" si="37"/>
        <v>0</v>
      </c>
    </row>
    <row r="109" spans="1:25" x14ac:dyDescent="0.25">
      <c r="A109" s="4" t="s">
        <v>868</v>
      </c>
      <c r="B109" s="7" t="s">
        <v>147</v>
      </c>
      <c r="C109" s="2" t="s">
        <v>869</v>
      </c>
      <c r="D109">
        <f>VLOOKUP(B109,'Model allocations'!$A$1:$L$319,4,FALSE)</f>
        <v>0</v>
      </c>
      <c r="E109" s="32">
        <f>VLOOKUP(B109,'Initial adjusted formula count'!$A$1:$P$319,12,FALSE)</f>
        <v>3.7684349548756303E-2</v>
      </c>
      <c r="F109">
        <f>VLOOKUP(B109,'Model allocations'!$A$1:$L$319,9,FALSE)</f>
        <v>0</v>
      </c>
      <c r="G109" s="31">
        <f t="shared" si="26"/>
        <v>0.85</v>
      </c>
      <c r="H109">
        <f t="shared" si="27"/>
        <v>0</v>
      </c>
      <c r="I109">
        <f t="shared" si="19"/>
        <v>0</v>
      </c>
      <c r="J109">
        <f t="shared" si="20"/>
        <v>0</v>
      </c>
      <c r="K109">
        <f t="shared" si="21"/>
        <v>0</v>
      </c>
      <c r="L109">
        <f t="shared" si="28"/>
        <v>0</v>
      </c>
      <c r="M109">
        <f t="shared" si="22"/>
        <v>0</v>
      </c>
      <c r="N109" s="30">
        <f t="shared" si="29"/>
        <v>0</v>
      </c>
      <c r="O109" s="30">
        <f t="shared" si="23"/>
        <v>0</v>
      </c>
      <c r="P109" s="30">
        <f t="shared" si="30"/>
        <v>0</v>
      </c>
      <c r="Q109">
        <f t="shared" si="31"/>
        <v>0</v>
      </c>
      <c r="R109" s="30">
        <f t="shared" si="32"/>
        <v>0</v>
      </c>
      <c r="S109" s="30">
        <f t="shared" si="24"/>
        <v>0</v>
      </c>
      <c r="T109" s="30">
        <f t="shared" si="33"/>
        <v>0</v>
      </c>
      <c r="U109">
        <f t="shared" si="34"/>
        <v>0</v>
      </c>
      <c r="V109" s="30">
        <f t="shared" si="35"/>
        <v>0</v>
      </c>
      <c r="W109" s="30">
        <f t="shared" si="25"/>
        <v>0</v>
      </c>
      <c r="X109" s="30">
        <f t="shared" si="36"/>
        <v>0</v>
      </c>
      <c r="Y109">
        <f t="shared" si="37"/>
        <v>0</v>
      </c>
    </row>
    <row r="110" spans="1:25" x14ac:dyDescent="0.25">
      <c r="A110" s="4" t="s">
        <v>870</v>
      </c>
      <c r="B110" s="7" t="s">
        <v>149</v>
      </c>
      <c r="C110" s="2" t="s">
        <v>871</v>
      </c>
      <c r="D110">
        <f>VLOOKUP(B110,'Model allocations'!$A$1:$L$319,4,FALSE)</f>
        <v>2962.375001129617</v>
      </c>
      <c r="E110" s="32">
        <f>VLOOKUP(B110,'Initial adjusted formula count'!$A$1:$P$319,12,FALSE)</f>
        <v>0.36666666666666697</v>
      </c>
      <c r="F110">
        <f>VLOOKUP(B110,'Model allocations'!$A$1:$L$319,9,FALSE)</f>
        <v>4987.3670297873896</v>
      </c>
      <c r="G110" s="31">
        <f t="shared" si="26"/>
        <v>0.95</v>
      </c>
      <c r="H110">
        <f t="shared" si="27"/>
        <v>2814.2562510731359</v>
      </c>
      <c r="I110">
        <f t="shared" si="19"/>
        <v>0</v>
      </c>
      <c r="J110">
        <f t="shared" si="20"/>
        <v>4987.3670297873896</v>
      </c>
      <c r="K110">
        <f t="shared" si="21"/>
        <v>4978.8049260025427</v>
      </c>
      <c r="L110">
        <f t="shared" si="28"/>
        <v>4978.8049260025427</v>
      </c>
      <c r="M110">
        <f t="shared" si="22"/>
        <v>0</v>
      </c>
      <c r="N110" s="30">
        <f t="shared" si="29"/>
        <v>4978.8049260025427</v>
      </c>
      <c r="O110" s="30">
        <f t="shared" si="23"/>
        <v>4974.4023780572079</v>
      </c>
      <c r="P110" s="30">
        <f t="shared" si="30"/>
        <v>4974.4023780572079</v>
      </c>
      <c r="Q110">
        <f t="shared" si="31"/>
        <v>0</v>
      </c>
      <c r="R110" s="30">
        <f t="shared" si="32"/>
        <v>4974.4023780572079</v>
      </c>
      <c r="S110" s="30">
        <f t="shared" si="24"/>
        <v>4974.4023780572088</v>
      </c>
      <c r="T110" s="30">
        <f t="shared" si="33"/>
        <v>4974.4023780572088</v>
      </c>
      <c r="U110">
        <f t="shared" si="34"/>
        <v>0</v>
      </c>
      <c r="V110" s="30">
        <f t="shared" si="35"/>
        <v>4974.4023780572088</v>
      </c>
      <c r="W110" s="30">
        <f t="shared" si="25"/>
        <v>4974.4023780572088</v>
      </c>
      <c r="X110" s="30">
        <f t="shared" si="36"/>
        <v>4974.4023780572088</v>
      </c>
      <c r="Y110">
        <f t="shared" si="37"/>
        <v>0</v>
      </c>
    </row>
    <row r="111" spans="1:25" x14ac:dyDescent="0.25">
      <c r="A111" s="4" t="s">
        <v>872</v>
      </c>
      <c r="B111" s="7" t="s">
        <v>151</v>
      </c>
      <c r="C111" s="2" t="s">
        <v>873</v>
      </c>
      <c r="D111">
        <f>VLOOKUP(B111,'Model allocations'!$A$1:$L$319,4,FALSE)</f>
        <v>0</v>
      </c>
      <c r="E111" s="32">
        <f>VLOOKUP(B111,'Initial adjusted formula count'!$A$1:$P$319,12,FALSE)</f>
        <v>8.4933530280649899E-2</v>
      </c>
      <c r="F111">
        <f>VLOOKUP(B111,'Model allocations'!$A$1:$L$319,9,FALSE)</f>
        <v>0</v>
      </c>
      <c r="G111" s="31">
        <f t="shared" si="26"/>
        <v>0.85</v>
      </c>
      <c r="H111">
        <f t="shared" si="27"/>
        <v>0</v>
      </c>
      <c r="I111">
        <f t="shared" si="19"/>
        <v>0</v>
      </c>
      <c r="J111">
        <f t="shared" si="20"/>
        <v>0</v>
      </c>
      <c r="K111">
        <f t="shared" si="21"/>
        <v>0</v>
      </c>
      <c r="L111">
        <f t="shared" si="28"/>
        <v>0</v>
      </c>
      <c r="M111">
        <f t="shared" si="22"/>
        <v>0</v>
      </c>
      <c r="N111" s="30">
        <f t="shared" si="29"/>
        <v>0</v>
      </c>
      <c r="O111" s="30">
        <f t="shared" si="23"/>
        <v>0</v>
      </c>
      <c r="P111" s="30">
        <f t="shared" si="30"/>
        <v>0</v>
      </c>
      <c r="Q111">
        <f t="shared" si="31"/>
        <v>0</v>
      </c>
      <c r="R111" s="30">
        <f t="shared" si="32"/>
        <v>0</v>
      </c>
      <c r="S111" s="30">
        <f t="shared" si="24"/>
        <v>0</v>
      </c>
      <c r="T111" s="30">
        <f t="shared" si="33"/>
        <v>0</v>
      </c>
      <c r="U111">
        <f t="shared" si="34"/>
        <v>0</v>
      </c>
      <c r="V111" s="30">
        <f t="shared" si="35"/>
        <v>0</v>
      </c>
      <c r="W111" s="30">
        <f t="shared" si="25"/>
        <v>0</v>
      </c>
      <c r="X111" s="30">
        <f t="shared" si="36"/>
        <v>0</v>
      </c>
      <c r="Y111">
        <f t="shared" si="37"/>
        <v>0</v>
      </c>
    </row>
    <row r="112" spans="1:25" hidden="1" x14ac:dyDescent="0.25">
      <c r="A112" s="4" t="s">
        <v>874</v>
      </c>
      <c r="B112" s="7" t="s">
        <v>434</v>
      </c>
      <c r="C112" s="2" t="s">
        <v>875</v>
      </c>
      <c r="D112">
        <f>VLOOKUP(B112,'Model allocations'!$A$1:$L$319,4,FALSE)</f>
        <v>6559.5446453584391</v>
      </c>
      <c r="E112" s="32">
        <f>VLOOKUP(B112,'Initial adjusted formula count'!$A$1:$P$319,12,FALSE)</f>
        <v>0.31067961165048502</v>
      </c>
      <c r="F112">
        <f>VLOOKUP(B112,'Model allocations'!$A$1:$L$319,9,FALSE)</f>
        <v>7254.3520433271124</v>
      </c>
      <c r="G112" s="31">
        <f t="shared" si="26"/>
        <v>0.95</v>
      </c>
      <c r="H112">
        <f t="shared" si="27"/>
        <v>6231.5674130905172</v>
      </c>
      <c r="I112">
        <f t="shared" si="19"/>
        <v>0</v>
      </c>
      <c r="J112">
        <f t="shared" si="20"/>
        <v>7254.3520433271124</v>
      </c>
      <c r="K112">
        <f t="shared" si="21"/>
        <v>7241.8980741855175</v>
      </c>
      <c r="L112">
        <f t="shared" si="28"/>
        <v>7241.8980741855175</v>
      </c>
      <c r="M112">
        <f t="shared" si="22"/>
        <v>0</v>
      </c>
      <c r="N112" s="30">
        <f t="shared" si="29"/>
        <v>7241.8980741855175</v>
      </c>
      <c r="O112" s="30">
        <f t="shared" si="23"/>
        <v>7235.494368083213</v>
      </c>
      <c r="P112" s="30">
        <f t="shared" si="30"/>
        <v>7235.494368083213</v>
      </c>
      <c r="Q112">
        <f t="shared" si="31"/>
        <v>0</v>
      </c>
      <c r="R112" s="30">
        <f t="shared" si="32"/>
        <v>7235.494368083213</v>
      </c>
      <c r="S112" s="30">
        <f t="shared" si="24"/>
        <v>7235.4943680832139</v>
      </c>
      <c r="T112" s="30">
        <f t="shared" si="33"/>
        <v>7235.4943680832139</v>
      </c>
      <c r="U112">
        <f t="shared" si="34"/>
        <v>0</v>
      </c>
      <c r="V112" s="30">
        <f t="shared" si="35"/>
        <v>7235.4943680832139</v>
      </c>
      <c r="W112" s="30">
        <f t="shared" si="25"/>
        <v>7235.4943680832139</v>
      </c>
      <c r="X112" s="30">
        <f t="shared" si="36"/>
        <v>7235.4943680832139</v>
      </c>
      <c r="Y112">
        <f t="shared" si="37"/>
        <v>0</v>
      </c>
    </row>
    <row r="113" spans="1:25" hidden="1" x14ac:dyDescent="0.25">
      <c r="A113" s="8" t="s">
        <v>876</v>
      </c>
      <c r="B113" s="7" t="s">
        <v>436</v>
      </c>
      <c r="C113" s="2" t="s">
        <v>877</v>
      </c>
      <c r="D113">
        <f>VLOOKUP(B113,'Model allocations'!$A$1:$L$319,4,FALSE)</f>
        <v>188745.60721482994</v>
      </c>
      <c r="E113" s="32">
        <f>VLOOKUP(B113,'Initial adjusted formula count'!$A$1:$P$319,12,FALSE)</f>
        <v>0.17111517367458901</v>
      </c>
      <c r="F113">
        <f>VLOOKUP(B113,'Model allocations'!$A$1:$L$319,9,FALSE)</f>
        <v>212189.79726731795</v>
      </c>
      <c r="G113" s="31">
        <f t="shared" si="26"/>
        <v>0.9</v>
      </c>
      <c r="H113">
        <f t="shared" si="27"/>
        <v>169871.04649334695</v>
      </c>
      <c r="I113">
        <f t="shared" si="19"/>
        <v>0</v>
      </c>
      <c r="J113">
        <f t="shared" si="20"/>
        <v>212189.79726731795</v>
      </c>
      <c r="K113">
        <f t="shared" si="21"/>
        <v>211825.5186699263</v>
      </c>
      <c r="L113">
        <f t="shared" si="28"/>
        <v>211825.5186699263</v>
      </c>
      <c r="M113">
        <f t="shared" si="22"/>
        <v>0</v>
      </c>
      <c r="N113" s="30">
        <f t="shared" si="29"/>
        <v>211825.5186699263</v>
      </c>
      <c r="O113" s="30">
        <f t="shared" si="23"/>
        <v>211638.21026643389</v>
      </c>
      <c r="P113" s="30">
        <f t="shared" si="30"/>
        <v>211638.21026643389</v>
      </c>
      <c r="Q113">
        <f t="shared" si="31"/>
        <v>0</v>
      </c>
      <c r="R113" s="30">
        <f t="shared" si="32"/>
        <v>211638.21026643389</v>
      </c>
      <c r="S113" s="30">
        <f t="shared" si="24"/>
        <v>211638.21026643392</v>
      </c>
      <c r="T113" s="30">
        <f t="shared" si="33"/>
        <v>211638.21026643392</v>
      </c>
      <c r="U113">
        <f t="shared" si="34"/>
        <v>0</v>
      </c>
      <c r="V113" s="30">
        <f t="shared" si="35"/>
        <v>211638.21026643392</v>
      </c>
      <c r="W113" s="30">
        <f t="shared" si="25"/>
        <v>211638.21026643392</v>
      </c>
      <c r="X113" s="30">
        <f t="shared" si="36"/>
        <v>211638.21026643392</v>
      </c>
      <c r="Y113">
        <f t="shared" si="37"/>
        <v>0</v>
      </c>
    </row>
    <row r="114" spans="1:25" hidden="1" x14ac:dyDescent="0.25">
      <c r="A114" s="4" t="s">
        <v>878</v>
      </c>
      <c r="B114" s="7" t="s">
        <v>438</v>
      </c>
      <c r="C114" s="2" t="s">
        <v>879</v>
      </c>
      <c r="D114">
        <f>VLOOKUP(B114,'Model allocations'!$A$1:$L$319,4,FALSE)</f>
        <v>546459.23643364746</v>
      </c>
      <c r="E114" s="32">
        <f>VLOOKUP(B114,'Initial adjusted formula count'!$A$1:$P$319,12,FALSE)</f>
        <v>0.13937879678620399</v>
      </c>
      <c r="F114">
        <f>VLOOKUP(B114,'Model allocations'!$A$1:$L$319,9,FALSE)</f>
        <v>464490.35096860031</v>
      </c>
      <c r="G114" s="31">
        <f t="shared" si="26"/>
        <v>0.85</v>
      </c>
      <c r="H114">
        <f t="shared" si="27"/>
        <v>464490.35096860031</v>
      </c>
      <c r="I114">
        <f t="shared" si="19"/>
        <v>0</v>
      </c>
      <c r="J114">
        <f t="shared" si="20"/>
        <v>464490.35096860031</v>
      </c>
      <c r="K114">
        <f t="shared" si="21"/>
        <v>463692.93329945742</v>
      </c>
      <c r="L114">
        <f t="shared" si="28"/>
        <v>463692.93329945742</v>
      </c>
      <c r="M114">
        <f t="shared" si="22"/>
        <v>464490.35096860031</v>
      </c>
      <c r="N114" s="30">
        <f t="shared" si="29"/>
        <v>0</v>
      </c>
      <c r="O114" s="30">
        <f t="shared" si="23"/>
        <v>0</v>
      </c>
      <c r="P114" s="30">
        <f t="shared" si="30"/>
        <v>464490.35096860031</v>
      </c>
      <c r="Q114">
        <f t="shared" si="31"/>
        <v>0</v>
      </c>
      <c r="R114" s="30">
        <f t="shared" si="32"/>
        <v>0</v>
      </c>
      <c r="S114" s="30">
        <f t="shared" si="24"/>
        <v>0</v>
      </c>
      <c r="T114" s="30">
        <f t="shared" si="33"/>
        <v>464490.35096860031</v>
      </c>
      <c r="U114">
        <f t="shared" si="34"/>
        <v>0</v>
      </c>
      <c r="V114" s="30">
        <f t="shared" si="35"/>
        <v>0</v>
      </c>
      <c r="W114" s="30">
        <f t="shared" si="25"/>
        <v>0</v>
      </c>
      <c r="X114" s="30">
        <f t="shared" si="36"/>
        <v>464490.35096860031</v>
      </c>
      <c r="Y114">
        <f t="shared" si="37"/>
        <v>0</v>
      </c>
    </row>
    <row r="115" spans="1:25" hidden="1" x14ac:dyDescent="0.25">
      <c r="A115" s="4" t="s">
        <v>880</v>
      </c>
      <c r="B115" s="7" t="s">
        <v>440</v>
      </c>
      <c r="C115" s="2" t="s">
        <v>881</v>
      </c>
      <c r="D115">
        <f>VLOOKUP(B115,'Model allocations'!$A$1:$L$319,4,FALSE)</f>
        <v>0</v>
      </c>
      <c r="E115" s="32">
        <f>VLOOKUP(B115,'Initial adjusted formula count'!$A$1:$P$319,12,FALSE)</f>
        <v>0.14381940044683</v>
      </c>
      <c r="F115">
        <f>VLOOKUP(B115,'Model allocations'!$A$1:$L$319,9,FALSE)</f>
        <v>0</v>
      </c>
      <c r="G115" s="31">
        <f t="shared" si="26"/>
        <v>0.85</v>
      </c>
      <c r="H115">
        <f t="shared" si="27"/>
        <v>0</v>
      </c>
      <c r="I115">
        <f t="shared" si="19"/>
        <v>0</v>
      </c>
      <c r="J115">
        <f t="shared" si="20"/>
        <v>0</v>
      </c>
      <c r="K115">
        <f t="shared" si="21"/>
        <v>0</v>
      </c>
      <c r="L115">
        <f t="shared" si="28"/>
        <v>0</v>
      </c>
      <c r="M115">
        <f t="shared" si="22"/>
        <v>0</v>
      </c>
      <c r="N115" s="30">
        <f t="shared" si="29"/>
        <v>0</v>
      </c>
      <c r="O115" s="30">
        <f t="shared" si="23"/>
        <v>0</v>
      </c>
      <c r="P115" s="30">
        <f t="shared" si="30"/>
        <v>0</v>
      </c>
      <c r="Q115">
        <f t="shared" si="31"/>
        <v>0</v>
      </c>
      <c r="R115" s="30">
        <f t="shared" si="32"/>
        <v>0</v>
      </c>
      <c r="S115" s="30">
        <f t="shared" si="24"/>
        <v>0</v>
      </c>
      <c r="T115" s="30">
        <f t="shared" si="33"/>
        <v>0</v>
      </c>
      <c r="U115">
        <f t="shared" si="34"/>
        <v>0</v>
      </c>
      <c r="V115" s="30">
        <f t="shared" si="35"/>
        <v>0</v>
      </c>
      <c r="W115" s="30">
        <f t="shared" si="25"/>
        <v>0</v>
      </c>
      <c r="X115" s="30">
        <f t="shared" si="36"/>
        <v>0</v>
      </c>
      <c r="Y115">
        <f t="shared" si="37"/>
        <v>0</v>
      </c>
    </row>
    <row r="116" spans="1:25" hidden="1" x14ac:dyDescent="0.25">
      <c r="A116" s="4" t="s">
        <v>882</v>
      </c>
      <c r="B116" s="7" t="s">
        <v>442</v>
      </c>
      <c r="C116" s="2" t="s">
        <v>883</v>
      </c>
      <c r="D116">
        <f>VLOOKUP(B116,'Model allocations'!$A$1:$L$319,4,FALSE)</f>
        <v>35760.098227921793</v>
      </c>
      <c r="E116" s="32">
        <f>VLOOKUP(B116,'Initial adjusted formula count'!$A$1:$P$319,12,FALSE)</f>
        <v>0.158119658119658</v>
      </c>
      <c r="F116">
        <f>VLOOKUP(B116,'Model allocations'!$A$1:$L$319,9,FALSE)</f>
        <v>33551.37820038788</v>
      </c>
      <c r="G116" s="31">
        <f t="shared" si="26"/>
        <v>0.9</v>
      </c>
      <c r="H116">
        <f t="shared" si="27"/>
        <v>32184.088405129616</v>
      </c>
      <c r="I116">
        <f t="shared" si="19"/>
        <v>0</v>
      </c>
      <c r="J116">
        <f t="shared" si="20"/>
        <v>33551.37820038788</v>
      </c>
      <c r="K116">
        <f t="shared" si="21"/>
        <v>33493.778593108</v>
      </c>
      <c r="L116">
        <f t="shared" si="28"/>
        <v>33493.778593108</v>
      </c>
      <c r="M116">
        <f t="shared" si="22"/>
        <v>0</v>
      </c>
      <c r="N116" s="30">
        <f t="shared" si="29"/>
        <v>33493.778593108</v>
      </c>
      <c r="O116" s="30">
        <f t="shared" si="23"/>
        <v>33464.16145238484</v>
      </c>
      <c r="P116" s="30">
        <f t="shared" si="30"/>
        <v>33464.16145238484</v>
      </c>
      <c r="Q116">
        <f t="shared" si="31"/>
        <v>0</v>
      </c>
      <c r="R116" s="30">
        <f t="shared" si="32"/>
        <v>33464.16145238484</v>
      </c>
      <c r="S116" s="30">
        <f t="shared" si="24"/>
        <v>33464.161452384848</v>
      </c>
      <c r="T116" s="30">
        <f t="shared" si="33"/>
        <v>33464.161452384848</v>
      </c>
      <c r="U116">
        <f t="shared" si="34"/>
        <v>0</v>
      </c>
      <c r="V116" s="30">
        <f t="shared" si="35"/>
        <v>33464.161452384848</v>
      </c>
      <c r="W116" s="30">
        <f t="shared" si="25"/>
        <v>33464.161452384848</v>
      </c>
      <c r="X116" s="30">
        <f t="shared" si="36"/>
        <v>33464.161452384848</v>
      </c>
      <c r="Y116">
        <f t="shared" si="37"/>
        <v>0</v>
      </c>
    </row>
    <row r="117" spans="1:25" hidden="1" x14ac:dyDescent="0.25">
      <c r="A117" s="8" t="s">
        <v>884</v>
      </c>
      <c r="B117" s="7" t="s">
        <v>444</v>
      </c>
      <c r="C117" s="2" t="s">
        <v>885</v>
      </c>
      <c r="D117">
        <f>VLOOKUP(B117,'Model allocations'!$A$1:$L$319,4,FALSE)</f>
        <v>57977.910736393933</v>
      </c>
      <c r="E117" s="32">
        <f>VLOOKUP(B117,'Initial adjusted formula count'!$A$1:$P$319,12,FALSE)</f>
        <v>0.14401388085598599</v>
      </c>
      <c r="F117">
        <f>VLOOKUP(B117,'Model allocations'!$A$1:$L$319,9,FALSE)</f>
        <v>49281.224125934845</v>
      </c>
      <c r="G117" s="31">
        <f t="shared" si="26"/>
        <v>0.85</v>
      </c>
      <c r="H117">
        <f t="shared" si="27"/>
        <v>49281.224125934845</v>
      </c>
      <c r="I117">
        <f t="shared" si="19"/>
        <v>0</v>
      </c>
      <c r="J117">
        <f t="shared" si="20"/>
        <v>49281.224125934845</v>
      </c>
      <c r="K117">
        <f t="shared" si="21"/>
        <v>49196.620174974269</v>
      </c>
      <c r="L117">
        <f t="shared" si="28"/>
        <v>49196.620174974269</v>
      </c>
      <c r="M117">
        <f t="shared" si="22"/>
        <v>49281.224125934845</v>
      </c>
      <c r="N117" s="30">
        <f t="shared" si="29"/>
        <v>0</v>
      </c>
      <c r="O117" s="30">
        <f t="shared" si="23"/>
        <v>0</v>
      </c>
      <c r="P117" s="30">
        <f t="shared" si="30"/>
        <v>49281.224125934845</v>
      </c>
      <c r="Q117">
        <f t="shared" si="31"/>
        <v>0</v>
      </c>
      <c r="R117" s="30">
        <f t="shared" si="32"/>
        <v>0</v>
      </c>
      <c r="S117" s="30">
        <f t="shared" si="24"/>
        <v>0</v>
      </c>
      <c r="T117" s="30">
        <f t="shared" si="33"/>
        <v>49281.224125934845</v>
      </c>
      <c r="U117">
        <f t="shared" si="34"/>
        <v>0</v>
      </c>
      <c r="V117" s="30">
        <f t="shared" si="35"/>
        <v>0</v>
      </c>
      <c r="W117" s="30">
        <f t="shared" si="25"/>
        <v>0</v>
      </c>
      <c r="X117" s="30">
        <f t="shared" si="36"/>
        <v>49281.224125934845</v>
      </c>
      <c r="Y117">
        <f t="shared" si="37"/>
        <v>0</v>
      </c>
    </row>
    <row r="118" spans="1:25" x14ac:dyDescent="0.25">
      <c r="A118" s="4" t="s">
        <v>886</v>
      </c>
      <c r="B118" s="7" t="s">
        <v>282</v>
      </c>
      <c r="C118" s="2" t="s">
        <v>887</v>
      </c>
      <c r="D118">
        <f>VLOOKUP(B118,'Model allocations'!$A$1:$L$319,4,FALSE)</f>
        <v>0</v>
      </c>
      <c r="E118" s="32">
        <f>VLOOKUP(B118,'Initial adjusted formula count'!$A$1:$P$319,12,FALSE)</f>
        <v>7.7445652173912999E-2</v>
      </c>
      <c r="F118">
        <f>VLOOKUP(B118,'Model allocations'!$A$1:$L$319,9,FALSE)</f>
        <v>0</v>
      </c>
      <c r="G118" s="31">
        <f t="shared" si="26"/>
        <v>0.85</v>
      </c>
      <c r="H118">
        <f t="shared" si="27"/>
        <v>0</v>
      </c>
      <c r="I118">
        <f t="shared" si="19"/>
        <v>0</v>
      </c>
      <c r="J118">
        <f t="shared" si="20"/>
        <v>0</v>
      </c>
      <c r="K118">
        <f t="shared" si="21"/>
        <v>0</v>
      </c>
      <c r="L118">
        <f t="shared" si="28"/>
        <v>0</v>
      </c>
      <c r="M118">
        <f t="shared" si="22"/>
        <v>0</v>
      </c>
      <c r="N118" s="30">
        <f t="shared" si="29"/>
        <v>0</v>
      </c>
      <c r="O118" s="30">
        <f t="shared" si="23"/>
        <v>0</v>
      </c>
      <c r="P118" s="30">
        <f t="shared" si="30"/>
        <v>0</v>
      </c>
      <c r="Q118">
        <f t="shared" si="31"/>
        <v>0</v>
      </c>
      <c r="R118" s="30">
        <f t="shared" si="32"/>
        <v>0</v>
      </c>
      <c r="S118" s="30">
        <f t="shared" si="24"/>
        <v>0</v>
      </c>
      <c r="T118" s="30">
        <f t="shared" si="33"/>
        <v>0</v>
      </c>
      <c r="U118">
        <f t="shared" si="34"/>
        <v>0</v>
      </c>
      <c r="V118" s="30">
        <f t="shared" si="35"/>
        <v>0</v>
      </c>
      <c r="W118" s="30">
        <f t="shared" si="25"/>
        <v>0</v>
      </c>
      <c r="X118" s="30">
        <f t="shared" si="36"/>
        <v>0</v>
      </c>
      <c r="Y118">
        <f t="shared" si="37"/>
        <v>0</v>
      </c>
    </row>
    <row r="119" spans="1:25" hidden="1" x14ac:dyDescent="0.25">
      <c r="A119" s="4" t="s">
        <v>888</v>
      </c>
      <c r="B119" s="7" t="s">
        <v>445</v>
      </c>
      <c r="C119" s="2" t="s">
        <v>889</v>
      </c>
      <c r="D119">
        <f>VLOOKUP(B119,'Model allocations'!$A$1:$L$319,4,FALSE)</f>
        <v>3385.5714298624193</v>
      </c>
      <c r="E119" s="32">
        <f>VLOOKUP(B119,'Initial adjusted formula count'!$A$1:$P$319,12,FALSE)</f>
        <v>0.21249999999999999</v>
      </c>
      <c r="F119">
        <f>VLOOKUP(B119,'Model allocations'!$A$1:$L$319,9,FALSE)</f>
        <v>3853.8745230175286</v>
      </c>
      <c r="G119" s="31">
        <f t="shared" si="26"/>
        <v>0.9</v>
      </c>
      <c r="H119">
        <f t="shared" si="27"/>
        <v>3047.0142868761773</v>
      </c>
      <c r="I119">
        <f t="shared" si="19"/>
        <v>0</v>
      </c>
      <c r="J119">
        <f t="shared" si="20"/>
        <v>3853.8745230175286</v>
      </c>
      <c r="K119">
        <f t="shared" si="21"/>
        <v>3847.2583519110558</v>
      </c>
      <c r="L119">
        <f t="shared" si="28"/>
        <v>3847.2583519110558</v>
      </c>
      <c r="M119">
        <f t="shared" si="22"/>
        <v>0</v>
      </c>
      <c r="N119" s="30">
        <f t="shared" si="29"/>
        <v>3847.2583519110558</v>
      </c>
      <c r="O119" s="30">
        <f t="shared" si="23"/>
        <v>3843.8563830442067</v>
      </c>
      <c r="P119" s="30">
        <f t="shared" si="30"/>
        <v>3843.8563830442067</v>
      </c>
      <c r="Q119">
        <f t="shared" si="31"/>
        <v>0</v>
      </c>
      <c r="R119" s="30">
        <f t="shared" si="32"/>
        <v>3843.8563830442067</v>
      </c>
      <c r="S119" s="30">
        <f t="shared" si="24"/>
        <v>3843.8563830442076</v>
      </c>
      <c r="T119" s="30">
        <f t="shared" si="33"/>
        <v>3843.8563830442076</v>
      </c>
      <c r="U119">
        <f t="shared" si="34"/>
        <v>0</v>
      </c>
      <c r="V119" s="30">
        <f t="shared" si="35"/>
        <v>3843.8563830442076</v>
      </c>
      <c r="W119" s="30">
        <f t="shared" si="25"/>
        <v>3843.8563830442076</v>
      </c>
      <c r="X119" s="30">
        <f t="shared" si="36"/>
        <v>3843.8563830442076</v>
      </c>
      <c r="Y119">
        <f t="shared" si="37"/>
        <v>0</v>
      </c>
    </row>
    <row r="120" spans="1:25" x14ac:dyDescent="0.25">
      <c r="A120" s="4" t="s">
        <v>890</v>
      </c>
      <c r="B120" s="7" t="s">
        <v>153</v>
      </c>
      <c r="C120" s="2" t="s">
        <v>891</v>
      </c>
      <c r="D120">
        <f>VLOOKUP(B120,'Model allocations'!$A$1:$L$319,4,FALSE)</f>
        <v>0</v>
      </c>
      <c r="E120" s="32">
        <f>VLOOKUP(B120,'Initial adjusted formula count'!$A$1:$P$319,12,FALSE)</f>
        <v>5.9190031152648002E-2</v>
      </c>
      <c r="F120">
        <f>VLOOKUP(B120,'Model allocations'!$A$1:$L$319,9,FALSE)</f>
        <v>0</v>
      </c>
      <c r="G120" s="31">
        <f t="shared" si="26"/>
        <v>0.85</v>
      </c>
      <c r="H120">
        <f t="shared" si="27"/>
        <v>0</v>
      </c>
      <c r="I120">
        <f t="shared" si="19"/>
        <v>0</v>
      </c>
      <c r="J120">
        <f t="shared" si="20"/>
        <v>0</v>
      </c>
      <c r="K120">
        <f t="shared" si="21"/>
        <v>0</v>
      </c>
      <c r="L120">
        <f t="shared" si="28"/>
        <v>0</v>
      </c>
      <c r="M120">
        <f t="shared" si="22"/>
        <v>0</v>
      </c>
      <c r="N120" s="30">
        <f t="shared" si="29"/>
        <v>0</v>
      </c>
      <c r="O120" s="30">
        <f t="shared" si="23"/>
        <v>0</v>
      </c>
      <c r="P120" s="30">
        <f t="shared" si="30"/>
        <v>0</v>
      </c>
      <c r="Q120">
        <f t="shared" si="31"/>
        <v>0</v>
      </c>
      <c r="R120" s="30">
        <f t="shared" si="32"/>
        <v>0</v>
      </c>
      <c r="S120" s="30">
        <f t="shared" si="24"/>
        <v>0</v>
      </c>
      <c r="T120" s="30">
        <f t="shared" si="33"/>
        <v>0</v>
      </c>
      <c r="U120">
        <f t="shared" si="34"/>
        <v>0</v>
      </c>
      <c r="V120" s="30">
        <f t="shared" si="35"/>
        <v>0</v>
      </c>
      <c r="W120" s="30">
        <f t="shared" si="25"/>
        <v>0</v>
      </c>
      <c r="X120" s="30">
        <f t="shared" si="36"/>
        <v>0</v>
      </c>
      <c r="Y120">
        <f t="shared" si="37"/>
        <v>0</v>
      </c>
    </row>
    <row r="121" spans="1:25" x14ac:dyDescent="0.25">
      <c r="A121" s="4" t="s">
        <v>892</v>
      </c>
      <c r="B121" s="7" t="s">
        <v>284</v>
      </c>
      <c r="C121" s="2" t="s">
        <v>893</v>
      </c>
      <c r="D121">
        <f>VLOOKUP(B121,'Model allocations'!$A$1:$L$319,4,FALSE)</f>
        <v>28988.955368196966</v>
      </c>
      <c r="E121" s="32">
        <f>VLOOKUP(B121,'Initial adjusted formula count'!$A$1:$P$319,12,FALSE)</f>
        <v>0.157983193277311</v>
      </c>
      <c r="F121">
        <f>VLOOKUP(B121,'Model allocations'!$A$1:$L$319,9,FALSE)</f>
        <v>26090.059831377272</v>
      </c>
      <c r="G121" s="31">
        <f t="shared" si="26"/>
        <v>0.9</v>
      </c>
      <c r="H121">
        <f t="shared" si="27"/>
        <v>26090.059831377272</v>
      </c>
      <c r="I121">
        <f t="shared" si="19"/>
        <v>0</v>
      </c>
      <c r="J121">
        <f t="shared" si="20"/>
        <v>26090.059831377272</v>
      </c>
      <c r="K121">
        <f t="shared" si="21"/>
        <v>26045.26950439814</v>
      </c>
      <c r="L121">
        <f t="shared" si="28"/>
        <v>26045.26950439814</v>
      </c>
      <c r="M121">
        <f t="shared" si="22"/>
        <v>26090.059831377272</v>
      </c>
      <c r="N121" s="30">
        <f t="shared" si="29"/>
        <v>0</v>
      </c>
      <c r="O121" s="30">
        <f t="shared" si="23"/>
        <v>0</v>
      </c>
      <c r="P121" s="30">
        <f t="shared" si="30"/>
        <v>26090.059831377272</v>
      </c>
      <c r="Q121">
        <f t="shared" si="31"/>
        <v>0</v>
      </c>
      <c r="R121" s="30">
        <f t="shared" si="32"/>
        <v>0</v>
      </c>
      <c r="S121" s="30">
        <f t="shared" si="24"/>
        <v>0</v>
      </c>
      <c r="T121" s="30">
        <f t="shared" si="33"/>
        <v>26090.059831377272</v>
      </c>
      <c r="U121">
        <f t="shared" si="34"/>
        <v>0</v>
      </c>
      <c r="V121" s="30">
        <f t="shared" si="35"/>
        <v>0</v>
      </c>
      <c r="W121" s="30">
        <f t="shared" si="25"/>
        <v>0</v>
      </c>
      <c r="X121" s="30">
        <f t="shared" si="36"/>
        <v>26090.059831377272</v>
      </c>
      <c r="Y121">
        <f t="shared" si="37"/>
        <v>0</v>
      </c>
    </row>
    <row r="122" spans="1:25" hidden="1" x14ac:dyDescent="0.25">
      <c r="A122" s="4" t="s">
        <v>894</v>
      </c>
      <c r="B122" s="7" t="s">
        <v>447</v>
      </c>
      <c r="C122" s="2" t="s">
        <v>895</v>
      </c>
      <c r="D122">
        <f>VLOOKUP(B122,'Model allocations'!$A$1:$L$319,4,FALSE)</f>
        <v>4607.7671010265385</v>
      </c>
      <c r="E122" s="32">
        <f>VLOOKUP(B122,'Initial adjusted formula count'!$A$1:$P$319,12,FALSE)</f>
        <v>0.20689655172413801</v>
      </c>
      <c r="F122">
        <f>VLOOKUP(B122,'Model allocations'!$A$1:$L$319,9,FALSE)</f>
        <v>4146.9903909238847</v>
      </c>
      <c r="G122" s="31">
        <f t="shared" si="26"/>
        <v>0.9</v>
      </c>
      <c r="H122">
        <f t="shared" si="27"/>
        <v>4146.9903909238847</v>
      </c>
      <c r="I122">
        <f t="shared" si="19"/>
        <v>0</v>
      </c>
      <c r="J122">
        <f t="shared" si="20"/>
        <v>4146.9903909238847</v>
      </c>
      <c r="K122">
        <f t="shared" si="21"/>
        <v>4139.871010715894</v>
      </c>
      <c r="L122">
        <f t="shared" si="28"/>
        <v>4139.871010715894</v>
      </c>
      <c r="M122">
        <f t="shared" si="22"/>
        <v>4146.9903909238847</v>
      </c>
      <c r="N122" s="30">
        <f t="shared" si="29"/>
        <v>0</v>
      </c>
      <c r="O122" s="30">
        <f t="shared" si="23"/>
        <v>0</v>
      </c>
      <c r="P122" s="30">
        <f t="shared" si="30"/>
        <v>4146.9903909238847</v>
      </c>
      <c r="Q122">
        <f t="shared" si="31"/>
        <v>0</v>
      </c>
      <c r="R122" s="30">
        <f t="shared" si="32"/>
        <v>0</v>
      </c>
      <c r="S122" s="30">
        <f t="shared" si="24"/>
        <v>0</v>
      </c>
      <c r="T122" s="30">
        <f t="shared" si="33"/>
        <v>4146.9903909238847</v>
      </c>
      <c r="U122">
        <f t="shared" si="34"/>
        <v>0</v>
      </c>
      <c r="V122" s="30">
        <f t="shared" si="35"/>
        <v>0</v>
      </c>
      <c r="W122" s="30">
        <f t="shared" si="25"/>
        <v>0</v>
      </c>
      <c r="X122" s="30">
        <f t="shared" si="36"/>
        <v>4146.9903909238847</v>
      </c>
      <c r="Y122">
        <f t="shared" si="37"/>
        <v>0</v>
      </c>
    </row>
    <row r="123" spans="1:25" x14ac:dyDescent="0.25">
      <c r="A123" s="8" t="s">
        <v>896</v>
      </c>
      <c r="B123" s="7" t="s">
        <v>286</v>
      </c>
      <c r="C123" s="2" t="s">
        <v>897</v>
      </c>
      <c r="D123">
        <f>VLOOKUP(B123,'Model allocations'!$A$1:$L$319,4,FALSE)</f>
        <v>0</v>
      </c>
      <c r="E123" s="32">
        <f>VLOOKUP(B123,'Initial adjusted formula count'!$A$1:$P$319,12,FALSE)</f>
        <v>0.13268608414239499</v>
      </c>
      <c r="F123">
        <f>VLOOKUP(B123,'Model allocations'!$A$1:$L$319,9,FALSE)</f>
        <v>0</v>
      </c>
      <c r="G123" s="31">
        <f t="shared" si="26"/>
        <v>0.85</v>
      </c>
      <c r="H123">
        <f t="shared" si="27"/>
        <v>0</v>
      </c>
      <c r="I123">
        <f t="shared" si="19"/>
        <v>0</v>
      </c>
      <c r="J123">
        <f t="shared" si="20"/>
        <v>0</v>
      </c>
      <c r="K123">
        <f t="shared" si="21"/>
        <v>0</v>
      </c>
      <c r="L123">
        <f t="shared" si="28"/>
        <v>0</v>
      </c>
      <c r="M123">
        <f t="shared" si="22"/>
        <v>0</v>
      </c>
      <c r="N123" s="30">
        <f t="shared" si="29"/>
        <v>0</v>
      </c>
      <c r="O123" s="30">
        <f t="shared" si="23"/>
        <v>0</v>
      </c>
      <c r="P123" s="30">
        <f t="shared" si="30"/>
        <v>0</v>
      </c>
      <c r="Q123">
        <f t="shared" si="31"/>
        <v>0</v>
      </c>
      <c r="R123" s="30">
        <f t="shared" si="32"/>
        <v>0</v>
      </c>
      <c r="S123" s="30">
        <f t="shared" si="24"/>
        <v>0</v>
      </c>
      <c r="T123" s="30">
        <f t="shared" si="33"/>
        <v>0</v>
      </c>
      <c r="U123">
        <f t="shared" si="34"/>
        <v>0</v>
      </c>
      <c r="V123" s="30">
        <f t="shared" si="35"/>
        <v>0</v>
      </c>
      <c r="W123" s="30">
        <f t="shared" si="25"/>
        <v>0</v>
      </c>
      <c r="X123" s="30">
        <f t="shared" si="36"/>
        <v>0</v>
      </c>
      <c r="Y123">
        <f t="shared" si="37"/>
        <v>0</v>
      </c>
    </row>
    <row r="124" spans="1:25" x14ac:dyDescent="0.25">
      <c r="A124" s="4" t="s">
        <v>898</v>
      </c>
      <c r="B124" s="7" t="s">
        <v>155</v>
      </c>
      <c r="C124" s="2" t="s">
        <v>899</v>
      </c>
      <c r="D124">
        <f>VLOOKUP(B124,'Model allocations'!$A$1:$L$319,4,FALSE)</f>
        <v>0</v>
      </c>
      <c r="E124" s="32">
        <f>VLOOKUP(B124,'Initial adjusted formula count'!$A$1:$P$319,12,FALSE)</f>
        <v>5.6730675504435099E-2</v>
      </c>
      <c r="F124">
        <f>VLOOKUP(B124,'Model allocations'!$A$1:$L$319,9,FALSE)</f>
        <v>0</v>
      </c>
      <c r="G124" s="31">
        <f t="shared" si="26"/>
        <v>0.85</v>
      </c>
      <c r="H124">
        <f t="shared" si="27"/>
        <v>0</v>
      </c>
      <c r="I124">
        <f t="shared" si="19"/>
        <v>0</v>
      </c>
      <c r="J124">
        <f t="shared" si="20"/>
        <v>0</v>
      </c>
      <c r="K124">
        <f t="shared" si="21"/>
        <v>0</v>
      </c>
      <c r="L124">
        <f t="shared" si="28"/>
        <v>0</v>
      </c>
      <c r="M124">
        <f t="shared" si="22"/>
        <v>0</v>
      </c>
      <c r="N124" s="30">
        <f t="shared" si="29"/>
        <v>0</v>
      </c>
      <c r="O124" s="30">
        <f t="shared" si="23"/>
        <v>0</v>
      </c>
      <c r="P124" s="30">
        <f t="shared" si="30"/>
        <v>0</v>
      </c>
      <c r="Q124">
        <f t="shared" si="31"/>
        <v>0</v>
      </c>
      <c r="R124" s="30">
        <f t="shared" si="32"/>
        <v>0</v>
      </c>
      <c r="S124" s="30">
        <f t="shared" si="24"/>
        <v>0</v>
      </c>
      <c r="T124" s="30">
        <f t="shared" si="33"/>
        <v>0</v>
      </c>
      <c r="U124">
        <f t="shared" si="34"/>
        <v>0</v>
      </c>
      <c r="V124" s="30">
        <f t="shared" si="35"/>
        <v>0</v>
      </c>
      <c r="W124" s="30">
        <f t="shared" si="25"/>
        <v>0</v>
      </c>
      <c r="X124" s="30">
        <f t="shared" si="36"/>
        <v>0</v>
      </c>
      <c r="Y124">
        <f t="shared" si="37"/>
        <v>0</v>
      </c>
    </row>
    <row r="125" spans="1:25" x14ac:dyDescent="0.25">
      <c r="A125" s="4" t="s">
        <v>900</v>
      </c>
      <c r="B125" s="7" t="s">
        <v>157</v>
      </c>
      <c r="C125" s="2" t="s">
        <v>901</v>
      </c>
      <c r="D125">
        <f>VLOOKUP(B125,'Model allocations'!$A$1:$L$319,4,FALSE)</f>
        <v>0</v>
      </c>
      <c r="E125" s="32">
        <f>VLOOKUP(B125,'Initial adjusted formula count'!$A$1:$P$319,12,FALSE)</f>
        <v>3.9684322866932499E-2</v>
      </c>
      <c r="F125">
        <f>VLOOKUP(B125,'Model allocations'!$A$1:$L$319,9,FALSE)</f>
        <v>0</v>
      </c>
      <c r="G125" s="31">
        <f t="shared" si="26"/>
        <v>0.85</v>
      </c>
      <c r="H125">
        <f t="shared" si="27"/>
        <v>0</v>
      </c>
      <c r="I125">
        <f t="shared" si="19"/>
        <v>0</v>
      </c>
      <c r="J125">
        <f t="shared" si="20"/>
        <v>0</v>
      </c>
      <c r="K125">
        <f t="shared" si="21"/>
        <v>0</v>
      </c>
      <c r="L125">
        <f t="shared" si="28"/>
        <v>0</v>
      </c>
      <c r="M125">
        <f t="shared" si="22"/>
        <v>0</v>
      </c>
      <c r="N125" s="30">
        <f t="shared" si="29"/>
        <v>0</v>
      </c>
      <c r="O125" s="30">
        <f t="shared" si="23"/>
        <v>0</v>
      </c>
      <c r="P125" s="30">
        <f t="shared" si="30"/>
        <v>0</v>
      </c>
      <c r="Q125">
        <f t="shared" si="31"/>
        <v>0</v>
      </c>
      <c r="R125" s="30">
        <f t="shared" si="32"/>
        <v>0</v>
      </c>
      <c r="S125" s="30">
        <f t="shared" si="24"/>
        <v>0</v>
      </c>
      <c r="T125" s="30">
        <f t="shared" si="33"/>
        <v>0</v>
      </c>
      <c r="U125">
        <f t="shared" si="34"/>
        <v>0</v>
      </c>
      <c r="V125" s="30">
        <f t="shared" si="35"/>
        <v>0</v>
      </c>
      <c r="W125" s="30">
        <f t="shared" si="25"/>
        <v>0</v>
      </c>
      <c r="X125" s="30">
        <f t="shared" si="36"/>
        <v>0</v>
      </c>
      <c r="Y125">
        <f t="shared" si="37"/>
        <v>0</v>
      </c>
    </row>
    <row r="126" spans="1:25" x14ac:dyDescent="0.25">
      <c r="A126" s="4" t="s">
        <v>902</v>
      </c>
      <c r="B126" s="7" t="s">
        <v>159</v>
      </c>
      <c r="C126" s="2" t="s">
        <v>903</v>
      </c>
      <c r="D126">
        <f>VLOOKUP(B126,'Model allocations'!$A$1:$L$319,4,FALSE)</f>
        <v>0</v>
      </c>
      <c r="E126" s="32">
        <f>VLOOKUP(B126,'Initial adjusted formula count'!$A$1:$P$319,12,FALSE)</f>
        <v>0.13734392735527801</v>
      </c>
      <c r="F126">
        <f>VLOOKUP(B126,'Model allocations'!$A$1:$L$319,9,FALSE)</f>
        <v>0</v>
      </c>
      <c r="G126" s="31">
        <f t="shared" si="26"/>
        <v>0.85</v>
      </c>
      <c r="H126">
        <f t="shared" si="27"/>
        <v>0</v>
      </c>
      <c r="I126">
        <f t="shared" si="19"/>
        <v>0</v>
      </c>
      <c r="J126">
        <f t="shared" si="20"/>
        <v>0</v>
      </c>
      <c r="K126">
        <f t="shared" si="21"/>
        <v>0</v>
      </c>
      <c r="L126">
        <f t="shared" si="28"/>
        <v>0</v>
      </c>
      <c r="M126">
        <f t="shared" si="22"/>
        <v>0</v>
      </c>
      <c r="N126" s="30">
        <f t="shared" si="29"/>
        <v>0</v>
      </c>
      <c r="O126" s="30">
        <f t="shared" si="23"/>
        <v>0</v>
      </c>
      <c r="P126" s="30">
        <f t="shared" si="30"/>
        <v>0</v>
      </c>
      <c r="Q126">
        <f t="shared" si="31"/>
        <v>0</v>
      </c>
      <c r="R126" s="30">
        <f t="shared" si="32"/>
        <v>0</v>
      </c>
      <c r="S126" s="30">
        <f t="shared" si="24"/>
        <v>0</v>
      </c>
      <c r="T126" s="30">
        <f t="shared" si="33"/>
        <v>0</v>
      </c>
      <c r="U126">
        <f t="shared" si="34"/>
        <v>0</v>
      </c>
      <c r="V126" s="30">
        <f t="shared" si="35"/>
        <v>0</v>
      </c>
      <c r="W126" s="30">
        <f t="shared" si="25"/>
        <v>0</v>
      </c>
      <c r="X126" s="30">
        <f t="shared" si="36"/>
        <v>0</v>
      </c>
      <c r="Y126">
        <f t="shared" si="37"/>
        <v>0</v>
      </c>
    </row>
    <row r="127" spans="1:25" x14ac:dyDescent="0.25">
      <c r="A127" s="4" t="s">
        <v>904</v>
      </c>
      <c r="B127" s="7" t="s">
        <v>161</v>
      </c>
      <c r="C127" s="2" t="s">
        <v>905</v>
      </c>
      <c r="D127">
        <f>VLOOKUP(B127,'Model allocations'!$A$1:$L$319,4,FALSE)</f>
        <v>0</v>
      </c>
      <c r="E127" s="32">
        <f>VLOOKUP(B127,'Initial adjusted formula count'!$A$1:$P$319,12,FALSE)</f>
        <v>0.33333333333333298</v>
      </c>
      <c r="F127">
        <f>VLOOKUP(B127,'Model allocations'!$A$1:$L$319,9,FALSE)</f>
        <v>0</v>
      </c>
      <c r="G127" s="31">
        <f t="shared" si="26"/>
        <v>0.95</v>
      </c>
      <c r="H127">
        <f t="shared" si="27"/>
        <v>0</v>
      </c>
      <c r="I127">
        <f t="shared" si="19"/>
        <v>0</v>
      </c>
      <c r="J127">
        <f t="shared" si="20"/>
        <v>0</v>
      </c>
      <c r="K127">
        <f t="shared" si="21"/>
        <v>0</v>
      </c>
      <c r="L127">
        <f t="shared" si="28"/>
        <v>0</v>
      </c>
      <c r="M127">
        <f t="shared" si="22"/>
        <v>0</v>
      </c>
      <c r="N127" s="30">
        <f t="shared" si="29"/>
        <v>0</v>
      </c>
      <c r="O127" s="30">
        <f t="shared" si="23"/>
        <v>0</v>
      </c>
      <c r="P127" s="30">
        <f t="shared" si="30"/>
        <v>0</v>
      </c>
      <c r="Q127">
        <f t="shared" si="31"/>
        <v>0</v>
      </c>
      <c r="R127" s="30">
        <f t="shared" si="32"/>
        <v>0</v>
      </c>
      <c r="S127" s="30">
        <f t="shared" si="24"/>
        <v>0</v>
      </c>
      <c r="T127" s="30">
        <f t="shared" si="33"/>
        <v>0</v>
      </c>
      <c r="U127">
        <f t="shared" si="34"/>
        <v>0</v>
      </c>
      <c r="V127" s="30">
        <f t="shared" si="35"/>
        <v>0</v>
      </c>
      <c r="W127" s="30">
        <f t="shared" si="25"/>
        <v>0</v>
      </c>
      <c r="X127" s="30">
        <f t="shared" si="36"/>
        <v>0</v>
      </c>
      <c r="Y127">
        <f t="shared" si="37"/>
        <v>0</v>
      </c>
    </row>
    <row r="128" spans="1:25" x14ac:dyDescent="0.25">
      <c r="A128" s="4" t="s">
        <v>906</v>
      </c>
      <c r="B128" s="7" t="s">
        <v>163</v>
      </c>
      <c r="C128" s="2" t="s">
        <v>907</v>
      </c>
      <c r="D128">
        <f>VLOOKUP(B128,'Model allocations'!$A$1:$L$319,4,FALSE)</f>
        <v>0</v>
      </c>
      <c r="E128" s="32">
        <f>VLOOKUP(B128,'Initial adjusted formula count'!$A$1:$P$319,12,FALSE)</f>
        <v>9.4316807738814998E-2</v>
      </c>
      <c r="F128">
        <f>VLOOKUP(B128,'Model allocations'!$A$1:$L$319,9,FALSE)</f>
        <v>0</v>
      </c>
      <c r="G128" s="31">
        <f t="shared" si="26"/>
        <v>0.85</v>
      </c>
      <c r="H128">
        <f t="shared" si="27"/>
        <v>0</v>
      </c>
      <c r="I128">
        <f t="shared" si="19"/>
        <v>0</v>
      </c>
      <c r="J128">
        <f t="shared" si="20"/>
        <v>0</v>
      </c>
      <c r="K128">
        <f t="shared" si="21"/>
        <v>0</v>
      </c>
      <c r="L128">
        <f t="shared" si="28"/>
        <v>0</v>
      </c>
      <c r="M128">
        <f t="shared" si="22"/>
        <v>0</v>
      </c>
      <c r="N128" s="30">
        <f t="shared" si="29"/>
        <v>0</v>
      </c>
      <c r="O128" s="30">
        <f t="shared" si="23"/>
        <v>0</v>
      </c>
      <c r="P128" s="30">
        <f t="shared" si="30"/>
        <v>0</v>
      </c>
      <c r="Q128">
        <f t="shared" si="31"/>
        <v>0</v>
      </c>
      <c r="R128" s="30">
        <f t="shared" si="32"/>
        <v>0</v>
      </c>
      <c r="S128" s="30">
        <f t="shared" si="24"/>
        <v>0</v>
      </c>
      <c r="T128" s="30">
        <f t="shared" si="33"/>
        <v>0</v>
      </c>
      <c r="U128">
        <f t="shared" si="34"/>
        <v>0</v>
      </c>
      <c r="V128" s="30">
        <f t="shared" si="35"/>
        <v>0</v>
      </c>
      <c r="W128" s="30">
        <f t="shared" si="25"/>
        <v>0</v>
      </c>
      <c r="X128" s="30">
        <f t="shared" si="36"/>
        <v>0</v>
      </c>
      <c r="Y128">
        <f t="shared" si="37"/>
        <v>0</v>
      </c>
    </row>
    <row r="129" spans="1:25" hidden="1" x14ac:dyDescent="0.25">
      <c r="A129" s="4" t="s">
        <v>908</v>
      </c>
      <c r="B129" s="7" t="s">
        <v>451</v>
      </c>
      <c r="C129" s="2" t="s">
        <v>909</v>
      </c>
      <c r="D129">
        <f>VLOOKUP(B129,'Model allocations'!$A$1:$L$319,4,FALSE)</f>
        <v>14177.080362548884</v>
      </c>
      <c r="E129" s="32">
        <f>VLOOKUP(B129,'Initial adjusted formula count'!$A$1:$P$319,12,FALSE)</f>
        <v>0.26710097719869702</v>
      </c>
      <c r="F129">
        <f>VLOOKUP(B129,'Model allocations'!$A$1:$L$319,9,FALSE)</f>
        <v>18589.277111025724</v>
      </c>
      <c r="G129" s="31">
        <f t="shared" si="26"/>
        <v>0.9</v>
      </c>
      <c r="H129">
        <f t="shared" si="27"/>
        <v>12759.372326293997</v>
      </c>
      <c r="I129">
        <f t="shared" si="19"/>
        <v>0</v>
      </c>
      <c r="J129">
        <f t="shared" si="20"/>
        <v>18589.277111025724</v>
      </c>
      <c r="K129">
        <f t="shared" si="21"/>
        <v>18557.363815100387</v>
      </c>
      <c r="L129">
        <f t="shared" si="28"/>
        <v>18557.363815100387</v>
      </c>
      <c r="M129">
        <f t="shared" si="22"/>
        <v>0</v>
      </c>
      <c r="N129" s="30">
        <f t="shared" si="29"/>
        <v>18557.363815100387</v>
      </c>
      <c r="O129" s="30">
        <f t="shared" si="23"/>
        <v>18540.954318213229</v>
      </c>
      <c r="P129" s="30">
        <f t="shared" si="30"/>
        <v>18540.954318213229</v>
      </c>
      <c r="Q129">
        <f t="shared" si="31"/>
        <v>0</v>
      </c>
      <c r="R129" s="30">
        <f t="shared" si="32"/>
        <v>18540.954318213229</v>
      </c>
      <c r="S129" s="30">
        <f t="shared" si="24"/>
        <v>18540.954318213233</v>
      </c>
      <c r="T129" s="30">
        <f t="shared" si="33"/>
        <v>18540.954318213233</v>
      </c>
      <c r="U129">
        <f t="shared" si="34"/>
        <v>0</v>
      </c>
      <c r="V129" s="30">
        <f t="shared" si="35"/>
        <v>18540.954318213233</v>
      </c>
      <c r="W129" s="30">
        <f t="shared" si="25"/>
        <v>18540.954318213233</v>
      </c>
      <c r="X129" s="30">
        <f t="shared" si="36"/>
        <v>18540.954318213233</v>
      </c>
      <c r="Y129">
        <f t="shared" si="37"/>
        <v>0</v>
      </c>
    </row>
    <row r="130" spans="1:25" hidden="1" x14ac:dyDescent="0.25">
      <c r="A130" s="4" t="s">
        <v>910</v>
      </c>
      <c r="B130" s="7" t="s">
        <v>453</v>
      </c>
      <c r="C130" s="2" t="s">
        <v>911</v>
      </c>
      <c r="D130">
        <f>VLOOKUP(B130,'Model allocations'!$A$1:$L$319,4,FALSE)</f>
        <v>263006.1281161193</v>
      </c>
      <c r="E130" s="32">
        <f>VLOOKUP(B130,'Initial adjusted formula count'!$A$1:$P$319,12,FALSE)</f>
        <v>0.18630440809536999</v>
      </c>
      <c r="F130">
        <f>VLOOKUP(B130,'Model allocations'!$A$1:$L$319,9,FALSE)</f>
        <v>304682.78581973858</v>
      </c>
      <c r="G130" s="31">
        <f t="shared" si="26"/>
        <v>0.9</v>
      </c>
      <c r="H130">
        <f t="shared" si="27"/>
        <v>236705.51530450737</v>
      </c>
      <c r="I130">
        <f t="shared" si="19"/>
        <v>0</v>
      </c>
      <c r="J130">
        <f t="shared" si="20"/>
        <v>304682.78581973858</v>
      </c>
      <c r="K130">
        <f t="shared" si="21"/>
        <v>304159.71911579161</v>
      </c>
      <c r="L130">
        <f t="shared" si="28"/>
        <v>304159.71911579161</v>
      </c>
      <c r="M130">
        <f t="shared" si="22"/>
        <v>0</v>
      </c>
      <c r="N130" s="30">
        <f t="shared" si="29"/>
        <v>304159.71911579161</v>
      </c>
      <c r="O130" s="30">
        <f t="shared" si="23"/>
        <v>303890.7634594948</v>
      </c>
      <c r="P130" s="30">
        <f t="shared" si="30"/>
        <v>303890.7634594948</v>
      </c>
      <c r="Q130">
        <f t="shared" si="31"/>
        <v>0</v>
      </c>
      <c r="R130" s="30">
        <f t="shared" si="32"/>
        <v>303890.7634594948</v>
      </c>
      <c r="S130" s="30">
        <f t="shared" si="24"/>
        <v>303890.76345949492</v>
      </c>
      <c r="T130" s="30">
        <f t="shared" si="33"/>
        <v>303890.76345949492</v>
      </c>
      <c r="U130">
        <f t="shared" si="34"/>
        <v>0</v>
      </c>
      <c r="V130" s="30">
        <f t="shared" si="35"/>
        <v>303890.76345949492</v>
      </c>
      <c r="W130" s="30">
        <f t="shared" si="25"/>
        <v>303890.76345949492</v>
      </c>
      <c r="X130" s="30">
        <f t="shared" si="36"/>
        <v>303890.76345949492</v>
      </c>
      <c r="Y130">
        <f t="shared" si="37"/>
        <v>0</v>
      </c>
    </row>
    <row r="131" spans="1:25" hidden="1" x14ac:dyDescent="0.25">
      <c r="A131" s="4" t="s">
        <v>912</v>
      </c>
      <c r="B131" s="7" t="s">
        <v>455</v>
      </c>
      <c r="C131" s="2" t="s">
        <v>913</v>
      </c>
      <c r="D131">
        <f>VLOOKUP(B131,'Model allocations'!$A$1:$L$319,4,FALSE)</f>
        <v>12685.183028108648</v>
      </c>
      <c r="E131" s="32">
        <f>VLOOKUP(B131,'Initial adjusted formula count'!$A$1:$P$319,12,FALSE)</f>
        <v>0.23137254901960799</v>
      </c>
      <c r="F131">
        <f>VLOOKUP(B131,'Model allocations'!$A$1:$L$319,9,FALSE)</f>
        <v>13375.211579884359</v>
      </c>
      <c r="G131" s="31">
        <f t="shared" si="26"/>
        <v>0.9</v>
      </c>
      <c r="H131">
        <f t="shared" si="27"/>
        <v>11416.664725297784</v>
      </c>
      <c r="I131">
        <f t="shared" si="19"/>
        <v>0</v>
      </c>
      <c r="J131">
        <f t="shared" si="20"/>
        <v>13375.211579884359</v>
      </c>
      <c r="K131">
        <f t="shared" si="21"/>
        <v>13352.249574279542</v>
      </c>
      <c r="L131">
        <f t="shared" si="28"/>
        <v>13352.249574279542</v>
      </c>
      <c r="M131">
        <f t="shared" si="22"/>
        <v>0</v>
      </c>
      <c r="N131" s="30">
        <f t="shared" si="29"/>
        <v>13352.249574279542</v>
      </c>
      <c r="O131" s="30">
        <f t="shared" si="23"/>
        <v>13340.442741153418</v>
      </c>
      <c r="P131" s="30">
        <f t="shared" si="30"/>
        <v>13340.442741153418</v>
      </c>
      <c r="Q131">
        <f t="shared" si="31"/>
        <v>0</v>
      </c>
      <c r="R131" s="30">
        <f t="shared" si="32"/>
        <v>13340.442741153418</v>
      </c>
      <c r="S131" s="30">
        <f t="shared" si="24"/>
        <v>13340.44274115342</v>
      </c>
      <c r="T131" s="30">
        <f t="shared" si="33"/>
        <v>13340.44274115342</v>
      </c>
      <c r="U131">
        <f t="shared" si="34"/>
        <v>0</v>
      </c>
      <c r="V131" s="30">
        <f t="shared" si="35"/>
        <v>13340.44274115342</v>
      </c>
      <c r="W131" s="30">
        <f t="shared" si="25"/>
        <v>13340.44274115342</v>
      </c>
      <c r="X131" s="30">
        <f t="shared" si="36"/>
        <v>13340.44274115342</v>
      </c>
      <c r="Y131">
        <f t="shared" si="37"/>
        <v>0</v>
      </c>
    </row>
    <row r="132" spans="1:25" hidden="1" x14ac:dyDescent="0.25">
      <c r="A132" s="4" t="s">
        <v>914</v>
      </c>
      <c r="B132" s="7" t="s">
        <v>457</v>
      </c>
      <c r="C132" s="2" t="s">
        <v>915</v>
      </c>
      <c r="D132">
        <f>VLOOKUP(B132,'Model allocations'!$A$1:$L$319,4,FALSE)</f>
        <v>12061.098218884868</v>
      </c>
      <c r="E132" s="32">
        <f>VLOOKUP(B132,'Initial adjusted formula count'!$A$1:$P$319,12,FALSE)</f>
        <v>0.16433566433566399</v>
      </c>
      <c r="F132">
        <f>VLOOKUP(B132,'Model allocations'!$A$1:$L$319,9,FALSE)</f>
        <v>10854.988396996381</v>
      </c>
      <c r="G132" s="31">
        <f t="shared" si="26"/>
        <v>0.9</v>
      </c>
      <c r="H132">
        <f t="shared" si="27"/>
        <v>10854.988396996381</v>
      </c>
      <c r="I132">
        <f t="shared" ref="I132:I195" si="38">IF(F132&lt;H132,H132,0)</f>
        <v>0</v>
      </c>
      <c r="J132">
        <f t="shared" ref="J132:J195" si="39">IF(I132=0,F132,0)</f>
        <v>10854.988396996381</v>
      </c>
      <c r="K132">
        <f t="shared" ref="K132:K195" si="40">(J132/$J$3)*($F$3-$I$3)</f>
        <v>10836.353005479517</v>
      </c>
      <c r="L132">
        <f t="shared" si="28"/>
        <v>10836.353005479517</v>
      </c>
      <c r="M132">
        <f t="shared" ref="M132:M195" si="41">IF(L132&lt;H132,H132,0)</f>
        <v>10854.988396996381</v>
      </c>
      <c r="N132" s="30">
        <f t="shared" si="29"/>
        <v>0</v>
      </c>
      <c r="O132" s="30">
        <f t="shared" ref="O132:O195" si="42">((N132/$N$3)*($F$3-$I$3-$M$3))</f>
        <v>0</v>
      </c>
      <c r="P132" s="30">
        <f t="shared" si="30"/>
        <v>10854.988396996381</v>
      </c>
      <c r="Q132">
        <f t="shared" si="31"/>
        <v>0</v>
      </c>
      <c r="R132" s="30">
        <f t="shared" si="32"/>
        <v>0</v>
      </c>
      <c r="S132" s="30">
        <f t="shared" ref="S132:S195" si="43">((R132/$R$3)*($F$3-$I$3-$M$3-$Q$3))</f>
        <v>0</v>
      </c>
      <c r="T132" s="30">
        <f t="shared" si="33"/>
        <v>10854.988396996381</v>
      </c>
      <c r="U132">
        <f t="shared" si="34"/>
        <v>0</v>
      </c>
      <c r="V132" s="30">
        <f t="shared" si="35"/>
        <v>0</v>
      </c>
      <c r="W132" s="30">
        <f t="shared" ref="W132:W195" si="44">((V132/$V$3)*($F$3-$I$3-$M$3-$Q$3-$U$3))</f>
        <v>0</v>
      </c>
      <c r="X132" s="30">
        <f t="shared" si="36"/>
        <v>10854.988396996381</v>
      </c>
      <c r="Y132">
        <f t="shared" si="37"/>
        <v>0</v>
      </c>
    </row>
    <row r="133" spans="1:25" hidden="1" x14ac:dyDescent="0.25">
      <c r="A133" s="4" t="s">
        <v>30</v>
      </c>
      <c r="B133" s="7" t="s">
        <v>80</v>
      </c>
      <c r="C133" s="2" t="s">
        <v>916</v>
      </c>
      <c r="D133">
        <f>VLOOKUP(B133,'Model allocations'!$A$1:$L$319,4,FALSE)</f>
        <v>2156.2952641663801</v>
      </c>
      <c r="E133" s="32">
        <f>VLOOKUP(B133,'Initial adjusted formula count'!$A$1:$P$319,12,FALSE)</f>
        <v>0.243967739812114</v>
      </c>
      <c r="F133">
        <f>VLOOKUP(B133,'Model allocations'!$A$1:$L$319,9,FALSE)</f>
        <v>1979.867947705975</v>
      </c>
      <c r="G133" s="31">
        <f t="shared" ref="G133:G196" si="45">IF(E133&lt;0.15,0.85,IF(AND(E133&gt;=0.15,E133&lt;0.3),0.9,0.95))</f>
        <v>0.9</v>
      </c>
      <c r="H133">
        <f t="shared" ref="H133:H196" si="46">IF(F133 = 0, 0, D133*G133)</f>
        <v>1940.6657377497422</v>
      </c>
      <c r="I133">
        <f t="shared" si="38"/>
        <v>0</v>
      </c>
      <c r="J133">
        <f t="shared" si="39"/>
        <v>1979.867947705975</v>
      </c>
      <c r="K133">
        <f t="shared" si="40"/>
        <v>1976.4689929574465</v>
      </c>
      <c r="L133">
        <f t="shared" ref="L133:L196" si="47">I133+K133</f>
        <v>1976.4689929574465</v>
      </c>
      <c r="M133">
        <f t="shared" si="41"/>
        <v>0</v>
      </c>
      <c r="N133" s="30">
        <f t="shared" ref="N133:N196" si="48">IF(I133+M133=0,L133,0)</f>
        <v>1976.4689929574465</v>
      </c>
      <c r="O133" s="30">
        <f t="shared" si="42"/>
        <v>1974.721284494615</v>
      </c>
      <c r="P133" s="30">
        <f t="shared" ref="P133:P196" si="49">$I133+$M133+O133</f>
        <v>1974.721284494615</v>
      </c>
      <c r="Q133">
        <f t="shared" ref="Q133:Q196" si="50">IF(P133&lt;H133,H133,0)</f>
        <v>0</v>
      </c>
      <c r="R133" s="30">
        <f t="shared" ref="R133:R196" si="51">IF($I133+$M133+$Q133=0,P133,0)</f>
        <v>1974.721284494615</v>
      </c>
      <c r="S133" s="30">
        <f t="shared" si="43"/>
        <v>1974.7212844946155</v>
      </c>
      <c r="T133" s="30">
        <f t="shared" ref="T133:T196" si="52">$I133+$M133+$Q133+S133</f>
        <v>1974.7212844946155</v>
      </c>
      <c r="U133">
        <f t="shared" ref="U133:U196" si="53">IF(T133&lt;H133,H133,0)</f>
        <v>0</v>
      </c>
      <c r="V133" s="30">
        <f t="shared" ref="V133:V196" si="54">IF($I133+$M133+$Q133+U133=0,T133,0)</f>
        <v>1974.7212844946155</v>
      </c>
      <c r="W133" s="30">
        <f t="shared" si="44"/>
        <v>1974.7212844946155</v>
      </c>
      <c r="X133" s="30">
        <f t="shared" ref="X133:X196" si="55">$I133+$M133+$Q133+$U133+W133</f>
        <v>1974.7212844946155</v>
      </c>
      <c r="Y133">
        <f t="shared" ref="Y133:Y196" si="56">IF(X133&lt;H133,H133,0)</f>
        <v>0</v>
      </c>
    </row>
    <row r="134" spans="1:25" hidden="1" x14ac:dyDescent="0.25">
      <c r="A134" s="4" t="s">
        <v>917</v>
      </c>
      <c r="B134" s="7" t="s">
        <v>459</v>
      </c>
      <c r="C134" s="2" t="s">
        <v>918</v>
      </c>
      <c r="D134">
        <f>VLOOKUP(B134,'Model allocations'!$A$1:$L$319,4,FALSE)</f>
        <v>20212.222073410525</v>
      </c>
      <c r="E134" s="32">
        <f>VLOOKUP(B134,'Initial adjusted formula count'!$A$1:$P$319,12,FALSE)</f>
        <v>0.17560975609756099</v>
      </c>
      <c r="F134">
        <f>VLOOKUP(B134,'Model allocations'!$A$1:$L$319,9,FALSE)</f>
        <v>18190.999866069473</v>
      </c>
      <c r="G134" s="31">
        <f t="shared" si="45"/>
        <v>0.9</v>
      </c>
      <c r="H134">
        <f t="shared" si="46"/>
        <v>18190.999866069473</v>
      </c>
      <c r="I134">
        <f t="shared" si="38"/>
        <v>0</v>
      </c>
      <c r="J134">
        <f t="shared" si="39"/>
        <v>18190.999866069473</v>
      </c>
      <c r="K134">
        <f t="shared" si="40"/>
        <v>18159.770315913414</v>
      </c>
      <c r="L134">
        <f t="shared" si="47"/>
        <v>18159.770315913414</v>
      </c>
      <c r="M134">
        <f t="shared" si="41"/>
        <v>18190.999866069473</v>
      </c>
      <c r="N134" s="30">
        <f t="shared" si="48"/>
        <v>0</v>
      </c>
      <c r="O134" s="30">
        <f t="shared" si="42"/>
        <v>0</v>
      </c>
      <c r="P134" s="30">
        <f t="shared" si="49"/>
        <v>18190.999866069473</v>
      </c>
      <c r="Q134">
        <f t="shared" si="50"/>
        <v>0</v>
      </c>
      <c r="R134" s="30">
        <f t="shared" si="51"/>
        <v>0</v>
      </c>
      <c r="S134" s="30">
        <f t="shared" si="43"/>
        <v>0</v>
      </c>
      <c r="T134" s="30">
        <f t="shared" si="52"/>
        <v>18190.999866069473</v>
      </c>
      <c r="U134">
        <f t="shared" si="53"/>
        <v>0</v>
      </c>
      <c r="V134" s="30">
        <f t="shared" si="54"/>
        <v>0</v>
      </c>
      <c r="W134" s="30">
        <f t="shared" si="44"/>
        <v>0</v>
      </c>
      <c r="X134" s="30">
        <f t="shared" si="55"/>
        <v>18190.999866069473</v>
      </c>
      <c r="Y134">
        <f t="shared" si="56"/>
        <v>0</v>
      </c>
    </row>
    <row r="135" spans="1:25" x14ac:dyDescent="0.25">
      <c r="A135" s="4" t="s">
        <v>919</v>
      </c>
      <c r="B135" s="7" t="s">
        <v>165</v>
      </c>
      <c r="C135" s="2" t="s">
        <v>920</v>
      </c>
      <c r="D135">
        <f>VLOOKUP(B135,'Model allocations'!$A$1:$L$319,4,FALSE)</f>
        <v>0</v>
      </c>
      <c r="E135" s="32">
        <f>VLOOKUP(B135,'Initial adjusted formula count'!$A$1:$P$319,12,FALSE)</f>
        <v>7.0772058823529396E-2</v>
      </c>
      <c r="F135">
        <f>VLOOKUP(B135,'Model allocations'!$A$1:$L$319,9,FALSE)</f>
        <v>0</v>
      </c>
      <c r="G135" s="31">
        <f t="shared" si="45"/>
        <v>0.85</v>
      </c>
      <c r="H135">
        <f t="shared" si="46"/>
        <v>0</v>
      </c>
      <c r="I135">
        <f t="shared" si="38"/>
        <v>0</v>
      </c>
      <c r="J135">
        <f t="shared" si="39"/>
        <v>0</v>
      </c>
      <c r="K135">
        <f t="shared" si="40"/>
        <v>0</v>
      </c>
      <c r="L135">
        <f t="shared" si="47"/>
        <v>0</v>
      </c>
      <c r="M135">
        <f t="shared" si="41"/>
        <v>0</v>
      </c>
      <c r="N135" s="30">
        <f t="shared" si="48"/>
        <v>0</v>
      </c>
      <c r="O135" s="30">
        <f t="shared" si="42"/>
        <v>0</v>
      </c>
      <c r="P135" s="30">
        <f t="shared" si="49"/>
        <v>0</v>
      </c>
      <c r="Q135">
        <f t="shared" si="50"/>
        <v>0</v>
      </c>
      <c r="R135" s="30">
        <f t="shared" si="51"/>
        <v>0</v>
      </c>
      <c r="S135" s="30">
        <f t="shared" si="43"/>
        <v>0</v>
      </c>
      <c r="T135" s="30">
        <f t="shared" si="52"/>
        <v>0</v>
      </c>
      <c r="U135">
        <f t="shared" si="53"/>
        <v>0</v>
      </c>
      <c r="V135" s="30">
        <f t="shared" si="54"/>
        <v>0</v>
      </c>
      <c r="W135" s="30">
        <f t="shared" si="44"/>
        <v>0</v>
      </c>
      <c r="X135" s="30">
        <f t="shared" si="55"/>
        <v>0</v>
      </c>
      <c r="Y135">
        <f t="shared" si="56"/>
        <v>0</v>
      </c>
    </row>
    <row r="136" spans="1:25" hidden="1" x14ac:dyDescent="0.25">
      <c r="A136" s="4" t="s">
        <v>921</v>
      </c>
      <c r="B136" s="7" t="s">
        <v>461</v>
      </c>
      <c r="C136" s="2" t="s">
        <v>922</v>
      </c>
      <c r="D136">
        <f>VLOOKUP(B136,'Model allocations'!$A$1:$L$319,4,FALSE)</f>
        <v>34848.658747259527</v>
      </c>
      <c r="E136" s="32">
        <f>VLOOKUP(B136,'Initial adjusted formula count'!$A$1:$P$319,12,FALSE)</f>
        <v>0.248051948051948</v>
      </c>
      <c r="F136">
        <f>VLOOKUP(B136,'Model allocations'!$A$1:$L$319,9,FALSE)</f>
        <v>43299.413758608694</v>
      </c>
      <c r="G136" s="31">
        <f t="shared" si="45"/>
        <v>0.9</v>
      </c>
      <c r="H136">
        <f t="shared" si="46"/>
        <v>31363.792872533577</v>
      </c>
      <c r="I136">
        <f t="shared" si="38"/>
        <v>0</v>
      </c>
      <c r="J136">
        <f t="shared" si="39"/>
        <v>43299.413758608694</v>
      </c>
      <c r="K136">
        <f t="shared" si="40"/>
        <v>43225.079130294798</v>
      </c>
      <c r="L136">
        <f t="shared" si="47"/>
        <v>43225.079130294798</v>
      </c>
      <c r="M136">
        <f t="shared" si="41"/>
        <v>0</v>
      </c>
      <c r="N136" s="30">
        <f t="shared" si="48"/>
        <v>43225.079130294798</v>
      </c>
      <c r="O136" s="30">
        <f t="shared" si="42"/>
        <v>43186.857009496664</v>
      </c>
      <c r="P136" s="30">
        <f t="shared" si="49"/>
        <v>43186.857009496664</v>
      </c>
      <c r="Q136">
        <f t="shared" si="50"/>
        <v>0</v>
      </c>
      <c r="R136" s="30">
        <f t="shared" si="51"/>
        <v>43186.857009496664</v>
      </c>
      <c r="S136" s="30">
        <f t="shared" si="43"/>
        <v>43186.857009496678</v>
      </c>
      <c r="T136" s="30">
        <f t="shared" si="52"/>
        <v>43186.857009496678</v>
      </c>
      <c r="U136">
        <f t="shared" si="53"/>
        <v>0</v>
      </c>
      <c r="V136" s="30">
        <f t="shared" si="54"/>
        <v>43186.857009496678</v>
      </c>
      <c r="W136" s="30">
        <f t="shared" si="44"/>
        <v>43186.857009496678</v>
      </c>
      <c r="X136" s="30">
        <f t="shared" si="55"/>
        <v>43186.857009496678</v>
      </c>
      <c r="Y136">
        <f t="shared" si="56"/>
        <v>0</v>
      </c>
    </row>
    <row r="137" spans="1:25" hidden="1" x14ac:dyDescent="0.25">
      <c r="A137" s="4" t="s">
        <v>923</v>
      </c>
      <c r="B137" s="7" t="s">
        <v>463</v>
      </c>
      <c r="C137" s="2" t="s">
        <v>924</v>
      </c>
      <c r="D137">
        <f>VLOOKUP(B137,'Model allocations'!$A$1:$L$319,4,FALSE)</f>
        <v>5713.1517878928353</v>
      </c>
      <c r="E137" s="32">
        <f>VLOOKUP(B137,'Initial adjusted formula count'!$A$1:$P$319,12,FALSE)</f>
        <v>0.188235294117647</v>
      </c>
      <c r="F137">
        <f>VLOOKUP(B137,'Model allocations'!$A$1:$L$319,9,FALSE)</f>
        <v>5141.8366091035523</v>
      </c>
      <c r="G137" s="31">
        <f t="shared" si="45"/>
        <v>0.9</v>
      </c>
      <c r="H137">
        <f t="shared" si="46"/>
        <v>5141.8366091035523</v>
      </c>
      <c r="I137">
        <f t="shared" si="38"/>
        <v>0</v>
      </c>
      <c r="J137">
        <f t="shared" si="39"/>
        <v>5141.8366091035523</v>
      </c>
      <c r="K137">
        <f t="shared" si="40"/>
        <v>5133.0093183850377</v>
      </c>
      <c r="L137">
        <f t="shared" si="47"/>
        <v>5133.0093183850377</v>
      </c>
      <c r="M137">
        <f t="shared" si="41"/>
        <v>5141.8366091035523</v>
      </c>
      <c r="N137" s="30">
        <f t="shared" si="48"/>
        <v>0</v>
      </c>
      <c r="O137" s="30">
        <f t="shared" si="42"/>
        <v>0</v>
      </c>
      <c r="P137" s="30">
        <f t="shared" si="49"/>
        <v>5141.8366091035523</v>
      </c>
      <c r="Q137">
        <f t="shared" si="50"/>
        <v>0</v>
      </c>
      <c r="R137" s="30">
        <f t="shared" si="51"/>
        <v>0</v>
      </c>
      <c r="S137" s="30">
        <f t="shared" si="43"/>
        <v>0</v>
      </c>
      <c r="T137" s="30">
        <f t="shared" si="52"/>
        <v>5141.8366091035523</v>
      </c>
      <c r="U137">
        <f t="shared" si="53"/>
        <v>0</v>
      </c>
      <c r="V137" s="30">
        <f t="shared" si="54"/>
        <v>0</v>
      </c>
      <c r="W137" s="30">
        <f t="shared" si="44"/>
        <v>0</v>
      </c>
      <c r="X137" s="30">
        <f t="shared" si="55"/>
        <v>5141.8366091035523</v>
      </c>
      <c r="Y137">
        <f t="shared" si="56"/>
        <v>0</v>
      </c>
    </row>
    <row r="138" spans="1:25" x14ac:dyDescent="0.25">
      <c r="A138" s="4" t="s">
        <v>925</v>
      </c>
      <c r="B138" s="7" t="s">
        <v>288</v>
      </c>
      <c r="C138" s="2" t="s">
        <v>926</v>
      </c>
      <c r="D138">
        <f>VLOOKUP(B138,'Model allocations'!$A$1:$L$319,4,FALSE)</f>
        <v>22852.607151571341</v>
      </c>
      <c r="E138" s="32">
        <f>VLOOKUP(B138,'Initial adjusted formula count'!$A$1:$P$319,12,FALSE)</f>
        <v>0.20032840722495901</v>
      </c>
      <c r="F138">
        <f>VLOOKUP(B138,'Model allocations'!$A$1:$L$319,9,FALSE)</f>
        <v>27657.217165184607</v>
      </c>
      <c r="G138" s="31">
        <f t="shared" si="45"/>
        <v>0.9</v>
      </c>
      <c r="H138">
        <f t="shared" si="46"/>
        <v>20567.346436414209</v>
      </c>
      <c r="I138">
        <f t="shared" si="38"/>
        <v>0</v>
      </c>
      <c r="J138">
        <f t="shared" si="39"/>
        <v>27657.217165184607</v>
      </c>
      <c r="K138">
        <f t="shared" si="40"/>
        <v>27609.736407832275</v>
      </c>
      <c r="L138">
        <f t="shared" si="47"/>
        <v>27609.736407832275</v>
      </c>
      <c r="M138">
        <f t="shared" si="41"/>
        <v>0</v>
      </c>
      <c r="N138" s="30">
        <f t="shared" si="48"/>
        <v>27609.736407832275</v>
      </c>
      <c r="O138" s="30">
        <f t="shared" si="42"/>
        <v>27585.322278317239</v>
      </c>
      <c r="P138" s="30">
        <f t="shared" si="49"/>
        <v>27585.322278317239</v>
      </c>
      <c r="Q138">
        <f t="shared" si="50"/>
        <v>0</v>
      </c>
      <c r="R138" s="30">
        <f t="shared" si="51"/>
        <v>27585.322278317239</v>
      </c>
      <c r="S138" s="30">
        <f t="shared" si="43"/>
        <v>27585.322278317242</v>
      </c>
      <c r="T138" s="30">
        <f t="shared" si="52"/>
        <v>27585.322278317242</v>
      </c>
      <c r="U138">
        <f t="shared" si="53"/>
        <v>0</v>
      </c>
      <c r="V138" s="30">
        <f t="shared" si="54"/>
        <v>27585.322278317242</v>
      </c>
      <c r="W138" s="30">
        <f t="shared" si="44"/>
        <v>27585.322278317242</v>
      </c>
      <c r="X138" s="30">
        <f t="shared" si="55"/>
        <v>27585.322278317242</v>
      </c>
      <c r="Y138">
        <f t="shared" si="56"/>
        <v>0</v>
      </c>
    </row>
    <row r="139" spans="1:25" hidden="1" x14ac:dyDescent="0.25">
      <c r="A139" s="4" t="s">
        <v>927</v>
      </c>
      <c r="B139" s="7" t="s">
        <v>465</v>
      </c>
      <c r="C139" s="2" t="s">
        <v>928</v>
      </c>
      <c r="D139">
        <f>VLOOKUP(B139,'Model allocations'!$A$1:$L$319,4,FALSE)</f>
        <v>11674.300680331942</v>
      </c>
      <c r="E139" s="32">
        <f>VLOOKUP(B139,'Initial adjusted formula count'!$A$1:$P$319,12,FALSE)</f>
        <v>0.16019417475728201</v>
      </c>
      <c r="F139">
        <f>VLOOKUP(B139,'Model allocations'!$A$1:$L$319,9,FALSE)</f>
        <v>10506.870612298748</v>
      </c>
      <c r="G139" s="31">
        <f t="shared" si="45"/>
        <v>0.9</v>
      </c>
      <c r="H139">
        <f t="shared" si="46"/>
        <v>10506.870612298748</v>
      </c>
      <c r="I139">
        <f t="shared" si="38"/>
        <v>0</v>
      </c>
      <c r="J139">
        <f t="shared" si="39"/>
        <v>10506.870612298748</v>
      </c>
      <c r="K139">
        <f t="shared" si="40"/>
        <v>10488.832854881024</v>
      </c>
      <c r="L139">
        <f t="shared" si="47"/>
        <v>10488.832854881024</v>
      </c>
      <c r="M139">
        <f t="shared" si="41"/>
        <v>10506.870612298748</v>
      </c>
      <c r="N139" s="30">
        <f t="shared" si="48"/>
        <v>0</v>
      </c>
      <c r="O139" s="30">
        <f t="shared" si="42"/>
        <v>0</v>
      </c>
      <c r="P139" s="30">
        <f t="shared" si="49"/>
        <v>10506.870612298748</v>
      </c>
      <c r="Q139">
        <f t="shared" si="50"/>
        <v>0</v>
      </c>
      <c r="R139" s="30">
        <f t="shared" si="51"/>
        <v>0</v>
      </c>
      <c r="S139" s="30">
        <f t="shared" si="43"/>
        <v>0</v>
      </c>
      <c r="T139" s="30">
        <f t="shared" si="52"/>
        <v>10506.870612298748</v>
      </c>
      <c r="U139">
        <f t="shared" si="53"/>
        <v>0</v>
      </c>
      <c r="V139" s="30">
        <f t="shared" si="54"/>
        <v>0</v>
      </c>
      <c r="W139" s="30">
        <f t="shared" si="44"/>
        <v>0</v>
      </c>
      <c r="X139" s="30">
        <f t="shared" si="55"/>
        <v>10506.870612298748</v>
      </c>
      <c r="Y139">
        <f t="shared" si="56"/>
        <v>0</v>
      </c>
    </row>
    <row r="140" spans="1:25" hidden="1" x14ac:dyDescent="0.25">
      <c r="A140" s="4" t="s">
        <v>929</v>
      </c>
      <c r="B140" s="7" t="s">
        <v>467</v>
      </c>
      <c r="C140" s="2" t="s">
        <v>930</v>
      </c>
      <c r="D140">
        <f>VLOOKUP(B140,'Model allocations'!$A$1:$L$319,4,FALSE)</f>
        <v>33432.517869891402</v>
      </c>
      <c r="E140" s="32">
        <f>VLOOKUP(B140,'Initial adjusted formula count'!$A$1:$P$319,12,FALSE)</f>
        <v>0.24062500000000001</v>
      </c>
      <c r="F140">
        <f>VLOOKUP(B140,'Model allocations'!$A$1:$L$319,9,FALSE)</f>
        <v>34911.569208511726</v>
      </c>
      <c r="G140" s="31">
        <f t="shared" si="45"/>
        <v>0.9</v>
      </c>
      <c r="H140">
        <f t="shared" si="46"/>
        <v>30089.266082902264</v>
      </c>
      <c r="I140">
        <f t="shared" si="38"/>
        <v>0</v>
      </c>
      <c r="J140">
        <f t="shared" si="39"/>
        <v>34911.569208511726</v>
      </c>
      <c r="K140">
        <f t="shared" si="40"/>
        <v>34851.634482017798</v>
      </c>
      <c r="L140">
        <f t="shared" si="47"/>
        <v>34851.634482017798</v>
      </c>
      <c r="M140">
        <f t="shared" si="41"/>
        <v>0</v>
      </c>
      <c r="N140" s="30">
        <f t="shared" si="48"/>
        <v>34851.634482017798</v>
      </c>
      <c r="O140" s="30">
        <f t="shared" si="42"/>
        <v>34820.816646400453</v>
      </c>
      <c r="P140" s="30">
        <f t="shared" si="49"/>
        <v>34820.816646400453</v>
      </c>
      <c r="Q140">
        <f t="shared" si="50"/>
        <v>0</v>
      </c>
      <c r="R140" s="30">
        <f t="shared" si="51"/>
        <v>34820.816646400453</v>
      </c>
      <c r="S140" s="30">
        <f t="shared" si="43"/>
        <v>34820.816646400461</v>
      </c>
      <c r="T140" s="30">
        <f t="shared" si="52"/>
        <v>34820.816646400461</v>
      </c>
      <c r="U140">
        <f t="shared" si="53"/>
        <v>0</v>
      </c>
      <c r="V140" s="30">
        <f t="shared" si="54"/>
        <v>34820.816646400461</v>
      </c>
      <c r="W140" s="30">
        <f t="shared" si="44"/>
        <v>34820.816646400461</v>
      </c>
      <c r="X140" s="30">
        <f t="shared" si="55"/>
        <v>34820.816646400461</v>
      </c>
      <c r="Y140">
        <f t="shared" si="56"/>
        <v>0</v>
      </c>
    </row>
    <row r="141" spans="1:25" x14ac:dyDescent="0.25">
      <c r="A141" s="4" t="s">
        <v>931</v>
      </c>
      <c r="B141" s="7" t="s">
        <v>167</v>
      </c>
      <c r="C141" s="2" t="s">
        <v>932</v>
      </c>
      <c r="D141">
        <f>VLOOKUP(B141,'Model allocations'!$A$1:$L$319,4,FALSE)</f>
        <v>0</v>
      </c>
      <c r="E141" s="32">
        <f>VLOOKUP(B141,'Initial adjusted formula count'!$A$1:$P$319,12,FALSE)</f>
        <v>0.119180484693878</v>
      </c>
      <c r="F141">
        <f>VLOOKUP(B141,'Model allocations'!$A$1:$L$319,9,FALSE)</f>
        <v>0</v>
      </c>
      <c r="G141" s="31">
        <f t="shared" si="45"/>
        <v>0.85</v>
      </c>
      <c r="H141">
        <f t="shared" si="46"/>
        <v>0</v>
      </c>
      <c r="I141">
        <f t="shared" si="38"/>
        <v>0</v>
      </c>
      <c r="J141">
        <f t="shared" si="39"/>
        <v>0</v>
      </c>
      <c r="K141">
        <f t="shared" si="40"/>
        <v>0</v>
      </c>
      <c r="L141">
        <f t="shared" si="47"/>
        <v>0</v>
      </c>
      <c r="M141">
        <f t="shared" si="41"/>
        <v>0</v>
      </c>
      <c r="N141" s="30">
        <f t="shared" si="48"/>
        <v>0</v>
      </c>
      <c r="O141" s="30">
        <f t="shared" si="42"/>
        <v>0</v>
      </c>
      <c r="P141" s="30">
        <f t="shared" si="49"/>
        <v>0</v>
      </c>
      <c r="Q141">
        <f t="shared" si="50"/>
        <v>0</v>
      </c>
      <c r="R141" s="30">
        <f t="shared" si="51"/>
        <v>0</v>
      </c>
      <c r="S141" s="30">
        <f t="shared" si="43"/>
        <v>0</v>
      </c>
      <c r="T141" s="30">
        <f t="shared" si="52"/>
        <v>0</v>
      </c>
      <c r="U141">
        <f t="shared" si="53"/>
        <v>0</v>
      </c>
      <c r="V141" s="30">
        <f t="shared" si="54"/>
        <v>0</v>
      </c>
      <c r="W141" s="30">
        <f t="shared" si="44"/>
        <v>0</v>
      </c>
      <c r="X141" s="30">
        <f t="shared" si="55"/>
        <v>0</v>
      </c>
      <c r="Y141">
        <f t="shared" si="56"/>
        <v>0</v>
      </c>
    </row>
    <row r="142" spans="1:25" hidden="1" x14ac:dyDescent="0.25">
      <c r="A142" s="4" t="s">
        <v>933</v>
      </c>
      <c r="B142" s="7" t="s">
        <v>469</v>
      </c>
      <c r="C142" s="2" t="s">
        <v>934</v>
      </c>
      <c r="D142">
        <f>VLOOKUP(B142,'Model allocations'!$A$1:$L$319,4,FALSE)</f>
        <v>0</v>
      </c>
      <c r="E142" s="32">
        <f>VLOOKUP(B142,'Initial adjusted formula count'!$A$1:$P$319,12,FALSE)</f>
        <v>0.12937062937062899</v>
      </c>
      <c r="F142">
        <f>VLOOKUP(B142,'Model allocations'!$A$1:$L$319,9,FALSE)</f>
        <v>0</v>
      </c>
      <c r="G142" s="31">
        <f t="shared" si="45"/>
        <v>0.85</v>
      </c>
      <c r="H142">
        <f t="shared" si="46"/>
        <v>0</v>
      </c>
      <c r="I142">
        <f t="shared" si="38"/>
        <v>0</v>
      </c>
      <c r="J142">
        <f t="shared" si="39"/>
        <v>0</v>
      </c>
      <c r="K142">
        <f t="shared" si="40"/>
        <v>0</v>
      </c>
      <c r="L142">
        <f t="shared" si="47"/>
        <v>0</v>
      </c>
      <c r="M142">
        <f t="shared" si="41"/>
        <v>0</v>
      </c>
      <c r="N142" s="30">
        <f t="shared" si="48"/>
        <v>0</v>
      </c>
      <c r="O142" s="30">
        <f t="shared" si="42"/>
        <v>0</v>
      </c>
      <c r="P142" s="30">
        <f t="shared" si="49"/>
        <v>0</v>
      </c>
      <c r="Q142">
        <f t="shared" si="50"/>
        <v>0</v>
      </c>
      <c r="R142" s="30">
        <f t="shared" si="51"/>
        <v>0</v>
      </c>
      <c r="S142" s="30">
        <f t="shared" si="43"/>
        <v>0</v>
      </c>
      <c r="T142" s="30">
        <f t="shared" si="52"/>
        <v>0</v>
      </c>
      <c r="U142">
        <f t="shared" si="53"/>
        <v>0</v>
      </c>
      <c r="V142" s="30">
        <f t="shared" si="54"/>
        <v>0</v>
      </c>
      <c r="W142" s="30">
        <f t="shared" si="44"/>
        <v>0</v>
      </c>
      <c r="X142" s="30">
        <f t="shared" si="55"/>
        <v>0</v>
      </c>
      <c r="Y142">
        <f t="shared" si="56"/>
        <v>0</v>
      </c>
    </row>
    <row r="143" spans="1:25" x14ac:dyDescent="0.25">
      <c r="A143" s="4" t="s">
        <v>935</v>
      </c>
      <c r="B143" s="7" t="s">
        <v>169</v>
      </c>
      <c r="C143" s="2" t="s">
        <v>936</v>
      </c>
      <c r="D143">
        <f>VLOOKUP(B143,'Model allocations'!$A$1:$L$319,4,FALSE)</f>
        <v>0</v>
      </c>
      <c r="E143" s="32">
        <f>VLOOKUP(B143,'Initial adjusted formula count'!$A$1:$P$319,12,FALSE)</f>
        <v>8.5802263648468699E-2</v>
      </c>
      <c r="F143">
        <f>VLOOKUP(B143,'Model allocations'!$A$1:$L$319,9,FALSE)</f>
        <v>0</v>
      </c>
      <c r="G143" s="31">
        <f t="shared" si="45"/>
        <v>0.85</v>
      </c>
      <c r="H143">
        <f t="shared" si="46"/>
        <v>0</v>
      </c>
      <c r="I143">
        <f t="shared" si="38"/>
        <v>0</v>
      </c>
      <c r="J143">
        <f t="shared" si="39"/>
        <v>0</v>
      </c>
      <c r="K143">
        <f t="shared" si="40"/>
        <v>0</v>
      </c>
      <c r="L143">
        <f t="shared" si="47"/>
        <v>0</v>
      </c>
      <c r="M143">
        <f t="shared" si="41"/>
        <v>0</v>
      </c>
      <c r="N143" s="30">
        <f t="shared" si="48"/>
        <v>0</v>
      </c>
      <c r="O143" s="30">
        <f t="shared" si="42"/>
        <v>0</v>
      </c>
      <c r="P143" s="30">
        <f t="shared" si="49"/>
        <v>0</v>
      </c>
      <c r="Q143">
        <f t="shared" si="50"/>
        <v>0</v>
      </c>
      <c r="R143" s="30">
        <f t="shared" si="51"/>
        <v>0</v>
      </c>
      <c r="S143" s="30">
        <f t="shared" si="43"/>
        <v>0</v>
      </c>
      <c r="T143" s="30">
        <f t="shared" si="52"/>
        <v>0</v>
      </c>
      <c r="U143">
        <f t="shared" si="53"/>
        <v>0</v>
      </c>
      <c r="V143" s="30">
        <f t="shared" si="54"/>
        <v>0</v>
      </c>
      <c r="W143" s="30">
        <f t="shared" si="44"/>
        <v>0</v>
      </c>
      <c r="X143" s="30">
        <f t="shared" si="55"/>
        <v>0</v>
      </c>
      <c r="Y143">
        <f t="shared" si="56"/>
        <v>0</v>
      </c>
    </row>
    <row r="144" spans="1:25" x14ac:dyDescent="0.25">
      <c r="A144" s="4" t="s">
        <v>937</v>
      </c>
      <c r="B144" s="7" t="s">
        <v>171</v>
      </c>
      <c r="C144" s="2" t="s">
        <v>938</v>
      </c>
      <c r="D144">
        <f>VLOOKUP(B144,'Model allocations'!$A$1:$L$319,4,FALSE)</f>
        <v>0</v>
      </c>
      <c r="E144" s="32">
        <f>VLOOKUP(B144,'Initial adjusted formula count'!$A$1:$P$319,12,FALSE)</f>
        <v>0.117157134925042</v>
      </c>
      <c r="F144">
        <f>VLOOKUP(B144,'Model allocations'!$A$1:$L$319,9,FALSE)</f>
        <v>0</v>
      </c>
      <c r="G144" s="31">
        <f t="shared" si="45"/>
        <v>0.85</v>
      </c>
      <c r="H144">
        <f t="shared" si="46"/>
        <v>0</v>
      </c>
      <c r="I144">
        <f t="shared" si="38"/>
        <v>0</v>
      </c>
      <c r="J144">
        <f t="shared" si="39"/>
        <v>0</v>
      </c>
      <c r="K144">
        <f t="shared" si="40"/>
        <v>0</v>
      </c>
      <c r="L144">
        <f t="shared" si="47"/>
        <v>0</v>
      </c>
      <c r="M144">
        <f t="shared" si="41"/>
        <v>0</v>
      </c>
      <c r="N144" s="30">
        <f t="shared" si="48"/>
        <v>0</v>
      </c>
      <c r="O144" s="30">
        <f t="shared" si="42"/>
        <v>0</v>
      </c>
      <c r="P144" s="30">
        <f t="shared" si="49"/>
        <v>0</v>
      </c>
      <c r="Q144">
        <f t="shared" si="50"/>
        <v>0</v>
      </c>
      <c r="R144" s="30">
        <f t="shared" si="51"/>
        <v>0</v>
      </c>
      <c r="S144" s="30">
        <f t="shared" si="43"/>
        <v>0</v>
      </c>
      <c r="T144" s="30">
        <f t="shared" si="52"/>
        <v>0</v>
      </c>
      <c r="U144">
        <f t="shared" si="53"/>
        <v>0</v>
      </c>
      <c r="V144" s="30">
        <f t="shared" si="54"/>
        <v>0</v>
      </c>
      <c r="W144" s="30">
        <f t="shared" si="44"/>
        <v>0</v>
      </c>
      <c r="X144" s="30">
        <f t="shared" si="55"/>
        <v>0</v>
      </c>
      <c r="Y144">
        <f t="shared" si="56"/>
        <v>0</v>
      </c>
    </row>
    <row r="145" spans="1:25" x14ac:dyDescent="0.25">
      <c r="A145" s="4" t="s">
        <v>939</v>
      </c>
      <c r="B145" s="7" t="s">
        <v>173</v>
      </c>
      <c r="C145" s="2" t="s">
        <v>940</v>
      </c>
      <c r="D145">
        <f>VLOOKUP(B145,'Model allocations'!$A$1:$L$319,4,FALSE)</f>
        <v>0</v>
      </c>
      <c r="E145" s="32">
        <f>VLOOKUP(B145,'Initial adjusted formula count'!$A$1:$P$319,12,FALSE)</f>
        <v>2.4190241902418998E-2</v>
      </c>
      <c r="F145">
        <f>VLOOKUP(B145,'Model allocations'!$A$1:$L$319,9,FALSE)</f>
        <v>0</v>
      </c>
      <c r="G145" s="31">
        <f t="shared" si="45"/>
        <v>0.85</v>
      </c>
      <c r="H145">
        <f t="shared" si="46"/>
        <v>0</v>
      </c>
      <c r="I145">
        <f t="shared" si="38"/>
        <v>0</v>
      </c>
      <c r="J145">
        <f t="shared" si="39"/>
        <v>0</v>
      </c>
      <c r="K145">
        <f t="shared" si="40"/>
        <v>0</v>
      </c>
      <c r="L145">
        <f t="shared" si="47"/>
        <v>0</v>
      </c>
      <c r="M145">
        <f t="shared" si="41"/>
        <v>0</v>
      </c>
      <c r="N145" s="30">
        <f t="shared" si="48"/>
        <v>0</v>
      </c>
      <c r="O145" s="30">
        <f t="shared" si="42"/>
        <v>0</v>
      </c>
      <c r="P145" s="30">
        <f t="shared" si="49"/>
        <v>0</v>
      </c>
      <c r="Q145">
        <f t="shared" si="50"/>
        <v>0</v>
      </c>
      <c r="R145" s="30">
        <f t="shared" si="51"/>
        <v>0</v>
      </c>
      <c r="S145" s="30">
        <f t="shared" si="43"/>
        <v>0</v>
      </c>
      <c r="T145" s="30">
        <f t="shared" si="52"/>
        <v>0</v>
      </c>
      <c r="U145">
        <f t="shared" si="53"/>
        <v>0</v>
      </c>
      <c r="V145" s="30">
        <f t="shared" si="54"/>
        <v>0</v>
      </c>
      <c r="W145" s="30">
        <f t="shared" si="44"/>
        <v>0</v>
      </c>
      <c r="X145" s="30">
        <f t="shared" si="55"/>
        <v>0</v>
      </c>
      <c r="Y145">
        <f t="shared" si="56"/>
        <v>0</v>
      </c>
    </row>
    <row r="146" spans="1:25" x14ac:dyDescent="0.25">
      <c r="A146" s="4" t="s">
        <v>941</v>
      </c>
      <c r="B146" s="7" t="s">
        <v>175</v>
      </c>
      <c r="C146" s="2" t="s">
        <v>942</v>
      </c>
      <c r="D146">
        <f>VLOOKUP(B146,'Model allocations'!$A$1:$L$319,4,FALSE)</f>
        <v>0</v>
      </c>
      <c r="E146" s="32">
        <f>VLOOKUP(B146,'Initial adjusted formula count'!$A$1:$P$319,12,FALSE)</f>
        <v>0.120234604105572</v>
      </c>
      <c r="F146">
        <f>VLOOKUP(B146,'Model allocations'!$A$1:$L$319,9,FALSE)</f>
        <v>0</v>
      </c>
      <c r="G146" s="31">
        <f t="shared" si="45"/>
        <v>0.85</v>
      </c>
      <c r="H146">
        <f t="shared" si="46"/>
        <v>0</v>
      </c>
      <c r="I146">
        <f t="shared" si="38"/>
        <v>0</v>
      </c>
      <c r="J146">
        <f t="shared" si="39"/>
        <v>0</v>
      </c>
      <c r="K146">
        <f t="shared" si="40"/>
        <v>0</v>
      </c>
      <c r="L146">
        <f t="shared" si="47"/>
        <v>0</v>
      </c>
      <c r="M146">
        <f t="shared" si="41"/>
        <v>0</v>
      </c>
      <c r="N146" s="30">
        <f t="shared" si="48"/>
        <v>0</v>
      </c>
      <c r="O146" s="30">
        <f t="shared" si="42"/>
        <v>0</v>
      </c>
      <c r="P146" s="30">
        <f t="shared" si="49"/>
        <v>0</v>
      </c>
      <c r="Q146">
        <f t="shared" si="50"/>
        <v>0</v>
      </c>
      <c r="R146" s="30">
        <f t="shared" si="51"/>
        <v>0</v>
      </c>
      <c r="S146" s="30">
        <f t="shared" si="43"/>
        <v>0</v>
      </c>
      <c r="T146" s="30">
        <f t="shared" si="52"/>
        <v>0</v>
      </c>
      <c r="U146">
        <f t="shared" si="53"/>
        <v>0</v>
      </c>
      <c r="V146" s="30">
        <f t="shared" si="54"/>
        <v>0</v>
      </c>
      <c r="W146" s="30">
        <f t="shared" si="44"/>
        <v>0</v>
      </c>
      <c r="X146" s="30">
        <f t="shared" si="55"/>
        <v>0</v>
      </c>
      <c r="Y146">
        <f t="shared" si="56"/>
        <v>0</v>
      </c>
    </row>
    <row r="147" spans="1:25" hidden="1" x14ac:dyDescent="0.25">
      <c r="A147" s="4" t="s">
        <v>943</v>
      </c>
      <c r="B147" s="7" t="s">
        <v>471</v>
      </c>
      <c r="C147" s="2" t="s">
        <v>944</v>
      </c>
      <c r="D147">
        <f>VLOOKUP(B147,'Model allocations'!$A$1:$L$319,4,FALSE)</f>
        <v>21764.485325079004</v>
      </c>
      <c r="E147" s="32">
        <f>VLOOKUP(B147,'Initial adjusted formula count'!$A$1:$P$319,12,FALSE)</f>
        <v>8.1490104772991803E-2</v>
      </c>
      <c r="F147">
        <f>VLOOKUP(B147,'Model allocations'!$A$1:$L$319,9,FALSE)</f>
        <v>18499.812526317153</v>
      </c>
      <c r="G147" s="31">
        <f t="shared" si="45"/>
        <v>0.85</v>
      </c>
      <c r="H147">
        <f t="shared" si="46"/>
        <v>18499.812526317153</v>
      </c>
      <c r="I147">
        <f t="shared" si="38"/>
        <v>0</v>
      </c>
      <c r="J147">
        <f t="shared" si="39"/>
        <v>18499.812526317153</v>
      </c>
      <c r="K147">
        <f t="shared" si="40"/>
        <v>18468.052819460911</v>
      </c>
      <c r="L147">
        <f t="shared" si="47"/>
        <v>18468.052819460911</v>
      </c>
      <c r="M147">
        <f t="shared" si="41"/>
        <v>18499.812526317153</v>
      </c>
      <c r="N147" s="30">
        <f t="shared" si="48"/>
        <v>0</v>
      </c>
      <c r="O147" s="30">
        <f t="shared" si="42"/>
        <v>0</v>
      </c>
      <c r="P147" s="30">
        <f t="shared" si="49"/>
        <v>18499.812526317153</v>
      </c>
      <c r="Q147">
        <f t="shared" si="50"/>
        <v>0</v>
      </c>
      <c r="R147" s="30">
        <f t="shared" si="51"/>
        <v>0</v>
      </c>
      <c r="S147" s="30">
        <f t="shared" si="43"/>
        <v>0</v>
      </c>
      <c r="T147" s="30">
        <f t="shared" si="52"/>
        <v>18499.812526317153</v>
      </c>
      <c r="U147">
        <f t="shared" si="53"/>
        <v>0</v>
      </c>
      <c r="V147" s="30">
        <f t="shared" si="54"/>
        <v>0</v>
      </c>
      <c r="W147" s="30">
        <f t="shared" si="44"/>
        <v>0</v>
      </c>
      <c r="X147" s="30">
        <f t="shared" si="55"/>
        <v>18499.812526317153</v>
      </c>
      <c r="Y147">
        <f t="shared" si="56"/>
        <v>0</v>
      </c>
    </row>
    <row r="148" spans="1:25" hidden="1" x14ac:dyDescent="0.25">
      <c r="A148" s="4" t="s">
        <v>945</v>
      </c>
      <c r="B148" s="7" t="s">
        <v>473</v>
      </c>
      <c r="C148" s="2" t="s">
        <v>946</v>
      </c>
      <c r="D148">
        <f>VLOOKUP(B148,'Model allocations'!$A$1:$L$319,4,FALSE)</f>
        <v>2539.1785723968155</v>
      </c>
      <c r="E148" s="32">
        <f>VLOOKUP(B148,'Initial adjusted formula count'!$A$1:$P$319,12,FALSE)</f>
        <v>0.24324324324324301</v>
      </c>
      <c r="F148">
        <f>VLOOKUP(B148,'Model allocations'!$A$1:$L$319,9,FALSE)</f>
        <v>4080.5730243715007</v>
      </c>
      <c r="G148" s="31">
        <f t="shared" si="45"/>
        <v>0.9</v>
      </c>
      <c r="H148">
        <f t="shared" si="46"/>
        <v>2285.2607151571342</v>
      </c>
      <c r="I148">
        <f t="shared" si="38"/>
        <v>0</v>
      </c>
      <c r="J148">
        <f t="shared" si="39"/>
        <v>4080.5730243715007</v>
      </c>
      <c r="K148">
        <f t="shared" si="40"/>
        <v>4073.5676667293533</v>
      </c>
      <c r="L148">
        <f t="shared" si="47"/>
        <v>4073.5676667293533</v>
      </c>
      <c r="M148">
        <f t="shared" si="41"/>
        <v>0</v>
      </c>
      <c r="N148" s="30">
        <f t="shared" si="48"/>
        <v>4073.5676667293533</v>
      </c>
      <c r="O148" s="30">
        <f t="shared" si="42"/>
        <v>4069.965582046807</v>
      </c>
      <c r="P148" s="30">
        <f t="shared" si="49"/>
        <v>4069.965582046807</v>
      </c>
      <c r="Q148">
        <f t="shared" si="50"/>
        <v>0</v>
      </c>
      <c r="R148" s="30">
        <f t="shared" si="51"/>
        <v>4069.965582046807</v>
      </c>
      <c r="S148" s="30">
        <f t="shared" si="43"/>
        <v>4069.9655820468079</v>
      </c>
      <c r="T148" s="30">
        <f t="shared" si="52"/>
        <v>4069.9655820468079</v>
      </c>
      <c r="U148">
        <f t="shared" si="53"/>
        <v>0</v>
      </c>
      <c r="V148" s="30">
        <f t="shared" si="54"/>
        <v>4069.9655820468079</v>
      </c>
      <c r="W148" s="30">
        <f t="shared" si="44"/>
        <v>4069.9655820468079</v>
      </c>
      <c r="X148" s="30">
        <f t="shared" si="55"/>
        <v>4069.9655820468079</v>
      </c>
      <c r="Y148">
        <f t="shared" si="56"/>
        <v>0</v>
      </c>
    </row>
    <row r="149" spans="1:25" x14ac:dyDescent="0.25">
      <c r="A149" s="4" t="s">
        <v>947</v>
      </c>
      <c r="B149" s="7" t="s">
        <v>177</v>
      </c>
      <c r="C149" s="2" t="s">
        <v>948</v>
      </c>
      <c r="D149">
        <f>VLOOKUP(B149,'Model allocations'!$A$1:$L$319,4,FALSE)</f>
        <v>0</v>
      </c>
      <c r="E149" s="32">
        <f>VLOOKUP(B149,'Initial adjusted formula count'!$A$1:$P$319,12,FALSE)</f>
        <v>6.6185318892900094E-2</v>
      </c>
      <c r="F149">
        <f>VLOOKUP(B149,'Model allocations'!$A$1:$L$319,9,FALSE)</f>
        <v>0</v>
      </c>
      <c r="G149" s="31">
        <f t="shared" si="45"/>
        <v>0.85</v>
      </c>
      <c r="H149">
        <f t="shared" si="46"/>
        <v>0</v>
      </c>
      <c r="I149">
        <f t="shared" si="38"/>
        <v>0</v>
      </c>
      <c r="J149">
        <f t="shared" si="39"/>
        <v>0</v>
      </c>
      <c r="K149">
        <f t="shared" si="40"/>
        <v>0</v>
      </c>
      <c r="L149">
        <f t="shared" si="47"/>
        <v>0</v>
      </c>
      <c r="M149">
        <f t="shared" si="41"/>
        <v>0</v>
      </c>
      <c r="N149" s="30">
        <f t="shared" si="48"/>
        <v>0</v>
      </c>
      <c r="O149" s="30">
        <f t="shared" si="42"/>
        <v>0</v>
      </c>
      <c r="P149" s="30">
        <f t="shared" si="49"/>
        <v>0</v>
      </c>
      <c r="Q149">
        <f t="shared" si="50"/>
        <v>0</v>
      </c>
      <c r="R149" s="30">
        <f t="shared" si="51"/>
        <v>0</v>
      </c>
      <c r="S149" s="30">
        <f t="shared" si="43"/>
        <v>0</v>
      </c>
      <c r="T149" s="30">
        <f t="shared" si="52"/>
        <v>0</v>
      </c>
      <c r="U149">
        <f t="shared" si="53"/>
        <v>0</v>
      </c>
      <c r="V149" s="30">
        <f t="shared" si="54"/>
        <v>0</v>
      </c>
      <c r="W149" s="30">
        <f t="shared" si="44"/>
        <v>0</v>
      </c>
      <c r="X149" s="30">
        <f t="shared" si="55"/>
        <v>0</v>
      </c>
      <c r="Y149">
        <f t="shared" si="56"/>
        <v>0</v>
      </c>
    </row>
    <row r="150" spans="1:25" hidden="1" x14ac:dyDescent="0.25">
      <c r="A150" s="4" t="s">
        <v>949</v>
      </c>
      <c r="B150" s="7" t="s">
        <v>475</v>
      </c>
      <c r="C150" s="2" t="s">
        <v>950</v>
      </c>
      <c r="D150">
        <f>VLOOKUP(B150,'Model allocations'!$A$1:$L$319,4,FALSE)</f>
        <v>30928.722426136457</v>
      </c>
      <c r="E150" s="32">
        <f>VLOOKUP(B150,'Initial adjusted formula count'!$A$1:$P$319,12,FALSE)</f>
        <v>0.15967016491754099</v>
      </c>
      <c r="F150">
        <f>VLOOKUP(B150,'Model allocations'!$A$1:$L$319,9,FALSE)</f>
        <v>48286.780788396092</v>
      </c>
      <c r="G150" s="31">
        <f t="shared" si="45"/>
        <v>0.9</v>
      </c>
      <c r="H150">
        <f t="shared" si="46"/>
        <v>27835.850183522813</v>
      </c>
      <c r="I150">
        <f t="shared" si="38"/>
        <v>0</v>
      </c>
      <c r="J150">
        <f t="shared" si="39"/>
        <v>48286.780788396092</v>
      </c>
      <c r="K150">
        <f t="shared" si="40"/>
        <v>48203.884056297349</v>
      </c>
      <c r="L150">
        <f t="shared" si="47"/>
        <v>48203.884056297349</v>
      </c>
      <c r="M150">
        <f t="shared" si="41"/>
        <v>0</v>
      </c>
      <c r="N150" s="30">
        <f t="shared" si="48"/>
        <v>48203.884056297349</v>
      </c>
      <c r="O150" s="30">
        <f t="shared" si="42"/>
        <v>48161.259387553881</v>
      </c>
      <c r="P150" s="30">
        <f t="shared" si="49"/>
        <v>48161.259387553881</v>
      </c>
      <c r="Q150">
        <f t="shared" si="50"/>
        <v>0</v>
      </c>
      <c r="R150" s="30">
        <f t="shared" si="51"/>
        <v>48161.259387553881</v>
      </c>
      <c r="S150" s="30">
        <f t="shared" si="43"/>
        <v>48161.259387553895</v>
      </c>
      <c r="T150" s="30">
        <f t="shared" si="52"/>
        <v>48161.259387553895</v>
      </c>
      <c r="U150">
        <f t="shared" si="53"/>
        <v>0</v>
      </c>
      <c r="V150" s="30">
        <f t="shared" si="54"/>
        <v>48161.259387553895</v>
      </c>
      <c r="W150" s="30">
        <f t="shared" si="44"/>
        <v>48161.259387553895</v>
      </c>
      <c r="X150" s="30">
        <f t="shared" si="55"/>
        <v>48161.259387553895</v>
      </c>
      <c r="Y150">
        <f t="shared" si="56"/>
        <v>0</v>
      </c>
    </row>
    <row r="151" spans="1:25" hidden="1" x14ac:dyDescent="0.25">
      <c r="A151" s="4" t="s">
        <v>951</v>
      </c>
      <c r="B151" s="7" t="s">
        <v>477</v>
      </c>
      <c r="C151" s="2" t="s">
        <v>952</v>
      </c>
      <c r="D151">
        <f>VLOOKUP(B151,'Model allocations'!$A$1:$L$319,4,FALSE)</f>
        <v>13965.48214818248</v>
      </c>
      <c r="E151" s="32">
        <f>VLOOKUP(B151,'Initial adjusted formula count'!$A$1:$P$319,12,FALSE)</f>
        <v>0.13213213213213201</v>
      </c>
      <c r="F151">
        <f>VLOOKUP(B151,'Model allocations'!$A$1:$L$319,9,FALSE)</f>
        <v>11870.659825955108</v>
      </c>
      <c r="G151" s="31">
        <f t="shared" si="45"/>
        <v>0.85</v>
      </c>
      <c r="H151">
        <f t="shared" si="46"/>
        <v>11870.659825955108</v>
      </c>
      <c r="I151">
        <f t="shared" si="38"/>
        <v>0</v>
      </c>
      <c r="J151">
        <f t="shared" si="39"/>
        <v>11870.659825955108</v>
      </c>
      <c r="K151">
        <f t="shared" si="40"/>
        <v>11850.280772074093</v>
      </c>
      <c r="L151">
        <f t="shared" si="47"/>
        <v>11850.280772074093</v>
      </c>
      <c r="M151">
        <f t="shared" si="41"/>
        <v>11870.659825955108</v>
      </c>
      <c r="N151" s="30">
        <f t="shared" si="48"/>
        <v>0</v>
      </c>
      <c r="O151" s="30">
        <f t="shared" si="42"/>
        <v>0</v>
      </c>
      <c r="P151" s="30">
        <f t="shared" si="49"/>
        <v>11870.659825955108</v>
      </c>
      <c r="Q151">
        <f t="shared" si="50"/>
        <v>0</v>
      </c>
      <c r="R151" s="30">
        <f t="shared" si="51"/>
        <v>0</v>
      </c>
      <c r="S151" s="30">
        <f t="shared" si="43"/>
        <v>0</v>
      </c>
      <c r="T151" s="30">
        <f t="shared" si="52"/>
        <v>11870.659825955108</v>
      </c>
      <c r="U151">
        <f t="shared" si="53"/>
        <v>0</v>
      </c>
      <c r="V151" s="30">
        <f t="shared" si="54"/>
        <v>0</v>
      </c>
      <c r="W151" s="30">
        <f t="shared" si="44"/>
        <v>0</v>
      </c>
      <c r="X151" s="30">
        <f t="shared" si="55"/>
        <v>11870.659825955108</v>
      </c>
      <c r="Y151">
        <f t="shared" si="56"/>
        <v>0</v>
      </c>
    </row>
    <row r="152" spans="1:25" hidden="1" x14ac:dyDescent="0.25">
      <c r="A152" s="4" t="s">
        <v>953</v>
      </c>
      <c r="B152" s="7" t="s">
        <v>479</v>
      </c>
      <c r="C152" s="2" t="s">
        <v>954</v>
      </c>
      <c r="D152">
        <f>VLOOKUP(B152,'Model allocations'!$A$1:$L$319,4,FALSE)</f>
        <v>307098.88467863784</v>
      </c>
      <c r="E152" s="32">
        <f>VLOOKUP(B152,'Initial adjusted formula count'!$A$1:$P$319,12,FALSE)</f>
        <v>0.141246412464125</v>
      </c>
      <c r="F152">
        <f>VLOOKUP(B152,'Model allocations'!$A$1:$L$319,9,FALSE)</f>
        <v>261034.05197684217</v>
      </c>
      <c r="G152" s="31">
        <f t="shared" si="45"/>
        <v>0.85</v>
      </c>
      <c r="H152">
        <f t="shared" si="46"/>
        <v>261034.05197684217</v>
      </c>
      <c r="I152">
        <f t="shared" si="38"/>
        <v>0</v>
      </c>
      <c r="J152">
        <f t="shared" si="39"/>
        <v>261034.05197684217</v>
      </c>
      <c r="K152">
        <f t="shared" si="40"/>
        <v>260585.91959936603</v>
      </c>
      <c r="L152">
        <f t="shared" si="47"/>
        <v>260585.91959936603</v>
      </c>
      <c r="M152">
        <f t="shared" si="41"/>
        <v>261034.05197684217</v>
      </c>
      <c r="N152" s="30">
        <f t="shared" si="48"/>
        <v>0</v>
      </c>
      <c r="O152" s="30">
        <f t="shared" si="42"/>
        <v>0</v>
      </c>
      <c r="P152" s="30">
        <f t="shared" si="49"/>
        <v>261034.05197684217</v>
      </c>
      <c r="Q152">
        <f t="shared" si="50"/>
        <v>0</v>
      </c>
      <c r="R152" s="30">
        <f t="shared" si="51"/>
        <v>0</v>
      </c>
      <c r="S152" s="30">
        <f t="shared" si="43"/>
        <v>0</v>
      </c>
      <c r="T152" s="30">
        <f t="shared" si="52"/>
        <v>261034.05197684217</v>
      </c>
      <c r="U152">
        <f t="shared" si="53"/>
        <v>0</v>
      </c>
      <c r="V152" s="30">
        <f t="shared" si="54"/>
        <v>0</v>
      </c>
      <c r="W152" s="30">
        <f t="shared" si="44"/>
        <v>0</v>
      </c>
      <c r="X152" s="30">
        <f t="shared" si="55"/>
        <v>261034.05197684217</v>
      </c>
      <c r="Y152">
        <f t="shared" si="56"/>
        <v>0</v>
      </c>
    </row>
    <row r="153" spans="1:25" hidden="1" x14ac:dyDescent="0.25">
      <c r="A153" s="4" t="s">
        <v>955</v>
      </c>
      <c r="B153" s="7" t="s">
        <v>481</v>
      </c>
      <c r="C153" s="2" t="s">
        <v>956</v>
      </c>
      <c r="D153">
        <f>VLOOKUP(B153,'Model allocations'!$A$1:$L$319,4,FALSE)</f>
        <v>22852.607151571341</v>
      </c>
      <c r="E153" s="32">
        <f>VLOOKUP(B153,'Initial adjusted formula count'!$A$1:$P$319,12,FALSE)</f>
        <v>0.18025751072961399</v>
      </c>
      <c r="F153">
        <f>VLOOKUP(B153,'Model allocations'!$A$1:$L$319,9,FALSE)</f>
        <v>28564.011170600497</v>
      </c>
      <c r="G153" s="31">
        <f t="shared" si="45"/>
        <v>0.9</v>
      </c>
      <c r="H153">
        <f t="shared" si="46"/>
        <v>20567.346436414209</v>
      </c>
      <c r="I153">
        <f t="shared" si="38"/>
        <v>0</v>
      </c>
      <c r="J153">
        <f t="shared" si="39"/>
        <v>28564.011170600497</v>
      </c>
      <c r="K153">
        <f t="shared" si="40"/>
        <v>28514.973667105471</v>
      </c>
      <c r="L153">
        <f t="shared" si="47"/>
        <v>28514.973667105471</v>
      </c>
      <c r="M153">
        <f t="shared" si="41"/>
        <v>0</v>
      </c>
      <c r="N153" s="30">
        <f t="shared" si="48"/>
        <v>28514.973667105471</v>
      </c>
      <c r="O153" s="30">
        <f t="shared" si="42"/>
        <v>28489.759074327649</v>
      </c>
      <c r="P153" s="30">
        <f t="shared" si="49"/>
        <v>28489.759074327649</v>
      </c>
      <c r="Q153">
        <f t="shared" si="50"/>
        <v>0</v>
      </c>
      <c r="R153" s="30">
        <f t="shared" si="51"/>
        <v>28489.759074327649</v>
      </c>
      <c r="S153" s="30">
        <f t="shared" si="43"/>
        <v>28489.759074327656</v>
      </c>
      <c r="T153" s="30">
        <f t="shared" si="52"/>
        <v>28489.759074327656</v>
      </c>
      <c r="U153">
        <f t="shared" si="53"/>
        <v>0</v>
      </c>
      <c r="V153" s="30">
        <f t="shared" si="54"/>
        <v>28489.759074327656</v>
      </c>
      <c r="W153" s="30">
        <f t="shared" si="44"/>
        <v>28489.759074327656</v>
      </c>
      <c r="X153" s="30">
        <f t="shared" si="55"/>
        <v>28489.759074327656</v>
      </c>
      <c r="Y153">
        <f t="shared" si="56"/>
        <v>0</v>
      </c>
    </row>
    <row r="154" spans="1:25" hidden="1" x14ac:dyDescent="0.25">
      <c r="A154" s="4" t="s">
        <v>957</v>
      </c>
      <c r="B154" s="7" t="s">
        <v>483</v>
      </c>
      <c r="C154" s="2" t="s">
        <v>958</v>
      </c>
      <c r="D154">
        <f>VLOOKUP(B154,'Model allocations'!$A$1:$L$319,4,FALSE)</f>
        <v>55227.133949630741</v>
      </c>
      <c r="E154" s="32">
        <f>VLOOKUP(B154,'Initial adjusted formula count'!$A$1:$P$319,12,FALSE)</f>
        <v>0.27354709418837703</v>
      </c>
      <c r="F154">
        <f>VLOOKUP(B154,'Model allocations'!$A$1:$L$319,9,FALSE)</f>
        <v>61888.690869634411</v>
      </c>
      <c r="G154" s="31">
        <f t="shared" si="45"/>
        <v>0.9</v>
      </c>
      <c r="H154">
        <f t="shared" si="46"/>
        <v>49704.420554667668</v>
      </c>
      <c r="I154">
        <f t="shared" si="38"/>
        <v>0</v>
      </c>
      <c r="J154">
        <f t="shared" si="39"/>
        <v>61888.690869634411</v>
      </c>
      <c r="K154">
        <f t="shared" si="40"/>
        <v>61782.442945395174</v>
      </c>
      <c r="L154">
        <f t="shared" si="47"/>
        <v>61782.442945395174</v>
      </c>
      <c r="M154">
        <f t="shared" si="41"/>
        <v>0</v>
      </c>
      <c r="N154" s="30">
        <f t="shared" si="48"/>
        <v>61782.442945395174</v>
      </c>
      <c r="O154" s="30">
        <f t="shared" si="42"/>
        <v>61727.811327709882</v>
      </c>
      <c r="P154" s="30">
        <f t="shared" si="49"/>
        <v>61727.811327709882</v>
      </c>
      <c r="Q154">
        <f t="shared" si="50"/>
        <v>0</v>
      </c>
      <c r="R154" s="30">
        <f t="shared" si="51"/>
        <v>61727.811327709882</v>
      </c>
      <c r="S154" s="30">
        <f t="shared" si="43"/>
        <v>61727.811327709896</v>
      </c>
      <c r="T154" s="30">
        <f t="shared" si="52"/>
        <v>61727.811327709896</v>
      </c>
      <c r="U154">
        <f t="shared" si="53"/>
        <v>0</v>
      </c>
      <c r="V154" s="30">
        <f t="shared" si="54"/>
        <v>61727.811327709896</v>
      </c>
      <c r="W154" s="30">
        <f t="shared" si="44"/>
        <v>61727.811327709896</v>
      </c>
      <c r="X154" s="30">
        <f t="shared" si="55"/>
        <v>61727.811327709896</v>
      </c>
      <c r="Y154">
        <f t="shared" si="56"/>
        <v>0</v>
      </c>
    </row>
    <row r="155" spans="1:25" hidden="1" x14ac:dyDescent="0.25">
      <c r="A155" s="4" t="s">
        <v>959</v>
      </c>
      <c r="B155" s="7" t="s">
        <v>485</v>
      </c>
      <c r="C155" s="2" t="s">
        <v>960</v>
      </c>
      <c r="D155">
        <f>VLOOKUP(B155,'Model allocations'!$A$1:$L$319,4,FALSE)</f>
        <v>89717.642891354131</v>
      </c>
      <c r="E155" s="32">
        <f>VLOOKUP(B155,'Initial adjusted formula count'!$A$1:$P$319,12,FALSE)</f>
        <v>0.11745379876796699</v>
      </c>
      <c r="F155">
        <f>VLOOKUP(B155,'Model allocations'!$A$1:$L$319,9,FALSE)</f>
        <v>76259.99645765101</v>
      </c>
      <c r="G155" s="31">
        <f t="shared" si="45"/>
        <v>0.85</v>
      </c>
      <c r="H155">
        <f t="shared" si="46"/>
        <v>76259.99645765101</v>
      </c>
      <c r="I155">
        <f t="shared" si="38"/>
        <v>0</v>
      </c>
      <c r="J155">
        <f t="shared" si="39"/>
        <v>76259.99645765101</v>
      </c>
      <c r="K155">
        <f t="shared" si="40"/>
        <v>76129.076475142661</v>
      </c>
      <c r="L155">
        <f t="shared" si="47"/>
        <v>76129.076475142661</v>
      </c>
      <c r="M155">
        <f t="shared" si="41"/>
        <v>76259.99645765101</v>
      </c>
      <c r="N155" s="30">
        <f t="shared" si="48"/>
        <v>0</v>
      </c>
      <c r="O155" s="30">
        <f t="shared" si="42"/>
        <v>0</v>
      </c>
      <c r="P155" s="30">
        <f t="shared" si="49"/>
        <v>76259.99645765101</v>
      </c>
      <c r="Q155">
        <f t="shared" si="50"/>
        <v>0</v>
      </c>
      <c r="R155" s="30">
        <f t="shared" si="51"/>
        <v>0</v>
      </c>
      <c r="S155" s="30">
        <f t="shared" si="43"/>
        <v>0</v>
      </c>
      <c r="T155" s="30">
        <f t="shared" si="52"/>
        <v>76259.99645765101</v>
      </c>
      <c r="U155">
        <f t="shared" si="53"/>
        <v>0</v>
      </c>
      <c r="V155" s="30">
        <f t="shared" si="54"/>
        <v>0</v>
      </c>
      <c r="W155" s="30">
        <f t="shared" si="44"/>
        <v>0</v>
      </c>
      <c r="X155" s="30">
        <f t="shared" si="55"/>
        <v>76259.99645765101</v>
      </c>
      <c r="Y155">
        <f t="shared" si="56"/>
        <v>0</v>
      </c>
    </row>
    <row r="156" spans="1:25" x14ac:dyDescent="0.25">
      <c r="A156" s="4" t="s">
        <v>961</v>
      </c>
      <c r="B156" s="7" t="s">
        <v>179</v>
      </c>
      <c r="C156" s="2" t="s">
        <v>962</v>
      </c>
      <c r="D156">
        <f>VLOOKUP(B156,'Model allocations'!$A$1:$L$319,4,FALSE)</f>
        <v>0</v>
      </c>
      <c r="E156" s="32">
        <f>VLOOKUP(B156,'Initial adjusted formula count'!$A$1:$P$319,12,FALSE)</f>
        <v>7.3170731707317097E-2</v>
      </c>
      <c r="F156">
        <f>VLOOKUP(B156,'Model allocations'!$A$1:$L$319,9,FALSE)</f>
        <v>0</v>
      </c>
      <c r="G156" s="31">
        <f t="shared" si="45"/>
        <v>0.85</v>
      </c>
      <c r="H156">
        <f t="shared" si="46"/>
        <v>0</v>
      </c>
      <c r="I156">
        <f t="shared" si="38"/>
        <v>0</v>
      </c>
      <c r="J156">
        <f t="shared" si="39"/>
        <v>0</v>
      </c>
      <c r="K156">
        <f t="shared" si="40"/>
        <v>0</v>
      </c>
      <c r="L156">
        <f t="shared" si="47"/>
        <v>0</v>
      </c>
      <c r="M156">
        <f t="shared" si="41"/>
        <v>0</v>
      </c>
      <c r="N156" s="30">
        <f t="shared" si="48"/>
        <v>0</v>
      </c>
      <c r="O156" s="30">
        <f t="shared" si="42"/>
        <v>0</v>
      </c>
      <c r="P156" s="30">
        <f t="shared" si="49"/>
        <v>0</v>
      </c>
      <c r="Q156">
        <f t="shared" si="50"/>
        <v>0</v>
      </c>
      <c r="R156" s="30">
        <f t="shared" si="51"/>
        <v>0</v>
      </c>
      <c r="S156" s="30">
        <f t="shared" si="43"/>
        <v>0</v>
      </c>
      <c r="T156" s="30">
        <f t="shared" si="52"/>
        <v>0</v>
      </c>
      <c r="U156">
        <f t="shared" si="53"/>
        <v>0</v>
      </c>
      <c r="V156" s="30">
        <f t="shared" si="54"/>
        <v>0</v>
      </c>
      <c r="W156" s="30">
        <f t="shared" si="44"/>
        <v>0</v>
      </c>
      <c r="X156" s="30">
        <f t="shared" si="55"/>
        <v>0</v>
      </c>
      <c r="Y156">
        <f t="shared" si="56"/>
        <v>0</v>
      </c>
    </row>
    <row r="157" spans="1:25" hidden="1" x14ac:dyDescent="0.25">
      <c r="A157" s="4" t="s">
        <v>963</v>
      </c>
      <c r="B157" s="7" t="s">
        <v>487</v>
      </c>
      <c r="C157" s="9" t="s">
        <v>964</v>
      </c>
      <c r="D157">
        <f>VLOOKUP(B157,'Model allocations'!$A$1:$L$319,4,FALSE)</f>
        <v>182966.97737669139</v>
      </c>
      <c r="E157" s="32">
        <f>VLOOKUP(B157,'Initial adjusted formula count'!$A$1:$P$319,12,FALSE)</f>
        <v>0.13510747185260999</v>
      </c>
      <c r="F157">
        <f>VLOOKUP(B157,'Model allocations'!$A$1:$L$319,9,FALSE)</f>
        <v>155521.93077018767</v>
      </c>
      <c r="G157" s="31">
        <f t="shared" si="45"/>
        <v>0.85</v>
      </c>
      <c r="H157">
        <f t="shared" si="46"/>
        <v>155521.93077018767</v>
      </c>
      <c r="I157">
        <f t="shared" si="38"/>
        <v>0</v>
      </c>
      <c r="J157">
        <f t="shared" si="39"/>
        <v>155521.93077018767</v>
      </c>
      <c r="K157">
        <f t="shared" si="40"/>
        <v>155254.93720341765</v>
      </c>
      <c r="L157">
        <f t="shared" si="47"/>
        <v>155254.93720341765</v>
      </c>
      <c r="M157">
        <f t="shared" si="41"/>
        <v>155521.93077018767</v>
      </c>
      <c r="N157" s="30">
        <f t="shared" si="48"/>
        <v>0</v>
      </c>
      <c r="O157" s="30">
        <f t="shared" si="42"/>
        <v>0</v>
      </c>
      <c r="P157" s="30">
        <f t="shared" si="49"/>
        <v>155521.93077018767</v>
      </c>
      <c r="Q157">
        <f t="shared" si="50"/>
        <v>0</v>
      </c>
      <c r="R157" s="30">
        <f t="shared" si="51"/>
        <v>0</v>
      </c>
      <c r="S157" s="30">
        <f t="shared" si="43"/>
        <v>0</v>
      </c>
      <c r="T157" s="30">
        <f t="shared" si="52"/>
        <v>155521.93077018767</v>
      </c>
      <c r="U157">
        <f t="shared" si="53"/>
        <v>0</v>
      </c>
      <c r="V157" s="30">
        <f t="shared" si="54"/>
        <v>0</v>
      </c>
      <c r="W157" s="30">
        <f t="shared" si="44"/>
        <v>0</v>
      </c>
      <c r="X157" s="30">
        <f t="shared" si="55"/>
        <v>155521.93077018767</v>
      </c>
      <c r="Y157">
        <f t="shared" si="56"/>
        <v>0</v>
      </c>
    </row>
    <row r="158" spans="1:25" x14ac:dyDescent="0.25">
      <c r="A158" s="4" t="s">
        <v>965</v>
      </c>
      <c r="B158" s="7" t="s">
        <v>290</v>
      </c>
      <c r="C158" s="2" t="s">
        <v>966</v>
      </c>
      <c r="D158">
        <f>VLOOKUP(B158,'Model allocations'!$A$1:$L$319,4,FALSE)</f>
        <v>0</v>
      </c>
      <c r="E158" s="32">
        <f>VLOOKUP(B158,'Initial adjusted formula count'!$A$1:$P$319,12,FALSE)</f>
        <v>0.13751771374586699</v>
      </c>
      <c r="F158">
        <f>VLOOKUP(B158,'Model allocations'!$A$1:$L$319,9,FALSE)</f>
        <v>0</v>
      </c>
      <c r="G158" s="31">
        <f t="shared" si="45"/>
        <v>0.85</v>
      </c>
      <c r="H158">
        <f t="shared" si="46"/>
        <v>0</v>
      </c>
      <c r="I158">
        <f t="shared" si="38"/>
        <v>0</v>
      </c>
      <c r="J158">
        <f t="shared" si="39"/>
        <v>0</v>
      </c>
      <c r="K158">
        <f t="shared" si="40"/>
        <v>0</v>
      </c>
      <c r="L158">
        <f t="shared" si="47"/>
        <v>0</v>
      </c>
      <c r="M158">
        <f t="shared" si="41"/>
        <v>0</v>
      </c>
      <c r="N158" s="30">
        <f t="shared" si="48"/>
        <v>0</v>
      </c>
      <c r="O158" s="30">
        <f t="shared" si="42"/>
        <v>0</v>
      </c>
      <c r="P158" s="30">
        <f t="shared" si="49"/>
        <v>0</v>
      </c>
      <c r="Q158">
        <f t="shared" si="50"/>
        <v>0</v>
      </c>
      <c r="R158" s="30">
        <f t="shared" si="51"/>
        <v>0</v>
      </c>
      <c r="S158" s="30">
        <f t="shared" si="43"/>
        <v>0</v>
      </c>
      <c r="T158" s="30">
        <f t="shared" si="52"/>
        <v>0</v>
      </c>
      <c r="U158">
        <f t="shared" si="53"/>
        <v>0</v>
      </c>
      <c r="V158" s="30">
        <f t="shared" si="54"/>
        <v>0</v>
      </c>
      <c r="W158" s="30">
        <f t="shared" si="44"/>
        <v>0</v>
      </c>
      <c r="X158" s="30">
        <f t="shared" si="55"/>
        <v>0</v>
      </c>
      <c r="Y158">
        <f t="shared" si="56"/>
        <v>0</v>
      </c>
    </row>
    <row r="159" spans="1:25" x14ac:dyDescent="0.25">
      <c r="A159" s="4" t="s">
        <v>967</v>
      </c>
      <c r="B159" s="7" t="s">
        <v>489</v>
      </c>
      <c r="C159" s="2" t="s">
        <v>968</v>
      </c>
      <c r="D159">
        <f>VLOOKUP(B159,'Model allocations'!$A$1:$L$319,4,FALSE)</f>
        <v>0</v>
      </c>
      <c r="E159" s="32">
        <f>VLOOKUP(B159,'Initial adjusted formula count'!$A$1:$P$319,12,FALSE)</f>
        <v>0.138251704897706</v>
      </c>
      <c r="F159">
        <f>VLOOKUP(B159,'Model allocations'!$A$1:$L$319,9,FALSE)</f>
        <v>0</v>
      </c>
      <c r="G159" s="31">
        <f t="shared" si="45"/>
        <v>0.85</v>
      </c>
      <c r="H159">
        <f t="shared" si="46"/>
        <v>0</v>
      </c>
      <c r="I159">
        <f t="shared" si="38"/>
        <v>0</v>
      </c>
      <c r="J159">
        <f t="shared" si="39"/>
        <v>0</v>
      </c>
      <c r="K159">
        <f t="shared" si="40"/>
        <v>0</v>
      </c>
      <c r="L159">
        <f t="shared" si="47"/>
        <v>0</v>
      </c>
      <c r="M159">
        <f t="shared" si="41"/>
        <v>0</v>
      </c>
      <c r="N159" s="30">
        <f t="shared" si="48"/>
        <v>0</v>
      </c>
      <c r="O159" s="30">
        <f t="shared" si="42"/>
        <v>0</v>
      </c>
      <c r="P159" s="30">
        <f t="shared" si="49"/>
        <v>0</v>
      </c>
      <c r="Q159">
        <f t="shared" si="50"/>
        <v>0</v>
      </c>
      <c r="R159" s="30">
        <f t="shared" si="51"/>
        <v>0</v>
      </c>
      <c r="S159" s="30">
        <f t="shared" si="43"/>
        <v>0</v>
      </c>
      <c r="T159" s="30">
        <f t="shared" si="52"/>
        <v>0</v>
      </c>
      <c r="U159">
        <f t="shared" si="53"/>
        <v>0</v>
      </c>
      <c r="V159" s="30">
        <f t="shared" si="54"/>
        <v>0</v>
      </c>
      <c r="W159" s="30">
        <f t="shared" si="44"/>
        <v>0</v>
      </c>
      <c r="X159" s="30">
        <f t="shared" si="55"/>
        <v>0</v>
      </c>
      <c r="Y159">
        <f t="shared" si="56"/>
        <v>0</v>
      </c>
    </row>
    <row r="160" spans="1:25" hidden="1" x14ac:dyDescent="0.25">
      <c r="A160" s="4" t="s">
        <v>969</v>
      </c>
      <c r="B160" s="7" t="s">
        <v>491</v>
      </c>
      <c r="C160" s="2" t="s">
        <v>970</v>
      </c>
      <c r="D160">
        <f>VLOOKUP(B160,'Model allocations'!$A$1:$L$319,4,FALSE)</f>
        <v>19583.010179362784</v>
      </c>
      <c r="E160" s="32">
        <f>VLOOKUP(B160,'Initial adjusted formula count'!$A$1:$P$319,12,FALSE)</f>
        <v>8.5271317829457405E-2</v>
      </c>
      <c r="F160">
        <f>VLOOKUP(B160,'Model allocations'!$A$1:$L$319,9,FALSE)</f>
        <v>16645.558652458367</v>
      </c>
      <c r="G160" s="31">
        <f t="shared" si="45"/>
        <v>0.85</v>
      </c>
      <c r="H160">
        <f t="shared" si="46"/>
        <v>16645.558652458367</v>
      </c>
      <c r="I160">
        <f t="shared" si="38"/>
        <v>0</v>
      </c>
      <c r="J160">
        <f t="shared" si="39"/>
        <v>16645.558652458367</v>
      </c>
      <c r="K160">
        <f t="shared" si="40"/>
        <v>16616.982251345737</v>
      </c>
      <c r="L160">
        <f t="shared" si="47"/>
        <v>16616.982251345737</v>
      </c>
      <c r="M160">
        <f t="shared" si="41"/>
        <v>16645.558652458367</v>
      </c>
      <c r="N160" s="30">
        <f t="shared" si="48"/>
        <v>0</v>
      </c>
      <c r="O160" s="30">
        <f t="shared" si="42"/>
        <v>0</v>
      </c>
      <c r="P160" s="30">
        <f t="shared" si="49"/>
        <v>16645.558652458367</v>
      </c>
      <c r="Q160">
        <f t="shared" si="50"/>
        <v>0</v>
      </c>
      <c r="R160" s="30">
        <f t="shared" si="51"/>
        <v>0</v>
      </c>
      <c r="S160" s="30">
        <f t="shared" si="43"/>
        <v>0</v>
      </c>
      <c r="T160" s="30">
        <f t="shared" si="52"/>
        <v>16645.558652458367</v>
      </c>
      <c r="U160">
        <f t="shared" si="53"/>
        <v>0</v>
      </c>
      <c r="V160" s="30">
        <f t="shared" si="54"/>
        <v>0</v>
      </c>
      <c r="W160" s="30">
        <f t="shared" si="44"/>
        <v>0</v>
      </c>
      <c r="X160" s="30">
        <f t="shared" si="55"/>
        <v>16645.558652458367</v>
      </c>
      <c r="Y160">
        <f t="shared" si="56"/>
        <v>0</v>
      </c>
    </row>
    <row r="161" spans="1:25" hidden="1" x14ac:dyDescent="0.25">
      <c r="A161" s="4" t="s">
        <v>971</v>
      </c>
      <c r="B161" s="7" t="s">
        <v>493</v>
      </c>
      <c r="C161" s="2" t="s">
        <v>972</v>
      </c>
      <c r="D161">
        <f>VLOOKUP(B161,'Model allocations'!$A$1:$L$319,4,FALSE)</f>
        <v>6639.1110930648738</v>
      </c>
      <c r="E161" s="32">
        <f>VLOOKUP(B161,'Initial adjusted formula count'!$A$1:$P$319,12,FALSE)</f>
        <v>0.10294117647058799</v>
      </c>
      <c r="F161">
        <f>VLOOKUP(B161,'Model allocations'!$A$1:$L$319,9,FALSE)</f>
        <v>5643.2444291051424</v>
      </c>
      <c r="G161" s="31">
        <f t="shared" si="45"/>
        <v>0.85</v>
      </c>
      <c r="H161">
        <f t="shared" si="46"/>
        <v>5643.2444291051424</v>
      </c>
      <c r="I161">
        <f t="shared" si="38"/>
        <v>0</v>
      </c>
      <c r="J161">
        <f t="shared" si="39"/>
        <v>5643.2444291051424</v>
      </c>
      <c r="K161">
        <f t="shared" si="40"/>
        <v>5633.5563423458016</v>
      </c>
      <c r="L161">
        <f t="shared" si="47"/>
        <v>5633.5563423458016</v>
      </c>
      <c r="M161">
        <f t="shared" si="41"/>
        <v>5643.2444291051424</v>
      </c>
      <c r="N161" s="30">
        <f t="shared" si="48"/>
        <v>0</v>
      </c>
      <c r="O161" s="30">
        <f t="shared" si="42"/>
        <v>0</v>
      </c>
      <c r="P161" s="30">
        <f t="shared" si="49"/>
        <v>5643.2444291051424</v>
      </c>
      <c r="Q161">
        <f t="shared" si="50"/>
        <v>0</v>
      </c>
      <c r="R161" s="30">
        <f t="shared" si="51"/>
        <v>0</v>
      </c>
      <c r="S161" s="30">
        <f t="shared" si="43"/>
        <v>0</v>
      </c>
      <c r="T161" s="30">
        <f t="shared" si="52"/>
        <v>5643.2444291051424</v>
      </c>
      <c r="U161">
        <f t="shared" si="53"/>
        <v>0</v>
      </c>
      <c r="V161" s="30">
        <f t="shared" si="54"/>
        <v>0</v>
      </c>
      <c r="W161" s="30">
        <f t="shared" si="44"/>
        <v>0</v>
      </c>
      <c r="X161" s="30">
        <f t="shared" si="55"/>
        <v>5643.2444291051424</v>
      </c>
      <c r="Y161">
        <f t="shared" si="56"/>
        <v>0</v>
      </c>
    </row>
    <row r="162" spans="1:25" hidden="1" x14ac:dyDescent="0.25">
      <c r="A162" s="4" t="s">
        <v>973</v>
      </c>
      <c r="B162" s="7" t="s">
        <v>495</v>
      </c>
      <c r="C162" s="2" t="s">
        <v>974</v>
      </c>
      <c r="D162">
        <f>VLOOKUP(B162,'Model allocations'!$A$1:$L$319,4,FALSE)</f>
        <v>17336.416805081826</v>
      </c>
      <c r="E162" s="32">
        <f>VLOOKUP(B162,'Initial adjusted formula count'!$A$1:$P$319,12,FALSE)</f>
        <v>0.27667984189723299</v>
      </c>
      <c r="F162">
        <f>VLOOKUP(B162,'Model allocations'!$A$1:$L$319,9,FALSE)</f>
        <v>15868.895094778052</v>
      </c>
      <c r="G162" s="31">
        <f t="shared" si="45"/>
        <v>0.9</v>
      </c>
      <c r="H162">
        <f t="shared" si="46"/>
        <v>15602.775124573644</v>
      </c>
      <c r="I162">
        <f t="shared" si="38"/>
        <v>0</v>
      </c>
      <c r="J162">
        <f t="shared" si="39"/>
        <v>15868.895094778052</v>
      </c>
      <c r="K162">
        <f t="shared" si="40"/>
        <v>15841.652037280814</v>
      </c>
      <c r="L162">
        <f t="shared" si="47"/>
        <v>15841.652037280814</v>
      </c>
      <c r="M162">
        <f t="shared" si="41"/>
        <v>0</v>
      </c>
      <c r="N162" s="30">
        <f t="shared" si="48"/>
        <v>15841.652037280814</v>
      </c>
      <c r="O162" s="30">
        <f t="shared" si="42"/>
        <v>15827.643930182023</v>
      </c>
      <c r="P162" s="30">
        <f t="shared" si="49"/>
        <v>15827.643930182023</v>
      </c>
      <c r="Q162">
        <f t="shared" si="50"/>
        <v>0</v>
      </c>
      <c r="R162" s="30">
        <f t="shared" si="51"/>
        <v>15827.643930182023</v>
      </c>
      <c r="S162" s="30">
        <f t="shared" si="43"/>
        <v>15827.643930182026</v>
      </c>
      <c r="T162" s="30">
        <f t="shared" si="52"/>
        <v>15827.643930182026</v>
      </c>
      <c r="U162">
        <f t="shared" si="53"/>
        <v>0</v>
      </c>
      <c r="V162" s="30">
        <f t="shared" si="54"/>
        <v>15827.643930182026</v>
      </c>
      <c r="W162" s="30">
        <f t="shared" si="44"/>
        <v>15827.643930182026</v>
      </c>
      <c r="X162" s="30">
        <f t="shared" si="55"/>
        <v>15827.643930182026</v>
      </c>
      <c r="Y162">
        <f t="shared" si="56"/>
        <v>0</v>
      </c>
    </row>
    <row r="163" spans="1:25" hidden="1" x14ac:dyDescent="0.25">
      <c r="A163" s="4" t="s">
        <v>975</v>
      </c>
      <c r="B163" s="7" t="s">
        <v>497</v>
      </c>
      <c r="C163" s="2" t="s">
        <v>976</v>
      </c>
      <c r="D163">
        <f>VLOOKUP(B163,'Model allocations'!$A$1:$L$319,4,FALSE)</f>
        <v>66441.839311050004</v>
      </c>
      <c r="E163" s="32">
        <f>VLOOKUP(B163,'Initial adjusted formula count'!$A$1:$P$319,12,FALSE)</f>
        <v>0.19442458899213699</v>
      </c>
      <c r="F163">
        <f>VLOOKUP(B163,'Model allocations'!$A$1:$L$319,9,FALSE)</f>
        <v>61661.992368280458</v>
      </c>
      <c r="G163" s="31">
        <f t="shared" si="45"/>
        <v>0.9</v>
      </c>
      <c r="H163">
        <f t="shared" si="46"/>
        <v>59797.655379945005</v>
      </c>
      <c r="I163">
        <f t="shared" si="38"/>
        <v>0</v>
      </c>
      <c r="J163">
        <f t="shared" si="39"/>
        <v>61661.992368280458</v>
      </c>
      <c r="K163">
        <f t="shared" si="40"/>
        <v>61556.133630576893</v>
      </c>
      <c r="L163">
        <f t="shared" si="47"/>
        <v>61556.133630576893</v>
      </c>
      <c r="M163">
        <f t="shared" si="41"/>
        <v>0</v>
      </c>
      <c r="N163" s="30">
        <f t="shared" si="48"/>
        <v>61556.133630576893</v>
      </c>
      <c r="O163" s="30">
        <f t="shared" si="42"/>
        <v>61501.702128707308</v>
      </c>
      <c r="P163" s="30">
        <f t="shared" si="49"/>
        <v>61501.702128707308</v>
      </c>
      <c r="Q163">
        <f t="shared" si="50"/>
        <v>0</v>
      </c>
      <c r="R163" s="30">
        <f t="shared" si="51"/>
        <v>61501.702128707308</v>
      </c>
      <c r="S163" s="30">
        <f t="shared" si="43"/>
        <v>61501.702128707322</v>
      </c>
      <c r="T163" s="30">
        <f t="shared" si="52"/>
        <v>61501.702128707322</v>
      </c>
      <c r="U163">
        <f t="shared" si="53"/>
        <v>0</v>
      </c>
      <c r="V163" s="30">
        <f t="shared" si="54"/>
        <v>61501.702128707322</v>
      </c>
      <c r="W163" s="30">
        <f t="shared" si="44"/>
        <v>61501.702128707322</v>
      </c>
      <c r="X163" s="30">
        <f t="shared" si="55"/>
        <v>61501.702128707322</v>
      </c>
      <c r="Y163">
        <f t="shared" si="56"/>
        <v>0</v>
      </c>
    </row>
    <row r="164" spans="1:25" hidden="1" x14ac:dyDescent="0.25">
      <c r="A164" s="4" t="s">
        <v>977</v>
      </c>
      <c r="B164" s="7" t="s">
        <v>499</v>
      </c>
      <c r="C164" s="2" t="s">
        <v>978</v>
      </c>
      <c r="D164">
        <f>VLOOKUP(B164,'Model allocations'!$A$1:$L$319,4,FALSE)</f>
        <v>56108.443819699081</v>
      </c>
      <c r="E164" s="32">
        <f>VLOOKUP(B164,'Initial adjusted formula count'!$A$1:$P$319,12,FALSE)</f>
        <v>6.8458093410108806E-2</v>
      </c>
      <c r="F164">
        <f>VLOOKUP(B164,'Model allocations'!$A$1:$L$319,9,FALSE)</f>
        <v>47692.177246744221</v>
      </c>
      <c r="G164" s="31">
        <f t="shared" si="45"/>
        <v>0.85</v>
      </c>
      <c r="H164">
        <f t="shared" si="46"/>
        <v>47692.177246744221</v>
      </c>
      <c r="I164">
        <f t="shared" si="38"/>
        <v>0</v>
      </c>
      <c r="J164">
        <f t="shared" si="39"/>
        <v>47692.177246744221</v>
      </c>
      <c r="K164">
        <f t="shared" si="40"/>
        <v>47610.30130521574</v>
      </c>
      <c r="L164">
        <f t="shared" si="47"/>
        <v>47610.30130521574</v>
      </c>
      <c r="M164">
        <f t="shared" si="41"/>
        <v>47692.177246744221</v>
      </c>
      <c r="N164" s="30">
        <f t="shared" si="48"/>
        <v>0</v>
      </c>
      <c r="O164" s="30">
        <f t="shared" si="42"/>
        <v>0</v>
      </c>
      <c r="P164" s="30">
        <f t="shared" si="49"/>
        <v>47692.177246744221</v>
      </c>
      <c r="Q164">
        <f t="shared" si="50"/>
        <v>0</v>
      </c>
      <c r="R164" s="30">
        <f t="shared" si="51"/>
        <v>0</v>
      </c>
      <c r="S164" s="30">
        <f t="shared" si="43"/>
        <v>0</v>
      </c>
      <c r="T164" s="30">
        <f t="shared" si="52"/>
        <v>47692.177246744221</v>
      </c>
      <c r="U164">
        <f t="shared" si="53"/>
        <v>0</v>
      </c>
      <c r="V164" s="30">
        <f t="shared" si="54"/>
        <v>0</v>
      </c>
      <c r="W164" s="30">
        <f t="shared" si="44"/>
        <v>0</v>
      </c>
      <c r="X164" s="30">
        <f t="shared" si="55"/>
        <v>47692.177246744221</v>
      </c>
      <c r="Y164">
        <f t="shared" si="56"/>
        <v>0</v>
      </c>
    </row>
    <row r="165" spans="1:25" x14ac:dyDescent="0.25">
      <c r="A165" s="4" t="s">
        <v>979</v>
      </c>
      <c r="B165" s="7" t="s">
        <v>181</v>
      </c>
      <c r="C165" s="2" t="s">
        <v>980</v>
      </c>
      <c r="D165">
        <f>VLOOKUP(B165,'Model allocations'!$A$1:$L$319,4,FALSE)</f>
        <v>0</v>
      </c>
      <c r="E165" s="32">
        <f>VLOOKUP(B165,'Initial adjusted formula count'!$A$1:$P$319,12,FALSE)</f>
        <v>9.41176470588235E-2</v>
      </c>
      <c r="F165">
        <f>VLOOKUP(B165,'Model allocations'!$A$1:$L$319,9,FALSE)</f>
        <v>0</v>
      </c>
      <c r="G165" s="31">
        <f t="shared" si="45"/>
        <v>0.85</v>
      </c>
      <c r="H165">
        <f t="shared" si="46"/>
        <v>0</v>
      </c>
      <c r="I165">
        <f t="shared" si="38"/>
        <v>0</v>
      </c>
      <c r="J165">
        <f t="shared" si="39"/>
        <v>0</v>
      </c>
      <c r="K165">
        <f t="shared" si="40"/>
        <v>0</v>
      </c>
      <c r="L165">
        <f t="shared" si="47"/>
        <v>0</v>
      </c>
      <c r="M165">
        <f t="shared" si="41"/>
        <v>0</v>
      </c>
      <c r="N165" s="30">
        <f t="shared" si="48"/>
        <v>0</v>
      </c>
      <c r="O165" s="30">
        <f t="shared" si="42"/>
        <v>0</v>
      </c>
      <c r="P165" s="30">
        <f t="shared" si="49"/>
        <v>0</v>
      </c>
      <c r="Q165">
        <f t="shared" si="50"/>
        <v>0</v>
      </c>
      <c r="R165" s="30">
        <f t="shared" si="51"/>
        <v>0</v>
      </c>
      <c r="S165" s="30">
        <f t="shared" si="43"/>
        <v>0</v>
      </c>
      <c r="T165" s="30">
        <f t="shared" si="52"/>
        <v>0</v>
      </c>
      <c r="U165">
        <f t="shared" si="53"/>
        <v>0</v>
      </c>
      <c r="V165" s="30">
        <f t="shared" si="54"/>
        <v>0</v>
      </c>
      <c r="W165" s="30">
        <f t="shared" si="44"/>
        <v>0</v>
      </c>
      <c r="X165" s="30">
        <f t="shared" si="55"/>
        <v>0</v>
      </c>
      <c r="Y165">
        <f t="shared" si="56"/>
        <v>0</v>
      </c>
    </row>
    <row r="166" spans="1:25" hidden="1" x14ac:dyDescent="0.25">
      <c r="A166" s="4" t="s">
        <v>981</v>
      </c>
      <c r="B166" s="7" t="s">
        <v>501</v>
      </c>
      <c r="C166" s="2" t="s">
        <v>982</v>
      </c>
      <c r="D166">
        <f>VLOOKUP(B166,'Model allocations'!$A$1:$L$319,4,FALSE)</f>
        <v>35971.696442288201</v>
      </c>
      <c r="E166" s="32">
        <f>VLOOKUP(B166,'Initial adjusted formula count'!$A$1:$P$319,12,FALSE)</f>
        <v>0.23613086770981501</v>
      </c>
      <c r="F166">
        <f>VLOOKUP(B166,'Model allocations'!$A$1:$L$319,9,FALSE)</f>
        <v>37631.951224759388</v>
      </c>
      <c r="G166" s="31">
        <f t="shared" si="45"/>
        <v>0.9</v>
      </c>
      <c r="H166">
        <f t="shared" si="46"/>
        <v>32374.526798059382</v>
      </c>
      <c r="I166">
        <f t="shared" si="38"/>
        <v>0</v>
      </c>
      <c r="J166">
        <f t="shared" si="39"/>
        <v>37631.951224759388</v>
      </c>
      <c r="K166">
        <f t="shared" si="40"/>
        <v>37567.346259837366</v>
      </c>
      <c r="L166">
        <f t="shared" si="47"/>
        <v>37567.346259837366</v>
      </c>
      <c r="M166">
        <f t="shared" si="41"/>
        <v>0</v>
      </c>
      <c r="N166" s="30">
        <f t="shared" si="48"/>
        <v>37567.346259837366</v>
      </c>
      <c r="O166" s="30">
        <f t="shared" si="42"/>
        <v>37534.127034431658</v>
      </c>
      <c r="P166" s="30">
        <f t="shared" si="49"/>
        <v>37534.127034431658</v>
      </c>
      <c r="Q166">
        <f t="shared" si="50"/>
        <v>0</v>
      </c>
      <c r="R166" s="30">
        <f t="shared" si="51"/>
        <v>37534.127034431658</v>
      </c>
      <c r="S166" s="30">
        <f t="shared" si="43"/>
        <v>37534.127034431665</v>
      </c>
      <c r="T166" s="30">
        <f t="shared" si="52"/>
        <v>37534.127034431665</v>
      </c>
      <c r="U166">
        <f t="shared" si="53"/>
        <v>0</v>
      </c>
      <c r="V166" s="30">
        <f t="shared" si="54"/>
        <v>37534.127034431665</v>
      </c>
      <c r="W166" s="30">
        <f t="shared" si="44"/>
        <v>37534.127034431665</v>
      </c>
      <c r="X166" s="30">
        <f t="shared" si="55"/>
        <v>37534.127034431665</v>
      </c>
      <c r="Y166">
        <f t="shared" si="56"/>
        <v>0</v>
      </c>
    </row>
    <row r="167" spans="1:25" hidden="1" x14ac:dyDescent="0.25">
      <c r="A167" s="4" t="s">
        <v>983</v>
      </c>
      <c r="B167" s="7" t="s">
        <v>503</v>
      </c>
      <c r="C167" s="2" t="s">
        <v>984</v>
      </c>
      <c r="D167">
        <f>VLOOKUP(B167,'Model allocations'!$A$1:$L$319,4,FALSE)</f>
        <v>76156.150697521938</v>
      </c>
      <c r="E167" s="32">
        <f>VLOOKUP(B167,'Initial adjusted formula count'!$A$1:$P$319,12,FALSE)</f>
        <v>0.187245590230665</v>
      </c>
      <c r="F167">
        <f>VLOOKUP(B167,'Model allocations'!$A$1:$L$319,9,FALSE)</f>
        <v>93853.179560544508</v>
      </c>
      <c r="G167" s="31">
        <f t="shared" si="45"/>
        <v>0.9</v>
      </c>
      <c r="H167">
        <f t="shared" si="46"/>
        <v>68540.535627769743</v>
      </c>
      <c r="I167">
        <f t="shared" si="38"/>
        <v>0</v>
      </c>
      <c r="J167">
        <f t="shared" si="39"/>
        <v>93853.179560544508</v>
      </c>
      <c r="K167">
        <f t="shared" si="40"/>
        <v>93692.05633477513</v>
      </c>
      <c r="L167">
        <f t="shared" si="47"/>
        <v>93692.05633477513</v>
      </c>
      <c r="M167">
        <f t="shared" si="41"/>
        <v>0</v>
      </c>
      <c r="N167" s="30">
        <f t="shared" si="48"/>
        <v>93692.05633477513</v>
      </c>
      <c r="O167" s="30">
        <f t="shared" si="42"/>
        <v>93609.208387076564</v>
      </c>
      <c r="P167" s="30">
        <f t="shared" si="49"/>
        <v>93609.208387076564</v>
      </c>
      <c r="Q167">
        <f t="shared" si="50"/>
        <v>0</v>
      </c>
      <c r="R167" s="30">
        <f t="shared" si="51"/>
        <v>93609.208387076564</v>
      </c>
      <c r="S167" s="30">
        <f t="shared" si="43"/>
        <v>93609.208387076578</v>
      </c>
      <c r="T167" s="30">
        <f t="shared" si="52"/>
        <v>93609.208387076578</v>
      </c>
      <c r="U167">
        <f t="shared" si="53"/>
        <v>0</v>
      </c>
      <c r="V167" s="30">
        <f t="shared" si="54"/>
        <v>93609.208387076578</v>
      </c>
      <c r="W167" s="30">
        <f t="shared" si="44"/>
        <v>93609.208387076578</v>
      </c>
      <c r="X167" s="30">
        <f t="shared" si="55"/>
        <v>93609.208387076578</v>
      </c>
      <c r="Y167">
        <f t="shared" si="56"/>
        <v>0</v>
      </c>
    </row>
    <row r="168" spans="1:25" x14ac:dyDescent="0.25">
      <c r="A168" s="4" t="s">
        <v>985</v>
      </c>
      <c r="B168" s="7" t="s">
        <v>183</v>
      </c>
      <c r="C168" s="2" t="s">
        <v>986</v>
      </c>
      <c r="D168">
        <f>VLOOKUP(B168,'Model allocations'!$A$1:$L$319,4,FALSE)</f>
        <v>0</v>
      </c>
      <c r="E168" s="32">
        <f>VLOOKUP(B168,'Initial adjusted formula count'!$A$1:$P$319,12,FALSE)</f>
        <v>8.0519118057493705E-2</v>
      </c>
      <c r="F168">
        <f>VLOOKUP(B168,'Model allocations'!$A$1:$L$319,9,FALSE)</f>
        <v>0</v>
      </c>
      <c r="G168" s="31">
        <f t="shared" si="45"/>
        <v>0.85</v>
      </c>
      <c r="H168">
        <f t="shared" si="46"/>
        <v>0</v>
      </c>
      <c r="I168">
        <f t="shared" si="38"/>
        <v>0</v>
      </c>
      <c r="J168">
        <f t="shared" si="39"/>
        <v>0</v>
      </c>
      <c r="K168">
        <f t="shared" si="40"/>
        <v>0</v>
      </c>
      <c r="L168">
        <f t="shared" si="47"/>
        <v>0</v>
      </c>
      <c r="M168">
        <f t="shared" si="41"/>
        <v>0</v>
      </c>
      <c r="N168" s="30">
        <f t="shared" si="48"/>
        <v>0</v>
      </c>
      <c r="O168" s="30">
        <f t="shared" si="42"/>
        <v>0</v>
      </c>
      <c r="P168" s="30">
        <f t="shared" si="49"/>
        <v>0</v>
      </c>
      <c r="Q168">
        <f t="shared" si="50"/>
        <v>0</v>
      </c>
      <c r="R168" s="30">
        <f t="shared" si="51"/>
        <v>0</v>
      </c>
      <c r="S168" s="30">
        <f t="shared" si="43"/>
        <v>0</v>
      </c>
      <c r="T168" s="30">
        <f t="shared" si="52"/>
        <v>0</v>
      </c>
      <c r="U168">
        <f t="shared" si="53"/>
        <v>0</v>
      </c>
      <c r="V168" s="30">
        <f t="shared" si="54"/>
        <v>0</v>
      </c>
      <c r="W168" s="30">
        <f t="shared" si="44"/>
        <v>0</v>
      </c>
      <c r="X168" s="30">
        <f t="shared" si="55"/>
        <v>0</v>
      </c>
      <c r="Y168">
        <f t="shared" si="56"/>
        <v>0</v>
      </c>
    </row>
    <row r="169" spans="1:25" hidden="1" x14ac:dyDescent="0.25">
      <c r="A169" s="4" t="s">
        <v>987</v>
      </c>
      <c r="B169" s="7" t="s">
        <v>505</v>
      </c>
      <c r="C169" s="2" t="s">
        <v>988</v>
      </c>
      <c r="D169">
        <f>VLOOKUP(B169,'Model allocations'!$A$1:$L$319,4,FALSE)</f>
        <v>85062.482175293306</v>
      </c>
      <c r="E169" s="32">
        <f>VLOOKUP(B169,'Initial adjusted formula count'!$A$1:$P$319,12,FALSE)</f>
        <v>0.14198036006546599</v>
      </c>
      <c r="F169">
        <f>VLOOKUP(B169,'Model allocations'!$A$1:$L$319,9,FALSE)</f>
        <v>72303.109848999302</v>
      </c>
      <c r="G169" s="31">
        <f t="shared" si="45"/>
        <v>0.85</v>
      </c>
      <c r="H169">
        <f t="shared" si="46"/>
        <v>72303.109848999302</v>
      </c>
      <c r="I169">
        <f t="shared" si="38"/>
        <v>0</v>
      </c>
      <c r="J169">
        <f t="shared" si="39"/>
        <v>72303.109848999302</v>
      </c>
      <c r="K169">
        <f t="shared" si="40"/>
        <v>72178.982884451296</v>
      </c>
      <c r="L169">
        <f t="shared" si="47"/>
        <v>72178.982884451296</v>
      </c>
      <c r="M169">
        <f t="shared" si="41"/>
        <v>72303.109848999302</v>
      </c>
      <c r="N169" s="30">
        <f t="shared" si="48"/>
        <v>0</v>
      </c>
      <c r="O169" s="30">
        <f t="shared" si="42"/>
        <v>0</v>
      </c>
      <c r="P169" s="30">
        <f t="shared" si="49"/>
        <v>72303.109848999302</v>
      </c>
      <c r="Q169">
        <f t="shared" si="50"/>
        <v>0</v>
      </c>
      <c r="R169" s="30">
        <f t="shared" si="51"/>
        <v>0</v>
      </c>
      <c r="S169" s="30">
        <f t="shared" si="43"/>
        <v>0</v>
      </c>
      <c r="T169" s="30">
        <f t="shared" si="52"/>
        <v>72303.109848999302</v>
      </c>
      <c r="U169">
        <f t="shared" si="53"/>
        <v>0</v>
      </c>
      <c r="V169" s="30">
        <f t="shared" si="54"/>
        <v>0</v>
      </c>
      <c r="W169" s="30">
        <f t="shared" si="44"/>
        <v>0</v>
      </c>
      <c r="X169" s="30">
        <f t="shared" si="55"/>
        <v>72303.109848999302</v>
      </c>
      <c r="Y169">
        <f t="shared" si="56"/>
        <v>0</v>
      </c>
    </row>
    <row r="170" spans="1:25" hidden="1" x14ac:dyDescent="0.25">
      <c r="A170" s="4" t="s">
        <v>989</v>
      </c>
      <c r="B170" s="7" t="s">
        <v>507</v>
      </c>
      <c r="C170" s="2" t="s">
        <v>990</v>
      </c>
      <c r="D170">
        <f>VLOOKUP(B170,'Model allocations'!$A$1:$L$319,4,FALSE)</f>
        <v>1387.7069928850631</v>
      </c>
      <c r="E170" s="32">
        <f>VLOOKUP(B170,'Initial adjusted formula count'!$A$1:$P$319,12,FALSE)</f>
        <v>0.134615384615385</v>
      </c>
      <c r="F170">
        <f>VLOOKUP(B170,'Model allocations'!$A$1:$L$319,9,FALSE)</f>
        <v>1179.5509439523037</v>
      </c>
      <c r="G170" s="31">
        <f t="shared" si="45"/>
        <v>0.85</v>
      </c>
      <c r="H170">
        <f t="shared" si="46"/>
        <v>1179.5509439523037</v>
      </c>
      <c r="I170">
        <f t="shared" si="38"/>
        <v>0</v>
      </c>
      <c r="J170">
        <f t="shared" si="39"/>
        <v>1179.5509439523037</v>
      </c>
      <c r="K170">
        <f t="shared" si="40"/>
        <v>1177.52594006923</v>
      </c>
      <c r="L170">
        <f t="shared" si="47"/>
        <v>1177.52594006923</v>
      </c>
      <c r="M170">
        <f t="shared" si="41"/>
        <v>1179.5509439523037</v>
      </c>
      <c r="N170" s="30">
        <f t="shared" si="48"/>
        <v>0</v>
      </c>
      <c r="O170" s="30">
        <f t="shared" si="42"/>
        <v>0</v>
      </c>
      <c r="P170" s="30">
        <f t="shared" si="49"/>
        <v>1179.5509439523037</v>
      </c>
      <c r="Q170">
        <f t="shared" si="50"/>
        <v>0</v>
      </c>
      <c r="R170" s="30">
        <f t="shared" si="51"/>
        <v>0</v>
      </c>
      <c r="S170" s="30">
        <f t="shared" si="43"/>
        <v>0</v>
      </c>
      <c r="T170" s="30">
        <f t="shared" si="52"/>
        <v>1179.5509439523037</v>
      </c>
      <c r="U170">
        <f t="shared" si="53"/>
        <v>0</v>
      </c>
      <c r="V170" s="30">
        <f t="shared" si="54"/>
        <v>0</v>
      </c>
      <c r="W170" s="30">
        <f t="shared" si="44"/>
        <v>0</v>
      </c>
      <c r="X170" s="30">
        <f t="shared" si="55"/>
        <v>1179.5509439523037</v>
      </c>
      <c r="Y170">
        <f t="shared" si="56"/>
        <v>0</v>
      </c>
    </row>
    <row r="171" spans="1:25" x14ac:dyDescent="0.25">
      <c r="A171" s="4" t="s">
        <v>991</v>
      </c>
      <c r="B171" s="7" t="s">
        <v>185</v>
      </c>
      <c r="C171" s="2" t="s">
        <v>992</v>
      </c>
      <c r="D171">
        <f>VLOOKUP(B171,'Model allocations'!$A$1:$L$319,4,FALSE)</f>
        <v>0</v>
      </c>
      <c r="E171" s="32">
        <f>VLOOKUP(B171,'Initial adjusted formula count'!$A$1:$P$319,12,FALSE)</f>
        <v>8.7953436416014996E-2</v>
      </c>
      <c r="F171">
        <f>VLOOKUP(B171,'Model allocations'!$A$1:$L$319,9,FALSE)</f>
        <v>0</v>
      </c>
      <c r="G171" s="31">
        <f t="shared" si="45"/>
        <v>0.85</v>
      </c>
      <c r="H171">
        <f t="shared" si="46"/>
        <v>0</v>
      </c>
      <c r="I171">
        <f t="shared" si="38"/>
        <v>0</v>
      </c>
      <c r="J171">
        <f t="shared" si="39"/>
        <v>0</v>
      </c>
      <c r="K171">
        <f t="shared" si="40"/>
        <v>0</v>
      </c>
      <c r="L171">
        <f t="shared" si="47"/>
        <v>0</v>
      </c>
      <c r="M171">
        <f t="shared" si="41"/>
        <v>0</v>
      </c>
      <c r="N171" s="30">
        <f t="shared" si="48"/>
        <v>0</v>
      </c>
      <c r="O171" s="30">
        <f t="shared" si="42"/>
        <v>0</v>
      </c>
      <c r="P171" s="30">
        <f t="shared" si="49"/>
        <v>0</v>
      </c>
      <c r="Q171">
        <f t="shared" si="50"/>
        <v>0</v>
      </c>
      <c r="R171" s="30">
        <f t="shared" si="51"/>
        <v>0</v>
      </c>
      <c r="S171" s="30">
        <f t="shared" si="43"/>
        <v>0</v>
      </c>
      <c r="T171" s="30">
        <f t="shared" si="52"/>
        <v>0</v>
      </c>
      <c r="U171">
        <f t="shared" si="53"/>
        <v>0</v>
      </c>
      <c r="V171" s="30">
        <f t="shared" si="54"/>
        <v>0</v>
      </c>
      <c r="W171" s="30">
        <f t="shared" si="44"/>
        <v>0</v>
      </c>
      <c r="X171" s="30">
        <f t="shared" si="55"/>
        <v>0</v>
      </c>
      <c r="Y171">
        <f t="shared" si="56"/>
        <v>0</v>
      </c>
    </row>
    <row r="172" spans="1:25" hidden="1" x14ac:dyDescent="0.25">
      <c r="A172" s="4" t="s">
        <v>993</v>
      </c>
      <c r="B172" s="7" t="s">
        <v>509</v>
      </c>
      <c r="C172" s="2" t="s">
        <v>994</v>
      </c>
      <c r="D172">
        <f>VLOOKUP(B172,'Model allocations'!$A$1:$L$319,4,FALSE)</f>
        <v>13330.687505083279</v>
      </c>
      <c r="E172" s="32">
        <f>VLOOKUP(B172,'Initial adjusted formula count'!$A$1:$P$319,12,FALSE)</f>
        <v>0.32444444444444398</v>
      </c>
      <c r="F172">
        <f>VLOOKUP(B172,'Model allocations'!$A$1:$L$319,9,FALSE)</f>
        <v>16548.990598839966</v>
      </c>
      <c r="G172" s="31">
        <f t="shared" si="45"/>
        <v>0.95</v>
      </c>
      <c r="H172">
        <f t="shared" si="46"/>
        <v>12664.153129829114</v>
      </c>
      <c r="I172">
        <f t="shared" si="38"/>
        <v>0</v>
      </c>
      <c r="J172">
        <f t="shared" si="39"/>
        <v>16548.990598839966</v>
      </c>
      <c r="K172">
        <f t="shared" si="40"/>
        <v>16520.5799817357</v>
      </c>
      <c r="L172">
        <f t="shared" si="47"/>
        <v>16520.5799817357</v>
      </c>
      <c r="M172">
        <f t="shared" si="41"/>
        <v>0</v>
      </c>
      <c r="N172" s="30">
        <f t="shared" si="48"/>
        <v>16520.5799817357</v>
      </c>
      <c r="O172" s="30">
        <f t="shared" si="42"/>
        <v>16505.971527189817</v>
      </c>
      <c r="P172" s="30">
        <f t="shared" si="49"/>
        <v>16505.971527189817</v>
      </c>
      <c r="Q172">
        <f t="shared" si="50"/>
        <v>0</v>
      </c>
      <c r="R172" s="30">
        <f t="shared" si="51"/>
        <v>16505.971527189817</v>
      </c>
      <c r="S172" s="30">
        <f t="shared" si="43"/>
        <v>16505.97152718982</v>
      </c>
      <c r="T172" s="30">
        <f t="shared" si="52"/>
        <v>16505.97152718982</v>
      </c>
      <c r="U172">
        <f t="shared" si="53"/>
        <v>0</v>
      </c>
      <c r="V172" s="30">
        <f t="shared" si="54"/>
        <v>16505.97152718982</v>
      </c>
      <c r="W172" s="30">
        <f t="shared" si="44"/>
        <v>16505.97152718982</v>
      </c>
      <c r="X172" s="30">
        <f t="shared" si="55"/>
        <v>16505.97152718982</v>
      </c>
      <c r="Y172">
        <f t="shared" si="56"/>
        <v>0</v>
      </c>
    </row>
    <row r="173" spans="1:25" x14ac:dyDescent="0.25">
      <c r="A173" s="4" t="s">
        <v>995</v>
      </c>
      <c r="B173" s="7" t="s">
        <v>187</v>
      </c>
      <c r="C173" s="2" t="s">
        <v>996</v>
      </c>
      <c r="D173">
        <f>VLOOKUP(B173,'Model allocations'!$A$1:$L$319,4,FALSE)</f>
        <v>0</v>
      </c>
      <c r="E173" s="32">
        <f>VLOOKUP(B173,'Initial adjusted formula count'!$A$1:$P$319,12,FALSE)</f>
        <v>3.7772526299740802E-2</v>
      </c>
      <c r="F173">
        <f>VLOOKUP(B173,'Model allocations'!$A$1:$L$319,9,FALSE)</f>
        <v>0</v>
      </c>
      <c r="G173" s="31">
        <f t="shared" si="45"/>
        <v>0.85</v>
      </c>
      <c r="H173">
        <f t="shared" si="46"/>
        <v>0</v>
      </c>
      <c r="I173">
        <f t="shared" si="38"/>
        <v>0</v>
      </c>
      <c r="J173">
        <f t="shared" si="39"/>
        <v>0</v>
      </c>
      <c r="K173">
        <f t="shared" si="40"/>
        <v>0</v>
      </c>
      <c r="L173">
        <f t="shared" si="47"/>
        <v>0</v>
      </c>
      <c r="M173">
        <f t="shared" si="41"/>
        <v>0</v>
      </c>
      <c r="N173" s="30">
        <f t="shared" si="48"/>
        <v>0</v>
      </c>
      <c r="O173" s="30">
        <f t="shared" si="42"/>
        <v>0</v>
      </c>
      <c r="P173" s="30">
        <f t="shared" si="49"/>
        <v>0</v>
      </c>
      <c r="Q173">
        <f t="shared" si="50"/>
        <v>0</v>
      </c>
      <c r="R173" s="30">
        <f t="shared" si="51"/>
        <v>0</v>
      </c>
      <c r="S173" s="30">
        <f t="shared" si="43"/>
        <v>0</v>
      </c>
      <c r="T173" s="30">
        <f t="shared" si="52"/>
        <v>0</v>
      </c>
      <c r="U173">
        <f t="shared" si="53"/>
        <v>0</v>
      </c>
      <c r="V173" s="30">
        <f t="shared" si="54"/>
        <v>0</v>
      </c>
      <c r="W173" s="30">
        <f t="shared" si="44"/>
        <v>0</v>
      </c>
      <c r="X173" s="30">
        <f t="shared" si="55"/>
        <v>0</v>
      </c>
      <c r="Y173">
        <f t="shared" si="56"/>
        <v>0</v>
      </c>
    </row>
    <row r="174" spans="1:25" x14ac:dyDescent="0.25">
      <c r="A174" s="4" t="s">
        <v>997</v>
      </c>
      <c r="B174" s="7" t="s">
        <v>189</v>
      </c>
      <c r="C174" s="2" t="s">
        <v>998</v>
      </c>
      <c r="D174">
        <f>VLOOKUP(B174,'Model allocations'!$A$1:$L$319,4,FALSE)</f>
        <v>0</v>
      </c>
      <c r="E174" s="32">
        <f>VLOOKUP(B174,'Initial adjusted formula count'!$A$1:$P$319,12,FALSE)</f>
        <v>6.9097569097569103E-2</v>
      </c>
      <c r="F174">
        <f>VLOOKUP(B174,'Model allocations'!$A$1:$L$319,9,FALSE)</f>
        <v>0</v>
      </c>
      <c r="G174" s="31">
        <f t="shared" si="45"/>
        <v>0.85</v>
      </c>
      <c r="H174">
        <f t="shared" si="46"/>
        <v>0</v>
      </c>
      <c r="I174">
        <f t="shared" si="38"/>
        <v>0</v>
      </c>
      <c r="J174">
        <f t="shared" si="39"/>
        <v>0</v>
      </c>
      <c r="K174">
        <f t="shared" si="40"/>
        <v>0</v>
      </c>
      <c r="L174">
        <f t="shared" si="47"/>
        <v>0</v>
      </c>
      <c r="M174">
        <f t="shared" si="41"/>
        <v>0</v>
      </c>
      <c r="N174" s="30">
        <f t="shared" si="48"/>
        <v>0</v>
      </c>
      <c r="O174" s="30">
        <f t="shared" si="42"/>
        <v>0</v>
      </c>
      <c r="P174" s="30">
        <f t="shared" si="49"/>
        <v>0</v>
      </c>
      <c r="Q174">
        <f t="shared" si="50"/>
        <v>0</v>
      </c>
      <c r="R174" s="30">
        <f t="shared" si="51"/>
        <v>0</v>
      </c>
      <c r="S174" s="30">
        <f t="shared" si="43"/>
        <v>0</v>
      </c>
      <c r="T174" s="30">
        <f t="shared" si="52"/>
        <v>0</v>
      </c>
      <c r="U174">
        <f t="shared" si="53"/>
        <v>0</v>
      </c>
      <c r="V174" s="30">
        <f t="shared" si="54"/>
        <v>0</v>
      </c>
      <c r="W174" s="30">
        <f t="shared" si="44"/>
        <v>0</v>
      </c>
      <c r="X174" s="30">
        <f t="shared" si="55"/>
        <v>0</v>
      </c>
      <c r="Y174">
        <f t="shared" si="56"/>
        <v>0</v>
      </c>
    </row>
    <row r="175" spans="1:25" x14ac:dyDescent="0.25">
      <c r="A175" s="4" t="s">
        <v>999</v>
      </c>
      <c r="B175" s="7" t="s">
        <v>191</v>
      </c>
      <c r="C175" s="2" t="s">
        <v>1000</v>
      </c>
      <c r="D175">
        <f>VLOOKUP(B175,'Model allocations'!$A$1:$L$319,4,FALSE)</f>
        <v>0</v>
      </c>
      <c r="E175" s="32">
        <f>VLOOKUP(B175,'Initial adjusted formula count'!$A$1:$P$319,12,FALSE)</f>
        <v>0.134920634920635</v>
      </c>
      <c r="F175">
        <f>VLOOKUP(B175,'Model allocations'!$A$1:$L$319,9,FALSE)</f>
        <v>0</v>
      </c>
      <c r="G175" s="31">
        <f t="shared" si="45"/>
        <v>0.85</v>
      </c>
      <c r="H175">
        <f t="shared" si="46"/>
        <v>0</v>
      </c>
      <c r="I175">
        <f t="shared" si="38"/>
        <v>0</v>
      </c>
      <c r="J175">
        <f t="shared" si="39"/>
        <v>0</v>
      </c>
      <c r="K175">
        <f t="shared" si="40"/>
        <v>0</v>
      </c>
      <c r="L175">
        <f t="shared" si="47"/>
        <v>0</v>
      </c>
      <c r="M175">
        <f t="shared" si="41"/>
        <v>0</v>
      </c>
      <c r="N175" s="30">
        <f t="shared" si="48"/>
        <v>0</v>
      </c>
      <c r="O175" s="30">
        <f t="shared" si="42"/>
        <v>0</v>
      </c>
      <c r="P175" s="30">
        <f t="shared" si="49"/>
        <v>0</v>
      </c>
      <c r="Q175">
        <f t="shared" si="50"/>
        <v>0</v>
      </c>
      <c r="R175" s="30">
        <f t="shared" si="51"/>
        <v>0</v>
      </c>
      <c r="S175" s="30">
        <f t="shared" si="43"/>
        <v>0</v>
      </c>
      <c r="T175" s="30">
        <f t="shared" si="52"/>
        <v>0</v>
      </c>
      <c r="U175">
        <f t="shared" si="53"/>
        <v>0</v>
      </c>
      <c r="V175" s="30">
        <f t="shared" si="54"/>
        <v>0</v>
      </c>
      <c r="W175" s="30">
        <f t="shared" si="44"/>
        <v>0</v>
      </c>
      <c r="X175" s="30">
        <f t="shared" si="55"/>
        <v>0</v>
      </c>
      <c r="Y175">
        <f t="shared" si="56"/>
        <v>0</v>
      </c>
    </row>
    <row r="176" spans="1:25" hidden="1" x14ac:dyDescent="0.25">
      <c r="A176" s="4" t="s">
        <v>1001</v>
      </c>
      <c r="B176" s="7" t="s">
        <v>511</v>
      </c>
      <c r="C176" s="2" t="s">
        <v>1002</v>
      </c>
      <c r="D176">
        <f>VLOOKUP(B176,'Model allocations'!$A$1:$L$319,4,FALSE)</f>
        <v>16702.157653676386</v>
      </c>
      <c r="E176" s="32">
        <f>VLOOKUP(B176,'Initial adjusted formula count'!$A$1:$P$319,12,FALSE)</f>
        <v>0.25333333333333302</v>
      </c>
      <c r="F176">
        <f>VLOOKUP(B176,'Model allocations'!$A$1:$L$319,9,FALSE)</f>
        <v>25843.629154352828</v>
      </c>
      <c r="G176" s="31">
        <f t="shared" si="45"/>
        <v>0.9</v>
      </c>
      <c r="H176">
        <f t="shared" si="46"/>
        <v>15031.941888308747</v>
      </c>
      <c r="I176">
        <f t="shared" si="38"/>
        <v>0</v>
      </c>
      <c r="J176">
        <f t="shared" si="39"/>
        <v>25843.629154352828</v>
      </c>
      <c r="K176">
        <f t="shared" si="40"/>
        <v>25799.261889285895</v>
      </c>
      <c r="L176">
        <f t="shared" si="47"/>
        <v>25799.261889285895</v>
      </c>
      <c r="M176">
        <f t="shared" si="41"/>
        <v>0</v>
      </c>
      <c r="N176" s="30">
        <f t="shared" si="48"/>
        <v>25799.261889285895</v>
      </c>
      <c r="O176" s="30">
        <f t="shared" si="42"/>
        <v>25776.448686296437</v>
      </c>
      <c r="P176" s="30">
        <f t="shared" si="49"/>
        <v>25776.448686296437</v>
      </c>
      <c r="Q176">
        <f t="shared" si="50"/>
        <v>0</v>
      </c>
      <c r="R176" s="30">
        <f t="shared" si="51"/>
        <v>25776.448686296437</v>
      </c>
      <c r="S176" s="30">
        <f t="shared" si="43"/>
        <v>25776.448686296444</v>
      </c>
      <c r="T176" s="30">
        <f t="shared" si="52"/>
        <v>25776.448686296444</v>
      </c>
      <c r="U176">
        <f t="shared" si="53"/>
        <v>0</v>
      </c>
      <c r="V176" s="30">
        <f t="shared" si="54"/>
        <v>25776.448686296444</v>
      </c>
      <c r="W176" s="30">
        <f t="shared" si="44"/>
        <v>25776.448686296444</v>
      </c>
      <c r="X176" s="30">
        <f t="shared" si="55"/>
        <v>25776.448686296444</v>
      </c>
      <c r="Y176">
        <f t="shared" si="56"/>
        <v>0</v>
      </c>
    </row>
    <row r="177" spans="1:25" hidden="1" x14ac:dyDescent="0.25">
      <c r="A177" s="4" t="s">
        <v>1003</v>
      </c>
      <c r="B177" s="7" t="s">
        <v>513</v>
      </c>
      <c r="C177" s="2" t="s">
        <v>1004</v>
      </c>
      <c r="D177">
        <f>VLOOKUP(B177,'Model allocations'!$A$1:$L$319,4,FALSE)</f>
        <v>44858.821445677066</v>
      </c>
      <c r="E177" s="32">
        <f>VLOOKUP(B177,'Initial adjusted formula count'!$A$1:$P$319,12,FALSE)</f>
        <v>0.182425978987584</v>
      </c>
      <c r="F177">
        <f>VLOOKUP(B177,'Model allocations'!$A$1:$L$319,9,FALSE)</f>
        <v>43299.413758608694</v>
      </c>
      <c r="G177" s="31">
        <f t="shared" si="45"/>
        <v>0.9</v>
      </c>
      <c r="H177">
        <f t="shared" si="46"/>
        <v>40372.939301109363</v>
      </c>
      <c r="I177">
        <f t="shared" si="38"/>
        <v>0</v>
      </c>
      <c r="J177">
        <f t="shared" si="39"/>
        <v>43299.413758608694</v>
      </c>
      <c r="K177">
        <f t="shared" si="40"/>
        <v>43225.079130294798</v>
      </c>
      <c r="L177">
        <f t="shared" si="47"/>
        <v>43225.079130294798</v>
      </c>
      <c r="M177">
        <f t="shared" si="41"/>
        <v>0</v>
      </c>
      <c r="N177" s="30">
        <f t="shared" si="48"/>
        <v>43225.079130294798</v>
      </c>
      <c r="O177" s="30">
        <f t="shared" si="42"/>
        <v>43186.857009496664</v>
      </c>
      <c r="P177" s="30">
        <f t="shared" si="49"/>
        <v>43186.857009496664</v>
      </c>
      <c r="Q177">
        <f t="shared" si="50"/>
        <v>0</v>
      </c>
      <c r="R177" s="30">
        <f t="shared" si="51"/>
        <v>43186.857009496664</v>
      </c>
      <c r="S177" s="30">
        <f t="shared" si="43"/>
        <v>43186.857009496678</v>
      </c>
      <c r="T177" s="30">
        <f t="shared" si="52"/>
        <v>43186.857009496678</v>
      </c>
      <c r="U177">
        <f t="shared" si="53"/>
        <v>0</v>
      </c>
      <c r="V177" s="30">
        <f t="shared" si="54"/>
        <v>43186.857009496678</v>
      </c>
      <c r="W177" s="30">
        <f t="shared" si="44"/>
        <v>43186.857009496678</v>
      </c>
      <c r="X177" s="30">
        <f t="shared" si="55"/>
        <v>43186.857009496678</v>
      </c>
      <c r="Y177">
        <f t="shared" si="56"/>
        <v>0</v>
      </c>
    </row>
    <row r="178" spans="1:25" hidden="1" x14ac:dyDescent="0.25">
      <c r="A178" s="4" t="s">
        <v>1005</v>
      </c>
      <c r="B178" s="7" t="s">
        <v>515</v>
      </c>
      <c r="C178" s="2" t="s">
        <v>1006</v>
      </c>
      <c r="D178">
        <f>VLOOKUP(B178,'Model allocations'!$A$1:$L$319,4,FALSE)</f>
        <v>41473.250015814636</v>
      </c>
      <c r="E178" s="32">
        <f>VLOOKUP(B178,'Initial adjusted formula count'!$A$1:$P$319,12,FALSE)</f>
        <v>0.30151515151515201</v>
      </c>
      <c r="F178">
        <f>VLOOKUP(B178,'Model allocations'!$A$1:$L$319,9,FALSE)</f>
        <v>45113.001769440474</v>
      </c>
      <c r="G178" s="31">
        <f t="shared" si="45"/>
        <v>0.95</v>
      </c>
      <c r="H178">
        <f t="shared" si="46"/>
        <v>39399.587515023901</v>
      </c>
      <c r="I178">
        <f t="shared" si="38"/>
        <v>0</v>
      </c>
      <c r="J178">
        <f t="shared" si="39"/>
        <v>45113.001769440474</v>
      </c>
      <c r="K178">
        <f t="shared" si="40"/>
        <v>45035.553648841182</v>
      </c>
      <c r="L178">
        <f t="shared" si="47"/>
        <v>45035.553648841182</v>
      </c>
      <c r="M178">
        <f t="shared" si="41"/>
        <v>0</v>
      </c>
      <c r="N178" s="30">
        <f t="shared" si="48"/>
        <v>45035.553648841182</v>
      </c>
      <c r="O178" s="30">
        <f t="shared" si="42"/>
        <v>44995.730601517476</v>
      </c>
      <c r="P178" s="30">
        <f t="shared" si="49"/>
        <v>44995.730601517476</v>
      </c>
      <c r="Q178">
        <f t="shared" si="50"/>
        <v>0</v>
      </c>
      <c r="R178" s="30">
        <f t="shared" si="51"/>
        <v>44995.730601517476</v>
      </c>
      <c r="S178" s="30">
        <f t="shared" si="43"/>
        <v>44995.730601517484</v>
      </c>
      <c r="T178" s="30">
        <f t="shared" si="52"/>
        <v>44995.730601517484</v>
      </c>
      <c r="U178">
        <f t="shared" si="53"/>
        <v>0</v>
      </c>
      <c r="V178" s="30">
        <f t="shared" si="54"/>
        <v>44995.730601517484</v>
      </c>
      <c r="W178" s="30">
        <f t="shared" si="44"/>
        <v>44995.730601517484</v>
      </c>
      <c r="X178" s="30">
        <f t="shared" si="55"/>
        <v>44995.730601517484</v>
      </c>
      <c r="Y178">
        <f t="shared" si="56"/>
        <v>0</v>
      </c>
    </row>
    <row r="179" spans="1:25" x14ac:dyDescent="0.25">
      <c r="A179" s="4" t="s">
        <v>1007</v>
      </c>
      <c r="B179" s="7" t="s">
        <v>292</v>
      </c>
      <c r="C179" s="2" t="s">
        <v>1008</v>
      </c>
      <c r="D179">
        <f>VLOOKUP(B179,'Model allocations'!$A$1:$L$319,4,FALSE)</f>
        <v>0</v>
      </c>
      <c r="E179" s="32">
        <f>VLOOKUP(B179,'Initial adjusted formula count'!$A$1:$P$319,12,FALSE)</f>
        <v>0.106451612903226</v>
      </c>
      <c r="F179">
        <f>VLOOKUP(B179,'Model allocations'!$A$1:$L$319,9,FALSE)</f>
        <v>0</v>
      </c>
      <c r="G179" s="31">
        <f t="shared" si="45"/>
        <v>0.85</v>
      </c>
      <c r="H179">
        <f t="shared" si="46"/>
        <v>0</v>
      </c>
      <c r="I179">
        <f t="shared" si="38"/>
        <v>0</v>
      </c>
      <c r="J179">
        <f t="shared" si="39"/>
        <v>0</v>
      </c>
      <c r="K179">
        <f t="shared" si="40"/>
        <v>0</v>
      </c>
      <c r="L179">
        <f t="shared" si="47"/>
        <v>0</v>
      </c>
      <c r="M179">
        <f t="shared" si="41"/>
        <v>0</v>
      </c>
      <c r="N179" s="30">
        <f t="shared" si="48"/>
        <v>0</v>
      </c>
      <c r="O179" s="30">
        <f t="shared" si="42"/>
        <v>0</v>
      </c>
      <c r="P179" s="30">
        <f t="shared" si="49"/>
        <v>0</v>
      </c>
      <c r="Q179">
        <f t="shared" si="50"/>
        <v>0</v>
      </c>
      <c r="R179" s="30">
        <f t="shared" si="51"/>
        <v>0</v>
      </c>
      <c r="S179" s="30">
        <f t="shared" si="43"/>
        <v>0</v>
      </c>
      <c r="T179" s="30">
        <f t="shared" si="52"/>
        <v>0</v>
      </c>
      <c r="U179">
        <f t="shared" si="53"/>
        <v>0</v>
      </c>
      <c r="V179" s="30">
        <f t="shared" si="54"/>
        <v>0</v>
      </c>
      <c r="W179" s="30">
        <f t="shared" si="44"/>
        <v>0</v>
      </c>
      <c r="X179" s="30">
        <f t="shared" si="55"/>
        <v>0</v>
      </c>
      <c r="Y179">
        <f t="shared" si="56"/>
        <v>0</v>
      </c>
    </row>
    <row r="180" spans="1:25" hidden="1" x14ac:dyDescent="0.25">
      <c r="A180" s="4" t="s">
        <v>1009</v>
      </c>
      <c r="B180" s="7" t="s">
        <v>517</v>
      </c>
      <c r="C180" s="2" t="s">
        <v>1010</v>
      </c>
      <c r="D180">
        <f>VLOOKUP(B180,'Model allocations'!$A$1:$L$319,4,FALSE)</f>
        <v>54757.706738002329</v>
      </c>
      <c r="E180" s="32">
        <f>VLOOKUP(B180,'Initial adjusted formula count'!$A$1:$P$319,12,FALSE)</f>
        <v>0.18061224489795899</v>
      </c>
      <c r="F180">
        <f>VLOOKUP(B180,'Model allocations'!$A$1:$L$319,9,FALSE)</f>
        <v>49281.936064202098</v>
      </c>
      <c r="G180" s="31">
        <f t="shared" si="45"/>
        <v>0.9</v>
      </c>
      <c r="H180">
        <f t="shared" si="46"/>
        <v>49281.936064202098</v>
      </c>
      <c r="I180">
        <f t="shared" si="38"/>
        <v>0</v>
      </c>
      <c r="J180">
        <f t="shared" si="39"/>
        <v>49281.936064202098</v>
      </c>
      <c r="K180">
        <f t="shared" si="40"/>
        <v>49197.330891015583</v>
      </c>
      <c r="L180">
        <f t="shared" si="47"/>
        <v>49197.330891015583</v>
      </c>
      <c r="M180">
        <f t="shared" si="41"/>
        <v>49281.936064202098</v>
      </c>
      <c r="N180" s="30">
        <f t="shared" si="48"/>
        <v>0</v>
      </c>
      <c r="O180" s="30">
        <f t="shared" si="42"/>
        <v>0</v>
      </c>
      <c r="P180" s="30">
        <f t="shared" si="49"/>
        <v>49281.936064202098</v>
      </c>
      <c r="Q180">
        <f t="shared" si="50"/>
        <v>0</v>
      </c>
      <c r="R180" s="30">
        <f t="shared" si="51"/>
        <v>0</v>
      </c>
      <c r="S180" s="30">
        <f t="shared" si="43"/>
        <v>0</v>
      </c>
      <c r="T180" s="30">
        <f t="shared" si="52"/>
        <v>49281.936064202098</v>
      </c>
      <c r="U180">
        <f t="shared" si="53"/>
        <v>0</v>
      </c>
      <c r="V180" s="30">
        <f t="shared" si="54"/>
        <v>0</v>
      </c>
      <c r="W180" s="30">
        <f t="shared" si="44"/>
        <v>0</v>
      </c>
      <c r="X180" s="30">
        <f t="shared" si="55"/>
        <v>49281.936064202098</v>
      </c>
      <c r="Y180">
        <f t="shared" si="56"/>
        <v>0</v>
      </c>
    </row>
    <row r="181" spans="1:25" x14ac:dyDescent="0.25">
      <c r="A181" s="4" t="s">
        <v>1011</v>
      </c>
      <c r="B181" s="7" t="s">
        <v>193</v>
      </c>
      <c r="C181" s="2" t="s">
        <v>1012</v>
      </c>
      <c r="D181">
        <f>VLOOKUP(B181,'Model allocations'!$A$1:$L$319,4,FALSE)</f>
        <v>0</v>
      </c>
      <c r="E181" s="32">
        <f>VLOOKUP(B181,'Initial adjusted formula count'!$A$1:$P$319,12,FALSE)</f>
        <v>0.105926496055417</v>
      </c>
      <c r="F181">
        <f>VLOOKUP(B181,'Model allocations'!$A$1:$L$319,9,FALSE)</f>
        <v>0</v>
      </c>
      <c r="G181" s="31">
        <f t="shared" si="45"/>
        <v>0.85</v>
      </c>
      <c r="H181">
        <f t="shared" si="46"/>
        <v>0</v>
      </c>
      <c r="I181">
        <f t="shared" si="38"/>
        <v>0</v>
      </c>
      <c r="J181">
        <f t="shared" si="39"/>
        <v>0</v>
      </c>
      <c r="K181">
        <f t="shared" si="40"/>
        <v>0</v>
      </c>
      <c r="L181">
        <f t="shared" si="47"/>
        <v>0</v>
      </c>
      <c r="M181">
        <f t="shared" si="41"/>
        <v>0</v>
      </c>
      <c r="N181" s="30">
        <f t="shared" si="48"/>
        <v>0</v>
      </c>
      <c r="O181" s="30">
        <f t="shared" si="42"/>
        <v>0</v>
      </c>
      <c r="P181" s="30">
        <f t="shared" si="49"/>
        <v>0</v>
      </c>
      <c r="Q181">
        <f t="shared" si="50"/>
        <v>0</v>
      </c>
      <c r="R181" s="30">
        <f t="shared" si="51"/>
        <v>0</v>
      </c>
      <c r="S181" s="30">
        <f t="shared" si="43"/>
        <v>0</v>
      </c>
      <c r="T181" s="30">
        <f t="shared" si="52"/>
        <v>0</v>
      </c>
      <c r="U181">
        <f t="shared" si="53"/>
        <v>0</v>
      </c>
      <c r="V181" s="30">
        <f t="shared" si="54"/>
        <v>0</v>
      </c>
      <c r="W181" s="30">
        <f t="shared" si="44"/>
        <v>0</v>
      </c>
      <c r="X181" s="30">
        <f t="shared" si="55"/>
        <v>0</v>
      </c>
      <c r="Y181">
        <f t="shared" si="56"/>
        <v>0</v>
      </c>
    </row>
    <row r="182" spans="1:25" hidden="1" x14ac:dyDescent="0.25">
      <c r="A182" s="4" t="s">
        <v>1013</v>
      </c>
      <c r="B182" s="7" t="s">
        <v>519</v>
      </c>
      <c r="C182" s="2" t="s">
        <v>1014</v>
      </c>
      <c r="D182">
        <f>VLOOKUP(B182,'Model allocations'!$A$1:$L$319,4,FALSE)</f>
        <v>104652.75998189636</v>
      </c>
      <c r="E182" s="32">
        <f>VLOOKUP(B182,'Initial adjusted formula count'!$A$1:$P$319,12,FALSE)</f>
        <v>0.196373056994819</v>
      </c>
      <c r="F182">
        <f>VLOOKUP(B182,'Model allocations'!$A$1:$L$319,9,FALSE)</f>
        <v>94187.483983706727</v>
      </c>
      <c r="G182" s="31">
        <f t="shared" si="45"/>
        <v>0.9</v>
      </c>
      <c r="H182">
        <f t="shared" si="46"/>
        <v>94187.483983706727</v>
      </c>
      <c r="I182">
        <f t="shared" si="38"/>
        <v>0</v>
      </c>
      <c r="J182">
        <f t="shared" si="39"/>
        <v>94187.483983706727</v>
      </c>
      <c r="K182">
        <f t="shared" si="40"/>
        <v>94025.786838041386</v>
      </c>
      <c r="L182">
        <f t="shared" si="47"/>
        <v>94025.786838041386</v>
      </c>
      <c r="M182">
        <f t="shared" si="41"/>
        <v>94187.483983706727</v>
      </c>
      <c r="N182" s="30">
        <f t="shared" si="48"/>
        <v>0</v>
      </c>
      <c r="O182" s="30">
        <f t="shared" si="42"/>
        <v>0</v>
      </c>
      <c r="P182" s="30">
        <f t="shared" si="49"/>
        <v>94187.483983706727</v>
      </c>
      <c r="Q182">
        <f t="shared" si="50"/>
        <v>0</v>
      </c>
      <c r="R182" s="30">
        <f t="shared" si="51"/>
        <v>0</v>
      </c>
      <c r="S182" s="30">
        <f t="shared" si="43"/>
        <v>0</v>
      </c>
      <c r="T182" s="30">
        <f t="shared" si="52"/>
        <v>94187.483983706727</v>
      </c>
      <c r="U182">
        <f t="shared" si="53"/>
        <v>0</v>
      </c>
      <c r="V182" s="30">
        <f t="shared" si="54"/>
        <v>0</v>
      </c>
      <c r="W182" s="30">
        <f t="shared" si="44"/>
        <v>0</v>
      </c>
      <c r="X182" s="30">
        <f t="shared" si="55"/>
        <v>94187.483983706727</v>
      </c>
      <c r="Y182">
        <f t="shared" si="56"/>
        <v>0</v>
      </c>
    </row>
    <row r="183" spans="1:25" hidden="1" x14ac:dyDescent="0.25">
      <c r="A183" s="4" t="s">
        <v>1015</v>
      </c>
      <c r="B183" s="7" t="s">
        <v>521</v>
      </c>
      <c r="C183" s="2" t="s">
        <v>1016</v>
      </c>
      <c r="D183">
        <f>VLOOKUP(B183,'Model allocations'!$A$1:$L$319,4,FALSE)</f>
        <v>30893.339297494589</v>
      </c>
      <c r="E183" s="32">
        <f>VLOOKUP(B183,'Initial adjusted formula count'!$A$1:$P$319,12,FALSE)</f>
        <v>0.14040728831725599</v>
      </c>
      <c r="F183">
        <f>VLOOKUP(B183,'Model allocations'!$A$1:$L$319,9,FALSE)</f>
        <v>26259.338402870399</v>
      </c>
      <c r="G183" s="31">
        <f t="shared" si="45"/>
        <v>0.85</v>
      </c>
      <c r="H183">
        <f t="shared" si="46"/>
        <v>26259.338402870399</v>
      </c>
      <c r="I183">
        <f t="shared" si="38"/>
        <v>0</v>
      </c>
      <c r="J183">
        <f t="shared" si="39"/>
        <v>26259.338402870399</v>
      </c>
      <c r="K183">
        <f t="shared" si="40"/>
        <v>26214.257465497245</v>
      </c>
      <c r="L183">
        <f t="shared" si="47"/>
        <v>26214.257465497245</v>
      </c>
      <c r="M183">
        <f t="shared" si="41"/>
        <v>26259.338402870399</v>
      </c>
      <c r="N183" s="30">
        <f t="shared" si="48"/>
        <v>0</v>
      </c>
      <c r="O183" s="30">
        <f t="shared" si="42"/>
        <v>0</v>
      </c>
      <c r="P183" s="30">
        <f t="shared" si="49"/>
        <v>26259.338402870399</v>
      </c>
      <c r="Q183">
        <f t="shared" si="50"/>
        <v>0</v>
      </c>
      <c r="R183" s="30">
        <f t="shared" si="51"/>
        <v>0</v>
      </c>
      <c r="S183" s="30">
        <f t="shared" si="43"/>
        <v>0</v>
      </c>
      <c r="T183" s="30">
        <f t="shared" si="52"/>
        <v>26259.338402870399</v>
      </c>
      <c r="U183">
        <f t="shared" si="53"/>
        <v>0</v>
      </c>
      <c r="V183" s="30">
        <f t="shared" si="54"/>
        <v>0</v>
      </c>
      <c r="W183" s="30">
        <f t="shared" si="44"/>
        <v>0</v>
      </c>
      <c r="X183" s="30">
        <f t="shared" si="55"/>
        <v>26259.338402870399</v>
      </c>
      <c r="Y183">
        <f t="shared" si="56"/>
        <v>0</v>
      </c>
    </row>
    <row r="184" spans="1:25" hidden="1" x14ac:dyDescent="0.25">
      <c r="A184" s="4" t="s">
        <v>1017</v>
      </c>
      <c r="B184" s="7" t="s">
        <v>523</v>
      </c>
      <c r="C184" s="2" t="s">
        <v>1018</v>
      </c>
      <c r="D184">
        <f>VLOOKUP(B184,'Model allocations'!$A$1:$L$319,4,FALSE)</f>
        <v>3805.5549084325935</v>
      </c>
      <c r="E184" s="32">
        <f>VLOOKUP(B184,'Initial adjusted formula count'!$A$1:$P$319,12,FALSE)</f>
        <v>0.30645161290322598</v>
      </c>
      <c r="F184">
        <f>VLOOKUP(B184,'Model allocations'!$A$1:$L$319,9,FALSE)</f>
        <v>4307.2715257254713</v>
      </c>
      <c r="G184" s="31">
        <f t="shared" si="45"/>
        <v>0.95</v>
      </c>
      <c r="H184">
        <f t="shared" si="46"/>
        <v>3615.2771630109637</v>
      </c>
      <c r="I184">
        <f t="shared" si="38"/>
        <v>0</v>
      </c>
      <c r="J184">
        <f t="shared" si="39"/>
        <v>4307.2715257254713</v>
      </c>
      <c r="K184">
        <f t="shared" si="40"/>
        <v>4299.8769815476489</v>
      </c>
      <c r="L184">
        <f t="shared" si="47"/>
        <v>4299.8769815476489</v>
      </c>
      <c r="M184">
        <f t="shared" si="41"/>
        <v>0</v>
      </c>
      <c r="N184" s="30">
        <f t="shared" si="48"/>
        <v>4299.8769815476489</v>
      </c>
      <c r="O184" s="30">
        <f t="shared" si="42"/>
        <v>4296.0747810494058</v>
      </c>
      <c r="P184" s="30">
        <f t="shared" si="49"/>
        <v>4296.0747810494058</v>
      </c>
      <c r="Q184">
        <f t="shared" si="50"/>
        <v>0</v>
      </c>
      <c r="R184" s="30">
        <f t="shared" si="51"/>
        <v>4296.0747810494058</v>
      </c>
      <c r="S184" s="30">
        <f t="shared" si="43"/>
        <v>4296.0747810494067</v>
      </c>
      <c r="T184" s="30">
        <f t="shared" si="52"/>
        <v>4296.0747810494067</v>
      </c>
      <c r="U184">
        <f t="shared" si="53"/>
        <v>0</v>
      </c>
      <c r="V184" s="30">
        <f t="shared" si="54"/>
        <v>4296.0747810494067</v>
      </c>
      <c r="W184" s="30">
        <f t="shared" si="44"/>
        <v>4296.0747810494067</v>
      </c>
      <c r="X184" s="30">
        <f t="shared" si="55"/>
        <v>4296.0747810494067</v>
      </c>
      <c r="Y184">
        <f t="shared" si="56"/>
        <v>0</v>
      </c>
    </row>
    <row r="185" spans="1:25" hidden="1" x14ac:dyDescent="0.25">
      <c r="A185" s="4" t="s">
        <v>1019</v>
      </c>
      <c r="B185" s="7" t="s">
        <v>525</v>
      </c>
      <c r="C185" s="2" t="s">
        <v>1020</v>
      </c>
      <c r="D185">
        <f>VLOOKUP(B185,'Model allocations'!$A$1:$L$319,4,FALSE)</f>
        <v>0</v>
      </c>
      <c r="E185" s="32">
        <f>VLOOKUP(B185,'Initial adjusted formula count'!$A$1:$P$319,12,FALSE)</f>
        <v>0.13458262350937</v>
      </c>
      <c r="F185">
        <f>VLOOKUP(B185,'Model allocations'!$A$1:$L$319,9,FALSE)</f>
        <v>0</v>
      </c>
      <c r="G185" s="31">
        <f t="shared" si="45"/>
        <v>0.85</v>
      </c>
      <c r="H185">
        <f t="shared" si="46"/>
        <v>0</v>
      </c>
      <c r="I185">
        <f t="shared" si="38"/>
        <v>0</v>
      </c>
      <c r="J185">
        <f t="shared" si="39"/>
        <v>0</v>
      </c>
      <c r="K185">
        <f t="shared" si="40"/>
        <v>0</v>
      </c>
      <c r="L185">
        <f t="shared" si="47"/>
        <v>0</v>
      </c>
      <c r="M185">
        <f t="shared" si="41"/>
        <v>0</v>
      </c>
      <c r="N185" s="30">
        <f t="shared" si="48"/>
        <v>0</v>
      </c>
      <c r="O185" s="30">
        <f t="shared" si="42"/>
        <v>0</v>
      </c>
      <c r="P185" s="30">
        <f t="shared" si="49"/>
        <v>0</v>
      </c>
      <c r="Q185">
        <f t="shared" si="50"/>
        <v>0</v>
      </c>
      <c r="R185" s="30">
        <f t="shared" si="51"/>
        <v>0</v>
      </c>
      <c r="S185" s="30">
        <f t="shared" si="43"/>
        <v>0</v>
      </c>
      <c r="T185" s="30">
        <f t="shared" si="52"/>
        <v>0</v>
      </c>
      <c r="U185">
        <f t="shared" si="53"/>
        <v>0</v>
      </c>
      <c r="V185" s="30">
        <f t="shared" si="54"/>
        <v>0</v>
      </c>
      <c r="W185" s="30">
        <f t="shared" si="44"/>
        <v>0</v>
      </c>
      <c r="X185" s="30">
        <f t="shared" si="55"/>
        <v>0</v>
      </c>
      <c r="Y185">
        <f t="shared" si="56"/>
        <v>0</v>
      </c>
    </row>
    <row r="186" spans="1:25" x14ac:dyDescent="0.25">
      <c r="A186" s="4" t="s">
        <v>1021</v>
      </c>
      <c r="B186" s="7" t="s">
        <v>294</v>
      </c>
      <c r="C186" s="2" t="s">
        <v>1022</v>
      </c>
      <c r="D186">
        <f>VLOOKUP(B186,'Model allocations'!$A$1:$L$319,4,FALSE)</f>
        <v>0</v>
      </c>
      <c r="E186" s="32">
        <f>VLOOKUP(B186,'Initial adjusted formula count'!$A$1:$P$319,12,FALSE)</f>
        <v>0.13559322033898299</v>
      </c>
      <c r="F186">
        <f>VLOOKUP(B186,'Model allocations'!$A$1:$L$319,9,FALSE)</f>
        <v>0</v>
      </c>
      <c r="G186" s="31">
        <f t="shared" si="45"/>
        <v>0.85</v>
      </c>
      <c r="H186">
        <f t="shared" si="46"/>
        <v>0</v>
      </c>
      <c r="I186">
        <f t="shared" si="38"/>
        <v>0</v>
      </c>
      <c r="J186">
        <f t="shared" si="39"/>
        <v>0</v>
      </c>
      <c r="K186">
        <f t="shared" si="40"/>
        <v>0</v>
      </c>
      <c r="L186">
        <f t="shared" si="47"/>
        <v>0</v>
      </c>
      <c r="M186">
        <f t="shared" si="41"/>
        <v>0</v>
      </c>
      <c r="N186" s="30">
        <f t="shared" si="48"/>
        <v>0</v>
      </c>
      <c r="O186" s="30">
        <f t="shared" si="42"/>
        <v>0</v>
      </c>
      <c r="P186" s="30">
        <f t="shared" si="49"/>
        <v>0</v>
      </c>
      <c r="Q186">
        <f t="shared" si="50"/>
        <v>0</v>
      </c>
      <c r="R186" s="30">
        <f t="shared" si="51"/>
        <v>0</v>
      </c>
      <c r="S186" s="30">
        <f t="shared" si="43"/>
        <v>0</v>
      </c>
      <c r="T186" s="30">
        <f t="shared" si="52"/>
        <v>0</v>
      </c>
      <c r="U186">
        <f t="shared" si="53"/>
        <v>0</v>
      </c>
      <c r="V186" s="30">
        <f t="shared" si="54"/>
        <v>0</v>
      </c>
      <c r="W186" s="30">
        <f t="shared" si="44"/>
        <v>0</v>
      </c>
      <c r="X186" s="30">
        <f t="shared" si="55"/>
        <v>0</v>
      </c>
      <c r="Y186">
        <f t="shared" si="56"/>
        <v>0</v>
      </c>
    </row>
    <row r="187" spans="1:25" hidden="1" x14ac:dyDescent="0.25">
      <c r="A187" s="4" t="s">
        <v>1023</v>
      </c>
      <c r="B187" s="7" t="s">
        <v>527</v>
      </c>
      <c r="C187" s="2" t="s">
        <v>1024</v>
      </c>
      <c r="D187">
        <f>VLOOKUP(B187,'Model allocations'!$A$1:$L$319,4,FALSE)</f>
        <v>6559.5446453584391</v>
      </c>
      <c r="E187" s="32">
        <f>VLOOKUP(B187,'Initial adjusted formula count'!$A$1:$P$319,12,FALSE)</f>
        <v>0.28125</v>
      </c>
      <c r="F187">
        <f>VLOOKUP(B187,'Model allocations'!$A$1:$L$319,9,FALSE)</f>
        <v>8161.1460487430013</v>
      </c>
      <c r="G187" s="31">
        <f t="shared" si="45"/>
        <v>0.9</v>
      </c>
      <c r="H187">
        <f t="shared" si="46"/>
        <v>5903.5901808225954</v>
      </c>
      <c r="I187">
        <f t="shared" si="38"/>
        <v>0</v>
      </c>
      <c r="J187">
        <f t="shared" si="39"/>
        <v>8161.1460487430013</v>
      </c>
      <c r="K187">
        <f t="shared" si="40"/>
        <v>8147.1353334587066</v>
      </c>
      <c r="L187">
        <f t="shared" si="47"/>
        <v>8147.1353334587066</v>
      </c>
      <c r="M187">
        <f t="shared" si="41"/>
        <v>0</v>
      </c>
      <c r="N187" s="30">
        <f t="shared" si="48"/>
        <v>8147.1353334587066</v>
      </c>
      <c r="O187" s="30">
        <f t="shared" si="42"/>
        <v>8139.9311640936139</v>
      </c>
      <c r="P187" s="30">
        <f t="shared" si="49"/>
        <v>8139.9311640936139</v>
      </c>
      <c r="Q187">
        <f t="shared" si="50"/>
        <v>0</v>
      </c>
      <c r="R187" s="30">
        <f t="shared" si="51"/>
        <v>8139.9311640936139</v>
      </c>
      <c r="S187" s="30">
        <f t="shared" si="43"/>
        <v>8139.9311640936157</v>
      </c>
      <c r="T187" s="30">
        <f t="shared" si="52"/>
        <v>8139.9311640936157</v>
      </c>
      <c r="U187">
        <f t="shared" si="53"/>
        <v>0</v>
      </c>
      <c r="V187" s="30">
        <f t="shared" si="54"/>
        <v>8139.9311640936157</v>
      </c>
      <c r="W187" s="30">
        <f t="shared" si="44"/>
        <v>8139.9311640936157</v>
      </c>
      <c r="X187" s="30">
        <f t="shared" si="55"/>
        <v>8139.9311640936157</v>
      </c>
      <c r="Y187">
        <f t="shared" si="56"/>
        <v>0</v>
      </c>
    </row>
    <row r="188" spans="1:25" hidden="1" x14ac:dyDescent="0.25">
      <c r="A188" s="4" t="s">
        <v>1025</v>
      </c>
      <c r="B188" s="7" t="s">
        <v>529</v>
      </c>
      <c r="C188" s="2" t="s">
        <v>1026</v>
      </c>
      <c r="D188">
        <f>VLOOKUP(B188,'Model allocations'!$A$1:$L$319,4,FALSE)</f>
        <v>15645.059068000668</v>
      </c>
      <c r="E188" s="32">
        <f>VLOOKUP(B188,'Initial adjusted formula count'!$A$1:$P$319,12,FALSE)</f>
        <v>0.13026819923371599</v>
      </c>
      <c r="F188">
        <f>VLOOKUP(B188,'Model allocations'!$A$1:$L$319,9,FALSE)</f>
        <v>13298.300207800568</v>
      </c>
      <c r="G188" s="31">
        <f t="shared" si="45"/>
        <v>0.85</v>
      </c>
      <c r="H188">
        <f t="shared" si="46"/>
        <v>13298.300207800568</v>
      </c>
      <c r="I188">
        <f t="shared" si="38"/>
        <v>0</v>
      </c>
      <c r="J188">
        <f t="shared" si="39"/>
        <v>13298.300207800568</v>
      </c>
      <c r="K188">
        <f t="shared" si="40"/>
        <v>13275.470240432778</v>
      </c>
      <c r="L188">
        <f t="shared" si="47"/>
        <v>13275.470240432778</v>
      </c>
      <c r="M188">
        <f t="shared" si="41"/>
        <v>13298.300207800568</v>
      </c>
      <c r="N188" s="30">
        <f t="shared" si="48"/>
        <v>0</v>
      </c>
      <c r="O188" s="30">
        <f t="shared" si="42"/>
        <v>0</v>
      </c>
      <c r="P188" s="30">
        <f t="shared" si="49"/>
        <v>13298.300207800568</v>
      </c>
      <c r="Q188">
        <f t="shared" si="50"/>
        <v>0</v>
      </c>
      <c r="R188" s="30">
        <f t="shared" si="51"/>
        <v>0</v>
      </c>
      <c r="S188" s="30">
        <f t="shared" si="43"/>
        <v>0</v>
      </c>
      <c r="T188" s="30">
        <f t="shared" si="52"/>
        <v>13298.300207800568</v>
      </c>
      <c r="U188">
        <f t="shared" si="53"/>
        <v>0</v>
      </c>
      <c r="V188" s="30">
        <f t="shared" si="54"/>
        <v>0</v>
      </c>
      <c r="W188" s="30">
        <f t="shared" si="44"/>
        <v>0</v>
      </c>
      <c r="X188" s="30">
        <f t="shared" si="55"/>
        <v>13298.300207800568</v>
      </c>
      <c r="Y188">
        <f t="shared" si="56"/>
        <v>0</v>
      </c>
    </row>
    <row r="189" spans="1:25" hidden="1" x14ac:dyDescent="0.25">
      <c r="A189" s="4" t="s">
        <v>1027</v>
      </c>
      <c r="B189" s="7" t="s">
        <v>531</v>
      </c>
      <c r="C189" s="2" t="s">
        <v>1028</v>
      </c>
      <c r="D189">
        <f>VLOOKUP(B189,'Model allocations'!$A$1:$L$319,4,FALSE)</f>
        <v>64048.428752107844</v>
      </c>
      <c r="E189" s="32">
        <f>VLOOKUP(B189,'Initial adjusted formula count'!$A$1:$P$319,12,FALSE)</f>
        <v>0.26056338028169002</v>
      </c>
      <c r="F189">
        <f>VLOOKUP(B189,'Model allocations'!$A$1:$L$319,9,FALSE)</f>
        <v>57643.585876897057</v>
      </c>
      <c r="G189" s="31">
        <f t="shared" si="45"/>
        <v>0.9</v>
      </c>
      <c r="H189">
        <f t="shared" si="46"/>
        <v>57643.585876897057</v>
      </c>
      <c r="I189">
        <f t="shared" si="38"/>
        <v>0</v>
      </c>
      <c r="J189">
        <f t="shared" si="39"/>
        <v>57643.585876897057</v>
      </c>
      <c r="K189">
        <f t="shared" si="40"/>
        <v>57544.625771923646</v>
      </c>
      <c r="L189">
        <f t="shared" si="47"/>
        <v>57544.625771923646</v>
      </c>
      <c r="M189">
        <f t="shared" si="41"/>
        <v>57643.585876897057</v>
      </c>
      <c r="N189" s="30">
        <f t="shared" si="48"/>
        <v>0</v>
      </c>
      <c r="O189" s="30">
        <f t="shared" si="42"/>
        <v>0</v>
      </c>
      <c r="P189" s="30">
        <f t="shared" si="49"/>
        <v>57643.585876897057</v>
      </c>
      <c r="Q189">
        <f t="shared" si="50"/>
        <v>0</v>
      </c>
      <c r="R189" s="30">
        <f t="shared" si="51"/>
        <v>0</v>
      </c>
      <c r="S189" s="30">
        <f t="shared" si="43"/>
        <v>0</v>
      </c>
      <c r="T189" s="30">
        <f t="shared" si="52"/>
        <v>57643.585876897057</v>
      </c>
      <c r="U189">
        <f t="shared" si="53"/>
        <v>0</v>
      </c>
      <c r="V189" s="30">
        <f t="shared" si="54"/>
        <v>0</v>
      </c>
      <c r="W189" s="30">
        <f t="shared" si="44"/>
        <v>0</v>
      </c>
      <c r="X189" s="30">
        <f t="shared" si="55"/>
        <v>57643.585876897057</v>
      </c>
      <c r="Y189">
        <f t="shared" si="56"/>
        <v>0</v>
      </c>
    </row>
    <row r="190" spans="1:25" x14ac:dyDescent="0.25">
      <c r="A190" s="4" t="s">
        <v>1029</v>
      </c>
      <c r="B190" s="7" t="s">
        <v>296</v>
      </c>
      <c r="C190" s="2" t="s">
        <v>1030</v>
      </c>
      <c r="D190">
        <f>VLOOKUP(B190,'Model allocations'!$A$1:$L$319,4,FALSE)</f>
        <v>0</v>
      </c>
      <c r="E190" s="32">
        <f>VLOOKUP(B190,'Initial adjusted formula count'!$A$1:$P$319,12,FALSE)</f>
        <v>5.4478301015697103E-2</v>
      </c>
      <c r="F190">
        <f>VLOOKUP(B190,'Model allocations'!$A$1:$L$319,9,FALSE)</f>
        <v>0</v>
      </c>
      <c r="G190" s="31">
        <f t="shared" si="45"/>
        <v>0.85</v>
      </c>
      <c r="H190">
        <f t="shared" si="46"/>
        <v>0</v>
      </c>
      <c r="I190">
        <f t="shared" si="38"/>
        <v>0</v>
      </c>
      <c r="J190">
        <f t="shared" si="39"/>
        <v>0</v>
      </c>
      <c r="K190">
        <f t="shared" si="40"/>
        <v>0</v>
      </c>
      <c r="L190">
        <f t="shared" si="47"/>
        <v>0</v>
      </c>
      <c r="M190">
        <f t="shared" si="41"/>
        <v>0</v>
      </c>
      <c r="N190" s="30">
        <f t="shared" si="48"/>
        <v>0</v>
      </c>
      <c r="O190" s="30">
        <f t="shared" si="42"/>
        <v>0</v>
      </c>
      <c r="P190" s="30">
        <f t="shared" si="49"/>
        <v>0</v>
      </c>
      <c r="Q190">
        <f t="shared" si="50"/>
        <v>0</v>
      </c>
      <c r="R190" s="30">
        <f t="shared" si="51"/>
        <v>0</v>
      </c>
      <c r="S190" s="30">
        <f t="shared" si="43"/>
        <v>0</v>
      </c>
      <c r="T190" s="30">
        <f t="shared" si="52"/>
        <v>0</v>
      </c>
      <c r="U190">
        <f t="shared" si="53"/>
        <v>0</v>
      </c>
      <c r="V190" s="30">
        <f t="shared" si="54"/>
        <v>0</v>
      </c>
      <c r="W190" s="30">
        <f t="shared" si="44"/>
        <v>0</v>
      </c>
      <c r="X190" s="30">
        <f t="shared" si="55"/>
        <v>0</v>
      </c>
      <c r="Y190">
        <f t="shared" si="56"/>
        <v>0</v>
      </c>
    </row>
    <row r="191" spans="1:25" hidden="1" x14ac:dyDescent="0.25">
      <c r="A191" s="4" t="s">
        <v>1031</v>
      </c>
      <c r="B191" s="7" t="s">
        <v>533</v>
      </c>
      <c r="C191" s="2" t="s">
        <v>1032</v>
      </c>
      <c r="D191">
        <f>VLOOKUP(B191,'Model allocations'!$A$1:$L$319,4,FALSE)</f>
        <v>190015.19650102829</v>
      </c>
      <c r="E191" s="32">
        <f>VLOOKUP(B191,'Initial adjusted formula count'!$A$1:$P$319,12,FALSE)</f>
        <v>0.16240796881767</v>
      </c>
      <c r="F191">
        <f>VLOOKUP(B191,'Model allocations'!$A$1:$L$319,9,FALSE)</f>
        <v>171013.67685092546</v>
      </c>
      <c r="G191" s="31">
        <f t="shared" si="45"/>
        <v>0.9</v>
      </c>
      <c r="H191">
        <f t="shared" si="46"/>
        <v>171013.67685092546</v>
      </c>
      <c r="I191">
        <f t="shared" si="38"/>
        <v>0</v>
      </c>
      <c r="J191">
        <f t="shared" si="39"/>
        <v>171013.67685092546</v>
      </c>
      <c r="K191">
        <f t="shared" si="40"/>
        <v>170720.08770036153</v>
      </c>
      <c r="L191">
        <f t="shared" si="47"/>
        <v>170720.08770036153</v>
      </c>
      <c r="M191">
        <f t="shared" si="41"/>
        <v>171013.67685092546</v>
      </c>
      <c r="N191" s="30">
        <f t="shared" si="48"/>
        <v>0</v>
      </c>
      <c r="O191" s="30">
        <f t="shared" si="42"/>
        <v>0</v>
      </c>
      <c r="P191" s="30">
        <f t="shared" si="49"/>
        <v>171013.67685092546</v>
      </c>
      <c r="Q191">
        <f t="shared" si="50"/>
        <v>0</v>
      </c>
      <c r="R191" s="30">
        <f t="shared" si="51"/>
        <v>0</v>
      </c>
      <c r="S191" s="30">
        <f t="shared" si="43"/>
        <v>0</v>
      </c>
      <c r="T191" s="30">
        <f t="shared" si="52"/>
        <v>171013.67685092546</v>
      </c>
      <c r="U191">
        <f t="shared" si="53"/>
        <v>0</v>
      </c>
      <c r="V191" s="30">
        <f t="shared" si="54"/>
        <v>0</v>
      </c>
      <c r="W191" s="30">
        <f t="shared" si="44"/>
        <v>0</v>
      </c>
      <c r="X191" s="30">
        <f t="shared" si="55"/>
        <v>171013.67685092546</v>
      </c>
      <c r="Y191">
        <f t="shared" si="56"/>
        <v>0</v>
      </c>
    </row>
    <row r="192" spans="1:25" hidden="1" x14ac:dyDescent="0.25">
      <c r="A192" s="4" t="s">
        <v>1033</v>
      </c>
      <c r="B192" s="7" t="s">
        <v>535</v>
      </c>
      <c r="C192" s="2" t="s">
        <v>1034</v>
      </c>
      <c r="D192">
        <f>VLOOKUP(B192,'Model allocations'!$A$1:$L$319,4,FALSE)</f>
        <v>2748.4563227568738</v>
      </c>
      <c r="E192" s="32">
        <f>VLOOKUP(B192,'Initial adjusted formula count'!$A$1:$P$319,12,FALSE)</f>
        <v>0.217391304347826</v>
      </c>
      <c r="F192">
        <f>VLOOKUP(B192,'Model allocations'!$A$1:$L$319,9,FALSE)</f>
        <v>2473.6106904811863</v>
      </c>
      <c r="G192" s="31">
        <f t="shared" si="45"/>
        <v>0.9</v>
      </c>
      <c r="H192">
        <f t="shared" si="46"/>
        <v>2473.6106904811863</v>
      </c>
      <c r="I192">
        <f t="shared" si="38"/>
        <v>0</v>
      </c>
      <c r="J192">
        <f t="shared" si="39"/>
        <v>2473.6106904811863</v>
      </c>
      <c r="K192">
        <f t="shared" si="40"/>
        <v>2469.364098776844</v>
      </c>
      <c r="L192">
        <f t="shared" si="47"/>
        <v>2469.364098776844</v>
      </c>
      <c r="M192">
        <f t="shared" si="41"/>
        <v>2473.6106904811863</v>
      </c>
      <c r="N192" s="30">
        <f t="shared" si="48"/>
        <v>0</v>
      </c>
      <c r="O192" s="30">
        <f t="shared" si="42"/>
        <v>0</v>
      </c>
      <c r="P192" s="30">
        <f t="shared" si="49"/>
        <v>2473.6106904811863</v>
      </c>
      <c r="Q192">
        <f t="shared" si="50"/>
        <v>0</v>
      </c>
      <c r="R192" s="30">
        <f t="shared" si="51"/>
        <v>0</v>
      </c>
      <c r="S192" s="30">
        <f t="shared" si="43"/>
        <v>0</v>
      </c>
      <c r="T192" s="30">
        <f t="shared" si="52"/>
        <v>2473.6106904811863</v>
      </c>
      <c r="U192">
        <f t="shared" si="53"/>
        <v>0</v>
      </c>
      <c r="V192" s="30">
        <f t="shared" si="54"/>
        <v>0</v>
      </c>
      <c r="W192" s="30">
        <f t="shared" si="44"/>
        <v>0</v>
      </c>
      <c r="X192" s="30">
        <f t="shared" si="55"/>
        <v>2473.6106904811863</v>
      </c>
      <c r="Y192">
        <f t="shared" si="56"/>
        <v>0</v>
      </c>
    </row>
    <row r="193" spans="1:25" x14ac:dyDescent="0.25">
      <c r="A193" s="4" t="s">
        <v>1035</v>
      </c>
      <c r="B193" s="7" t="s">
        <v>537</v>
      </c>
      <c r="C193" s="2" t="s">
        <v>1036</v>
      </c>
      <c r="D193">
        <f>VLOOKUP(B193,'Model allocations'!$A$1:$L$319,4,FALSE)</f>
        <v>0</v>
      </c>
      <c r="E193" s="32">
        <f>VLOOKUP(B193,'Initial adjusted formula count'!$A$1:$P$319,12,FALSE)</f>
        <v>4.6413502109704602E-2</v>
      </c>
      <c r="F193">
        <f>VLOOKUP(B193,'Model allocations'!$A$1:$L$319,9,FALSE)</f>
        <v>0</v>
      </c>
      <c r="G193" s="31">
        <f t="shared" si="45"/>
        <v>0.85</v>
      </c>
      <c r="H193">
        <f t="shared" si="46"/>
        <v>0</v>
      </c>
      <c r="I193">
        <f t="shared" si="38"/>
        <v>0</v>
      </c>
      <c r="J193">
        <f t="shared" si="39"/>
        <v>0</v>
      </c>
      <c r="K193">
        <f t="shared" si="40"/>
        <v>0</v>
      </c>
      <c r="L193">
        <f t="shared" si="47"/>
        <v>0</v>
      </c>
      <c r="M193">
        <f t="shared" si="41"/>
        <v>0</v>
      </c>
      <c r="N193" s="30">
        <f t="shared" si="48"/>
        <v>0</v>
      </c>
      <c r="O193" s="30">
        <f t="shared" si="42"/>
        <v>0</v>
      </c>
      <c r="P193" s="30">
        <f t="shared" si="49"/>
        <v>0</v>
      </c>
      <c r="Q193">
        <f t="shared" si="50"/>
        <v>0</v>
      </c>
      <c r="R193" s="30">
        <f t="shared" si="51"/>
        <v>0</v>
      </c>
      <c r="S193" s="30">
        <f t="shared" si="43"/>
        <v>0</v>
      </c>
      <c r="T193" s="30">
        <f t="shared" si="52"/>
        <v>0</v>
      </c>
      <c r="U193">
        <f t="shared" si="53"/>
        <v>0</v>
      </c>
      <c r="V193" s="30">
        <f t="shared" si="54"/>
        <v>0</v>
      </c>
      <c r="W193" s="30">
        <f t="shared" si="44"/>
        <v>0</v>
      </c>
      <c r="X193" s="30">
        <f t="shared" si="55"/>
        <v>0</v>
      </c>
      <c r="Y193">
        <f t="shared" si="56"/>
        <v>0</v>
      </c>
    </row>
    <row r="194" spans="1:25" hidden="1" x14ac:dyDescent="0.25">
      <c r="A194" s="4" t="s">
        <v>1037</v>
      </c>
      <c r="B194" s="7" t="s">
        <v>539</v>
      </c>
      <c r="C194" s="2" t="s">
        <v>1038</v>
      </c>
      <c r="D194">
        <f>VLOOKUP(B194,'Model allocations'!$A$1:$L$319,4,FALSE)</f>
        <v>507293.2160749216</v>
      </c>
      <c r="E194" s="32">
        <f>VLOOKUP(B194,'Initial adjusted formula count'!$A$1:$P$319,12,FALSE)</f>
        <v>0.11864739034550401</v>
      </c>
      <c r="F194">
        <f>VLOOKUP(B194,'Model allocations'!$A$1:$L$319,9,FALSE)</f>
        <v>431199.23366368335</v>
      </c>
      <c r="G194" s="31">
        <f t="shared" si="45"/>
        <v>0.85</v>
      </c>
      <c r="H194">
        <f t="shared" si="46"/>
        <v>431199.23366368335</v>
      </c>
      <c r="I194">
        <f t="shared" si="38"/>
        <v>0</v>
      </c>
      <c r="J194">
        <f t="shared" si="39"/>
        <v>431199.23366368335</v>
      </c>
      <c r="K194">
        <f t="shared" si="40"/>
        <v>430458.96879676578</v>
      </c>
      <c r="L194">
        <f t="shared" si="47"/>
        <v>430458.96879676578</v>
      </c>
      <c r="M194">
        <f t="shared" si="41"/>
        <v>431199.23366368335</v>
      </c>
      <c r="N194" s="30">
        <f t="shared" si="48"/>
        <v>0</v>
      </c>
      <c r="O194" s="30">
        <f t="shared" si="42"/>
        <v>0</v>
      </c>
      <c r="P194" s="30">
        <f t="shared" si="49"/>
        <v>431199.23366368335</v>
      </c>
      <c r="Q194">
        <f t="shared" si="50"/>
        <v>0</v>
      </c>
      <c r="R194" s="30">
        <f t="shared" si="51"/>
        <v>0</v>
      </c>
      <c r="S194" s="30">
        <f t="shared" si="43"/>
        <v>0</v>
      </c>
      <c r="T194" s="30">
        <f t="shared" si="52"/>
        <v>431199.23366368335</v>
      </c>
      <c r="U194">
        <f t="shared" si="53"/>
        <v>0</v>
      </c>
      <c r="V194" s="30">
        <f t="shared" si="54"/>
        <v>0</v>
      </c>
      <c r="W194" s="30">
        <f t="shared" si="44"/>
        <v>0</v>
      </c>
      <c r="X194" s="30">
        <f t="shared" si="55"/>
        <v>431199.23366368335</v>
      </c>
      <c r="Y194">
        <f t="shared" si="56"/>
        <v>0</v>
      </c>
    </row>
    <row r="195" spans="1:25" hidden="1" x14ac:dyDescent="0.25">
      <c r="A195" s="4" t="s">
        <v>1039</v>
      </c>
      <c r="B195" s="7" t="s">
        <v>541</v>
      </c>
      <c r="C195" s="2" t="s">
        <v>1040</v>
      </c>
      <c r="D195">
        <f>VLOOKUP(B195,'Model allocations'!$A$1:$L$319,4,FALSE)</f>
        <v>13577.844056012593</v>
      </c>
      <c r="E195" s="32">
        <f>VLOOKUP(B195,'Initial adjusted formula count'!$A$1:$P$319,12,FALSE)</f>
        <v>0.13265306122449</v>
      </c>
      <c r="F195">
        <f>VLOOKUP(B195,'Model allocations'!$A$1:$L$319,9,FALSE)</f>
        <v>11541.167447610704</v>
      </c>
      <c r="G195" s="31">
        <f t="shared" si="45"/>
        <v>0.85</v>
      </c>
      <c r="H195">
        <f t="shared" si="46"/>
        <v>11541.167447610704</v>
      </c>
      <c r="I195">
        <f t="shared" si="38"/>
        <v>0</v>
      </c>
      <c r="J195">
        <f t="shared" si="39"/>
        <v>11541.167447610704</v>
      </c>
      <c r="K195">
        <f t="shared" si="40"/>
        <v>11521.354052507726</v>
      </c>
      <c r="L195">
        <f t="shared" si="47"/>
        <v>11521.354052507726</v>
      </c>
      <c r="M195">
        <f t="shared" si="41"/>
        <v>11541.167447610704</v>
      </c>
      <c r="N195" s="30">
        <f t="shared" si="48"/>
        <v>0</v>
      </c>
      <c r="O195" s="30">
        <f t="shared" si="42"/>
        <v>0</v>
      </c>
      <c r="P195" s="30">
        <f t="shared" si="49"/>
        <v>11541.167447610704</v>
      </c>
      <c r="Q195">
        <f t="shared" si="50"/>
        <v>0</v>
      </c>
      <c r="R195" s="30">
        <f t="shared" si="51"/>
        <v>0</v>
      </c>
      <c r="S195" s="30">
        <f t="shared" si="43"/>
        <v>0</v>
      </c>
      <c r="T195" s="30">
        <f t="shared" si="52"/>
        <v>11541.167447610704</v>
      </c>
      <c r="U195">
        <f t="shared" si="53"/>
        <v>0</v>
      </c>
      <c r="V195" s="30">
        <f t="shared" si="54"/>
        <v>0</v>
      </c>
      <c r="W195" s="30">
        <f t="shared" si="44"/>
        <v>0</v>
      </c>
      <c r="X195" s="30">
        <f t="shared" si="55"/>
        <v>11541.167447610704</v>
      </c>
      <c r="Y195">
        <f t="shared" si="56"/>
        <v>0</v>
      </c>
    </row>
    <row r="196" spans="1:25" x14ac:dyDescent="0.25">
      <c r="A196" s="4" t="s">
        <v>1041</v>
      </c>
      <c r="B196" s="7" t="s">
        <v>195</v>
      </c>
      <c r="C196" s="2" t="s">
        <v>1042</v>
      </c>
      <c r="D196">
        <f>VLOOKUP(B196,'Model allocations'!$A$1:$L$319,4,FALSE)</f>
        <v>0</v>
      </c>
      <c r="E196" s="32">
        <f>VLOOKUP(B196,'Initial adjusted formula count'!$A$1:$P$319,12,FALSE)</f>
        <v>8.04597701149425E-2</v>
      </c>
      <c r="F196">
        <f>VLOOKUP(B196,'Model allocations'!$A$1:$L$319,9,FALSE)</f>
        <v>0</v>
      </c>
      <c r="G196" s="31">
        <f t="shared" si="45"/>
        <v>0.85</v>
      </c>
      <c r="H196">
        <f t="shared" si="46"/>
        <v>0</v>
      </c>
      <c r="I196">
        <f t="shared" ref="I196:I259" si="57">IF(F196&lt;H196,H196,0)</f>
        <v>0</v>
      </c>
      <c r="J196">
        <f t="shared" ref="J196:J259" si="58">IF(I196=0,F196,0)</f>
        <v>0</v>
      </c>
      <c r="K196">
        <f t="shared" ref="K196:K259" si="59">(J196/$J$3)*($F$3-$I$3)</f>
        <v>0</v>
      </c>
      <c r="L196">
        <f t="shared" si="47"/>
        <v>0</v>
      </c>
      <c r="M196">
        <f t="shared" ref="M196:M259" si="60">IF(L196&lt;H196,H196,0)</f>
        <v>0</v>
      </c>
      <c r="N196" s="30">
        <f t="shared" si="48"/>
        <v>0</v>
      </c>
      <c r="O196" s="30">
        <f t="shared" ref="O196:O259" si="61">((N196/$N$3)*($F$3-$I$3-$M$3))</f>
        <v>0</v>
      </c>
      <c r="P196" s="30">
        <f t="shared" si="49"/>
        <v>0</v>
      </c>
      <c r="Q196">
        <f t="shared" si="50"/>
        <v>0</v>
      </c>
      <c r="R196" s="30">
        <f t="shared" si="51"/>
        <v>0</v>
      </c>
      <c r="S196" s="30">
        <f t="shared" ref="S196:S259" si="62">((R196/$R$3)*($F$3-$I$3-$M$3-$Q$3))</f>
        <v>0</v>
      </c>
      <c r="T196" s="30">
        <f t="shared" si="52"/>
        <v>0</v>
      </c>
      <c r="U196">
        <f t="shared" si="53"/>
        <v>0</v>
      </c>
      <c r="V196" s="30">
        <f t="shared" si="54"/>
        <v>0</v>
      </c>
      <c r="W196" s="30">
        <f t="shared" ref="W196:W259" si="63">((V196/$V$3)*($F$3-$I$3-$M$3-$Q$3-$U$3))</f>
        <v>0</v>
      </c>
      <c r="X196" s="30">
        <f t="shared" si="55"/>
        <v>0</v>
      </c>
      <c r="Y196">
        <f t="shared" si="56"/>
        <v>0</v>
      </c>
    </row>
    <row r="197" spans="1:25" x14ac:dyDescent="0.25">
      <c r="A197" s="4" t="s">
        <v>1043</v>
      </c>
      <c r="B197" s="7" t="s">
        <v>298</v>
      </c>
      <c r="C197" s="2" t="s">
        <v>1044</v>
      </c>
      <c r="D197">
        <f>VLOOKUP(B197,'Model allocations'!$A$1:$L$319,4,FALSE)</f>
        <v>0</v>
      </c>
      <c r="E197" s="32">
        <f>VLOOKUP(B197,'Initial adjusted formula count'!$A$1:$P$319,12,FALSE)</f>
        <v>0.120481927710843</v>
      </c>
      <c r="F197">
        <f>VLOOKUP(B197,'Model allocations'!$A$1:$L$319,9,FALSE)</f>
        <v>0</v>
      </c>
      <c r="G197" s="31">
        <f t="shared" ref="G197:G260" si="64">IF(E197&lt;0.15,0.85,IF(AND(E197&gt;=0.15,E197&lt;0.3),0.9,0.95))</f>
        <v>0.85</v>
      </c>
      <c r="H197">
        <f t="shared" ref="H197:H260" si="65">IF(F197 = 0, 0, D197*G197)</f>
        <v>0</v>
      </c>
      <c r="I197">
        <f t="shared" si="57"/>
        <v>0</v>
      </c>
      <c r="J197">
        <f t="shared" si="58"/>
        <v>0</v>
      </c>
      <c r="K197">
        <f t="shared" si="59"/>
        <v>0</v>
      </c>
      <c r="L197">
        <f t="shared" ref="L197:L260" si="66">I197+K197</f>
        <v>0</v>
      </c>
      <c r="M197">
        <f t="shared" si="60"/>
        <v>0</v>
      </c>
      <c r="N197" s="30">
        <f t="shared" ref="N197:N260" si="67">IF(I197+M197=0,L197,0)</f>
        <v>0</v>
      </c>
      <c r="O197" s="30">
        <f t="shared" si="61"/>
        <v>0</v>
      </c>
      <c r="P197" s="30">
        <f t="shared" ref="P197:P260" si="68">$I197+$M197+O197</f>
        <v>0</v>
      </c>
      <c r="Q197">
        <f t="shared" ref="Q197:Q260" si="69">IF(P197&lt;H197,H197,0)</f>
        <v>0</v>
      </c>
      <c r="R197" s="30">
        <f t="shared" ref="R197:R260" si="70">IF($I197+$M197+$Q197=0,P197,0)</f>
        <v>0</v>
      </c>
      <c r="S197" s="30">
        <f t="shared" si="62"/>
        <v>0</v>
      </c>
      <c r="T197" s="30">
        <f t="shared" ref="T197:T260" si="71">$I197+$M197+$Q197+S197</f>
        <v>0</v>
      </c>
      <c r="U197">
        <f t="shared" ref="U197:U260" si="72">IF(T197&lt;H197,H197,0)</f>
        <v>0</v>
      </c>
      <c r="V197" s="30">
        <f t="shared" ref="V197:V260" si="73">IF($I197+$M197+$Q197+U197=0,T197,0)</f>
        <v>0</v>
      </c>
      <c r="W197" s="30">
        <f t="shared" si="63"/>
        <v>0</v>
      </c>
      <c r="X197" s="30">
        <f t="shared" ref="X197:X260" si="74">$I197+$M197+$Q197+$U197+W197</f>
        <v>0</v>
      </c>
      <c r="Y197">
        <f t="shared" ref="Y197:Y260" si="75">IF(X197&lt;H197,H197,0)</f>
        <v>0</v>
      </c>
    </row>
    <row r="198" spans="1:25" x14ac:dyDescent="0.25">
      <c r="A198" s="4" t="s">
        <v>1045</v>
      </c>
      <c r="B198" s="7" t="s">
        <v>197</v>
      </c>
      <c r="C198" s="2" t="s">
        <v>1046</v>
      </c>
      <c r="D198">
        <f>VLOOKUP(B198,'Model allocations'!$A$1:$L$319,4,FALSE)</f>
        <v>0</v>
      </c>
      <c r="E198" s="32">
        <f>VLOOKUP(B198,'Initial adjusted formula count'!$A$1:$P$319,12,FALSE)</f>
        <v>4.5707438158007402E-2</v>
      </c>
      <c r="F198">
        <f>VLOOKUP(B198,'Model allocations'!$A$1:$L$319,9,FALSE)</f>
        <v>0</v>
      </c>
      <c r="G198" s="31">
        <f t="shared" si="64"/>
        <v>0.85</v>
      </c>
      <c r="H198">
        <f t="shared" si="65"/>
        <v>0</v>
      </c>
      <c r="I198">
        <f t="shared" si="57"/>
        <v>0</v>
      </c>
      <c r="J198">
        <f t="shared" si="58"/>
        <v>0</v>
      </c>
      <c r="K198">
        <f t="shared" si="59"/>
        <v>0</v>
      </c>
      <c r="L198">
        <f t="shared" si="66"/>
        <v>0</v>
      </c>
      <c r="M198">
        <f t="shared" si="60"/>
        <v>0</v>
      </c>
      <c r="N198" s="30">
        <f t="shared" si="67"/>
        <v>0</v>
      </c>
      <c r="O198" s="30">
        <f t="shared" si="61"/>
        <v>0</v>
      </c>
      <c r="P198" s="30">
        <f t="shared" si="68"/>
        <v>0</v>
      </c>
      <c r="Q198">
        <f t="shared" si="69"/>
        <v>0</v>
      </c>
      <c r="R198" s="30">
        <f t="shared" si="70"/>
        <v>0</v>
      </c>
      <c r="S198" s="30">
        <f t="shared" si="62"/>
        <v>0</v>
      </c>
      <c r="T198" s="30">
        <f t="shared" si="71"/>
        <v>0</v>
      </c>
      <c r="U198">
        <f t="shared" si="72"/>
        <v>0</v>
      </c>
      <c r="V198" s="30">
        <f t="shared" si="73"/>
        <v>0</v>
      </c>
      <c r="W198" s="30">
        <f t="shared" si="63"/>
        <v>0</v>
      </c>
      <c r="X198" s="30">
        <f t="shared" si="74"/>
        <v>0</v>
      </c>
      <c r="Y198">
        <f t="shared" si="75"/>
        <v>0</v>
      </c>
    </row>
    <row r="199" spans="1:25" x14ac:dyDescent="0.25">
      <c r="A199" s="4" t="s">
        <v>55</v>
      </c>
      <c r="B199" s="7" t="s">
        <v>87</v>
      </c>
      <c r="C199" s="2" t="s">
        <v>1047</v>
      </c>
      <c r="D199">
        <f>VLOOKUP(B199,'Model allocations'!$A$1:$L$319,4,FALSE)</f>
        <v>0</v>
      </c>
      <c r="E199" s="32">
        <f>VLOOKUP(B199,'Initial adjusted formula count'!$A$1:$P$319,12,FALSE)</f>
        <v>9.7774084557936902E-2</v>
      </c>
      <c r="F199">
        <f>VLOOKUP(B199,'Model allocations'!$A$1:$L$319,9,FALSE)</f>
        <v>0</v>
      </c>
      <c r="G199" s="31">
        <f t="shared" si="64"/>
        <v>0.85</v>
      </c>
      <c r="H199">
        <f t="shared" si="65"/>
        <v>0</v>
      </c>
      <c r="I199">
        <f t="shared" si="57"/>
        <v>0</v>
      </c>
      <c r="J199">
        <f t="shared" si="58"/>
        <v>0</v>
      </c>
      <c r="K199">
        <f t="shared" si="59"/>
        <v>0</v>
      </c>
      <c r="L199">
        <f t="shared" si="66"/>
        <v>0</v>
      </c>
      <c r="M199">
        <f t="shared" si="60"/>
        <v>0</v>
      </c>
      <c r="N199" s="30">
        <f t="shared" si="67"/>
        <v>0</v>
      </c>
      <c r="O199" s="30">
        <f t="shared" si="61"/>
        <v>0</v>
      </c>
      <c r="P199" s="30">
        <f t="shared" si="68"/>
        <v>0</v>
      </c>
      <c r="Q199">
        <f t="shared" si="69"/>
        <v>0</v>
      </c>
      <c r="R199" s="30">
        <f t="shared" si="70"/>
        <v>0</v>
      </c>
      <c r="S199" s="30">
        <f t="shared" si="62"/>
        <v>0</v>
      </c>
      <c r="T199" s="30">
        <f t="shared" si="71"/>
        <v>0</v>
      </c>
      <c r="U199">
        <f t="shared" si="72"/>
        <v>0</v>
      </c>
      <c r="V199" s="30">
        <f t="shared" si="73"/>
        <v>0</v>
      </c>
      <c r="W199" s="30">
        <f t="shared" si="63"/>
        <v>0</v>
      </c>
      <c r="X199" s="30">
        <f t="shared" si="74"/>
        <v>0</v>
      </c>
      <c r="Y199">
        <f t="shared" si="75"/>
        <v>0</v>
      </c>
    </row>
    <row r="200" spans="1:25" hidden="1" x14ac:dyDescent="0.25">
      <c r="A200" s="4" t="s">
        <v>1048</v>
      </c>
      <c r="B200" s="7" t="s">
        <v>543</v>
      </c>
      <c r="C200" s="2" t="s">
        <v>1049</v>
      </c>
      <c r="D200">
        <f>VLOOKUP(B200,'Model allocations'!$A$1:$L$319,4,FALSE)</f>
        <v>52687.955377233906</v>
      </c>
      <c r="E200" s="32">
        <f>VLOOKUP(B200,'Initial adjusted formula count'!$A$1:$P$319,12,FALSE)</f>
        <v>0.124748490945674</v>
      </c>
      <c r="F200">
        <f>VLOOKUP(B200,'Model allocations'!$A$1:$L$319,9,FALSE)</f>
        <v>44784.762070648816</v>
      </c>
      <c r="G200" s="31">
        <f t="shared" si="64"/>
        <v>0.85</v>
      </c>
      <c r="H200">
        <f t="shared" si="65"/>
        <v>44784.762070648816</v>
      </c>
      <c r="I200">
        <f t="shared" si="57"/>
        <v>0</v>
      </c>
      <c r="J200">
        <f t="shared" si="58"/>
        <v>44784.762070648816</v>
      </c>
      <c r="K200">
        <f t="shared" si="59"/>
        <v>44707.87745827953</v>
      </c>
      <c r="L200">
        <f t="shared" si="66"/>
        <v>44707.87745827953</v>
      </c>
      <c r="M200">
        <f t="shared" si="60"/>
        <v>44784.762070648816</v>
      </c>
      <c r="N200" s="30">
        <f t="shared" si="67"/>
        <v>0</v>
      </c>
      <c r="O200" s="30">
        <f t="shared" si="61"/>
        <v>0</v>
      </c>
      <c r="P200" s="30">
        <f t="shared" si="68"/>
        <v>44784.762070648816</v>
      </c>
      <c r="Q200">
        <f t="shared" si="69"/>
        <v>0</v>
      </c>
      <c r="R200" s="30">
        <f t="shared" si="70"/>
        <v>0</v>
      </c>
      <c r="S200" s="30">
        <f t="shared" si="62"/>
        <v>0</v>
      </c>
      <c r="T200" s="30">
        <f t="shared" si="71"/>
        <v>44784.762070648816</v>
      </c>
      <c r="U200">
        <f t="shared" si="72"/>
        <v>0</v>
      </c>
      <c r="V200" s="30">
        <f t="shared" si="73"/>
        <v>0</v>
      </c>
      <c r="W200" s="30">
        <f t="shared" si="63"/>
        <v>0</v>
      </c>
      <c r="X200" s="30">
        <f t="shared" si="74"/>
        <v>44784.762070648816</v>
      </c>
      <c r="Y200">
        <f t="shared" si="75"/>
        <v>0</v>
      </c>
    </row>
    <row r="201" spans="1:25" hidden="1" x14ac:dyDescent="0.25">
      <c r="A201" s="4" t="s">
        <v>1050</v>
      </c>
      <c r="B201" s="7" t="s">
        <v>545</v>
      </c>
      <c r="C201" s="2" t="s">
        <v>1051</v>
      </c>
      <c r="D201">
        <f>VLOOKUP(B201,'Model allocations'!$A$1:$L$319,4,FALSE)</f>
        <v>12484.294647617675</v>
      </c>
      <c r="E201" s="32">
        <f>VLOOKUP(B201,'Initial adjusted formula count'!$A$1:$P$319,12,FALSE)</f>
        <v>0.17241379310344801</v>
      </c>
      <c r="F201">
        <f>VLOOKUP(B201,'Model allocations'!$A$1:$L$319,9,FALSE)</f>
        <v>14735.402588008195</v>
      </c>
      <c r="G201" s="31">
        <f t="shared" si="64"/>
        <v>0.9</v>
      </c>
      <c r="H201">
        <f t="shared" si="65"/>
        <v>11235.865182855907</v>
      </c>
      <c r="I201">
        <f t="shared" si="57"/>
        <v>0</v>
      </c>
      <c r="J201">
        <f t="shared" si="58"/>
        <v>14735.402588008195</v>
      </c>
      <c r="K201">
        <f t="shared" si="59"/>
        <v>14710.105463189331</v>
      </c>
      <c r="L201">
        <f t="shared" si="66"/>
        <v>14710.105463189331</v>
      </c>
      <c r="M201">
        <f t="shared" si="60"/>
        <v>0</v>
      </c>
      <c r="N201" s="30">
        <f t="shared" si="67"/>
        <v>14710.105463189331</v>
      </c>
      <c r="O201" s="30">
        <f t="shared" si="61"/>
        <v>14697.097935169026</v>
      </c>
      <c r="P201" s="30">
        <f t="shared" si="68"/>
        <v>14697.097935169026</v>
      </c>
      <c r="Q201">
        <f t="shared" si="69"/>
        <v>0</v>
      </c>
      <c r="R201" s="30">
        <f t="shared" si="70"/>
        <v>14697.097935169026</v>
      </c>
      <c r="S201" s="30">
        <f t="shared" si="62"/>
        <v>14697.097935169029</v>
      </c>
      <c r="T201" s="30">
        <f t="shared" si="71"/>
        <v>14697.097935169029</v>
      </c>
      <c r="U201">
        <f t="shared" si="72"/>
        <v>0</v>
      </c>
      <c r="V201" s="30">
        <f t="shared" si="73"/>
        <v>14697.097935169029</v>
      </c>
      <c r="W201" s="30">
        <f t="shared" si="63"/>
        <v>14697.097935169029</v>
      </c>
      <c r="X201" s="30">
        <f t="shared" si="74"/>
        <v>14697.097935169029</v>
      </c>
      <c r="Y201">
        <f t="shared" si="75"/>
        <v>0</v>
      </c>
    </row>
    <row r="202" spans="1:25" hidden="1" x14ac:dyDescent="0.25">
      <c r="A202" s="4" t="s">
        <v>1052</v>
      </c>
      <c r="B202" s="7" t="s">
        <v>547</v>
      </c>
      <c r="C202" s="2" t="s">
        <v>1053</v>
      </c>
      <c r="D202">
        <f>VLOOKUP(B202,'Model allocations'!$A$1:$L$319,4,FALSE)</f>
        <v>150319.41888308755</v>
      </c>
      <c r="E202" s="32">
        <f>VLOOKUP(B202,'Initial adjusted formula count'!$A$1:$P$319,12,FALSE)</f>
        <v>0.140625</v>
      </c>
      <c r="F202">
        <f>VLOOKUP(B202,'Model allocations'!$A$1:$L$319,9,FALSE)</f>
        <v>127771.50605062442</v>
      </c>
      <c r="G202" s="31">
        <f t="shared" si="64"/>
        <v>0.85</v>
      </c>
      <c r="H202">
        <f t="shared" si="65"/>
        <v>127771.50605062442</v>
      </c>
      <c r="I202">
        <f t="shared" si="57"/>
        <v>0</v>
      </c>
      <c r="J202">
        <f t="shared" si="58"/>
        <v>127771.50605062442</v>
      </c>
      <c r="K202">
        <f t="shared" si="59"/>
        <v>127552.15325605012</v>
      </c>
      <c r="L202">
        <f t="shared" si="66"/>
        <v>127552.15325605012</v>
      </c>
      <c r="M202">
        <f t="shared" si="60"/>
        <v>127771.50605062442</v>
      </c>
      <c r="N202" s="30">
        <f t="shared" si="67"/>
        <v>0</v>
      </c>
      <c r="O202" s="30">
        <f t="shared" si="61"/>
        <v>0</v>
      </c>
      <c r="P202" s="30">
        <f t="shared" si="68"/>
        <v>127771.50605062442</v>
      </c>
      <c r="Q202">
        <f t="shared" si="69"/>
        <v>0</v>
      </c>
      <c r="R202" s="30">
        <f t="shared" si="70"/>
        <v>0</v>
      </c>
      <c r="S202" s="30">
        <f t="shared" si="62"/>
        <v>0</v>
      </c>
      <c r="T202" s="30">
        <f t="shared" si="71"/>
        <v>127771.50605062442</v>
      </c>
      <c r="U202">
        <f t="shared" si="72"/>
        <v>0</v>
      </c>
      <c r="V202" s="30">
        <f t="shared" si="73"/>
        <v>0</v>
      </c>
      <c r="W202" s="30">
        <f t="shared" si="63"/>
        <v>0</v>
      </c>
      <c r="X202" s="30">
        <f t="shared" si="74"/>
        <v>127771.50605062442</v>
      </c>
      <c r="Y202">
        <f t="shared" si="75"/>
        <v>0</v>
      </c>
    </row>
    <row r="203" spans="1:25" hidden="1" x14ac:dyDescent="0.25">
      <c r="A203" s="4" t="s">
        <v>1054</v>
      </c>
      <c r="B203" s="7" t="s">
        <v>549</v>
      </c>
      <c r="C203" s="2" t="s">
        <v>1055</v>
      </c>
      <c r="D203">
        <f>VLOOKUP(B203,'Model allocations'!$A$1:$L$319,4,FALSE)</f>
        <v>56919.91966456193</v>
      </c>
      <c r="E203" s="32">
        <f>VLOOKUP(B203,'Initial adjusted formula count'!$A$1:$P$319,12,FALSE)</f>
        <v>0.13839285714285701</v>
      </c>
      <c r="F203">
        <f>VLOOKUP(B203,'Model allocations'!$A$1:$L$319,9,FALSE)</f>
        <v>48381.931714877639</v>
      </c>
      <c r="G203" s="31">
        <f t="shared" si="64"/>
        <v>0.85</v>
      </c>
      <c r="H203">
        <f t="shared" si="65"/>
        <v>48381.931714877639</v>
      </c>
      <c r="I203">
        <f t="shared" si="57"/>
        <v>0</v>
      </c>
      <c r="J203">
        <f t="shared" si="58"/>
        <v>48381.931714877639</v>
      </c>
      <c r="K203">
        <f t="shared" si="59"/>
        <v>48298.871631635317</v>
      </c>
      <c r="L203">
        <f t="shared" si="66"/>
        <v>48298.871631635317</v>
      </c>
      <c r="M203">
        <f t="shared" si="60"/>
        <v>48381.931714877639</v>
      </c>
      <c r="N203" s="30">
        <f t="shared" si="67"/>
        <v>0</v>
      </c>
      <c r="O203" s="30">
        <f t="shared" si="61"/>
        <v>0</v>
      </c>
      <c r="P203" s="30">
        <f t="shared" si="68"/>
        <v>48381.931714877639</v>
      </c>
      <c r="Q203">
        <f t="shared" si="69"/>
        <v>0</v>
      </c>
      <c r="R203" s="30">
        <f t="shared" si="70"/>
        <v>0</v>
      </c>
      <c r="S203" s="30">
        <f t="shared" si="62"/>
        <v>0</v>
      </c>
      <c r="T203" s="30">
        <f t="shared" si="71"/>
        <v>48381.931714877639</v>
      </c>
      <c r="U203">
        <f t="shared" si="72"/>
        <v>0</v>
      </c>
      <c r="V203" s="30">
        <f t="shared" si="73"/>
        <v>0</v>
      </c>
      <c r="W203" s="30">
        <f t="shared" si="63"/>
        <v>0</v>
      </c>
      <c r="X203" s="30">
        <f t="shared" si="74"/>
        <v>48381.931714877639</v>
      </c>
      <c r="Y203">
        <f t="shared" si="75"/>
        <v>0</v>
      </c>
    </row>
    <row r="204" spans="1:25" hidden="1" x14ac:dyDescent="0.25">
      <c r="A204" s="4" t="s">
        <v>1056</v>
      </c>
      <c r="B204" s="7" t="s">
        <v>551</v>
      </c>
      <c r="C204" s="2" t="s">
        <v>1057</v>
      </c>
      <c r="D204">
        <f>VLOOKUP(B204,'Model allocations'!$A$1:$L$319,4,FALSE)</f>
        <v>6526.5837864027608</v>
      </c>
      <c r="E204" s="32">
        <f>VLOOKUP(B204,'Initial adjusted formula count'!$A$1:$P$319,12,FALSE)</f>
        <v>0.14202898550724599</v>
      </c>
      <c r="F204">
        <f>VLOOKUP(B204,'Model allocations'!$A$1:$L$319,9,FALSE)</f>
        <v>5547.5962184423461</v>
      </c>
      <c r="G204" s="31">
        <f t="shared" si="64"/>
        <v>0.85</v>
      </c>
      <c r="H204">
        <f t="shared" si="65"/>
        <v>5547.5962184423461</v>
      </c>
      <c r="I204">
        <f t="shared" si="57"/>
        <v>0</v>
      </c>
      <c r="J204">
        <f t="shared" si="58"/>
        <v>5547.5962184423461</v>
      </c>
      <c r="K204">
        <f t="shared" si="59"/>
        <v>5538.0723365433332</v>
      </c>
      <c r="L204">
        <f t="shared" si="66"/>
        <v>5538.0723365433332</v>
      </c>
      <c r="M204">
        <f t="shared" si="60"/>
        <v>5547.5962184423461</v>
      </c>
      <c r="N204" s="30">
        <f t="shared" si="67"/>
        <v>0</v>
      </c>
      <c r="O204" s="30">
        <f t="shared" si="61"/>
        <v>0</v>
      </c>
      <c r="P204" s="30">
        <f t="shared" si="68"/>
        <v>5547.5962184423461</v>
      </c>
      <c r="Q204">
        <f t="shared" si="69"/>
        <v>0</v>
      </c>
      <c r="R204" s="30">
        <f t="shared" si="70"/>
        <v>0</v>
      </c>
      <c r="S204" s="30">
        <f t="shared" si="62"/>
        <v>0</v>
      </c>
      <c r="T204" s="30">
        <f t="shared" si="71"/>
        <v>5547.5962184423461</v>
      </c>
      <c r="U204">
        <f t="shared" si="72"/>
        <v>0</v>
      </c>
      <c r="V204" s="30">
        <f t="shared" si="73"/>
        <v>0</v>
      </c>
      <c r="W204" s="30">
        <f t="shared" si="63"/>
        <v>0</v>
      </c>
      <c r="X204" s="30">
        <f t="shared" si="74"/>
        <v>5547.5962184423461</v>
      </c>
      <c r="Y204">
        <f t="shared" si="75"/>
        <v>0</v>
      </c>
    </row>
    <row r="205" spans="1:25" hidden="1" x14ac:dyDescent="0.25">
      <c r="A205" s="4" t="s">
        <v>34</v>
      </c>
      <c r="B205" s="7" t="s">
        <v>81</v>
      </c>
      <c r="C205" s="2" t="s">
        <v>1058</v>
      </c>
      <c r="D205">
        <f>VLOOKUP(B205,'Model allocations'!$A$1:$L$319,4,FALSE)</f>
        <v>18557.207727977278</v>
      </c>
      <c r="E205" s="32">
        <f>VLOOKUP(B205,'Initial adjusted formula count'!$A$1:$P$319,12,FALSE)</f>
        <v>0.123366242058152</v>
      </c>
      <c r="F205">
        <f>VLOOKUP(B205,'Model allocations'!$A$1:$L$319,9,FALSE)</f>
        <v>14468.265771697508</v>
      </c>
      <c r="G205" s="31">
        <f t="shared" si="64"/>
        <v>0.85</v>
      </c>
      <c r="H205">
        <f t="shared" si="65"/>
        <v>15773.626568780686</v>
      </c>
      <c r="I205">
        <f t="shared" si="57"/>
        <v>15773.626568780686</v>
      </c>
      <c r="J205">
        <f t="shared" si="58"/>
        <v>0</v>
      </c>
      <c r="K205">
        <f t="shared" si="59"/>
        <v>0</v>
      </c>
      <c r="L205">
        <f t="shared" si="66"/>
        <v>15773.626568780686</v>
      </c>
      <c r="M205">
        <f t="shared" si="60"/>
        <v>0</v>
      </c>
      <c r="N205" s="30">
        <f t="shared" si="67"/>
        <v>0</v>
      </c>
      <c r="O205" s="30">
        <f t="shared" si="61"/>
        <v>0</v>
      </c>
      <c r="P205" s="30">
        <f t="shared" si="68"/>
        <v>15773.626568780686</v>
      </c>
      <c r="Q205">
        <f t="shared" si="69"/>
        <v>0</v>
      </c>
      <c r="R205" s="30">
        <f t="shared" si="70"/>
        <v>0</v>
      </c>
      <c r="S205" s="30">
        <f t="shared" si="62"/>
        <v>0</v>
      </c>
      <c r="T205" s="30">
        <f t="shared" si="71"/>
        <v>15773.626568780686</v>
      </c>
      <c r="U205">
        <f t="shared" si="72"/>
        <v>0</v>
      </c>
      <c r="V205" s="30">
        <f t="shared" si="73"/>
        <v>0</v>
      </c>
      <c r="W205" s="30">
        <f t="shared" si="63"/>
        <v>0</v>
      </c>
      <c r="X205" s="30">
        <f t="shared" si="74"/>
        <v>15773.626568780686</v>
      </c>
      <c r="Y205">
        <f t="shared" si="75"/>
        <v>0</v>
      </c>
    </row>
    <row r="206" spans="1:25" hidden="1" x14ac:dyDescent="0.25">
      <c r="A206" s="4" t="s">
        <v>1059</v>
      </c>
      <c r="B206" s="7" t="s">
        <v>553</v>
      </c>
      <c r="C206" s="2" t="s">
        <v>1060</v>
      </c>
      <c r="D206">
        <f>VLOOKUP(B206,'Model allocations'!$A$1:$L$319,4,FALSE)</f>
        <v>92319.905131281703</v>
      </c>
      <c r="E206" s="32">
        <f>VLOOKUP(B206,'Initial adjusted formula count'!$A$1:$P$319,12,FALSE)</f>
        <v>0.11789038262668</v>
      </c>
      <c r="F206">
        <f>VLOOKUP(B206,'Model allocations'!$A$1:$L$319,9,FALSE)</f>
        <v>78471.919361589447</v>
      </c>
      <c r="G206" s="31">
        <f t="shared" si="64"/>
        <v>0.85</v>
      </c>
      <c r="H206">
        <f t="shared" si="65"/>
        <v>78471.919361589447</v>
      </c>
      <c r="I206">
        <f t="shared" si="57"/>
        <v>0</v>
      </c>
      <c r="J206">
        <f t="shared" si="58"/>
        <v>78471.919361589447</v>
      </c>
      <c r="K206">
        <f t="shared" si="59"/>
        <v>78337.202042058489</v>
      </c>
      <c r="L206">
        <f t="shared" si="66"/>
        <v>78337.202042058489</v>
      </c>
      <c r="M206">
        <f t="shared" si="60"/>
        <v>78471.919361589447</v>
      </c>
      <c r="N206" s="30">
        <f t="shared" si="67"/>
        <v>0</v>
      </c>
      <c r="O206" s="30">
        <f t="shared" si="61"/>
        <v>0</v>
      </c>
      <c r="P206" s="30">
        <f t="shared" si="68"/>
        <v>78471.919361589447</v>
      </c>
      <c r="Q206">
        <f t="shared" si="69"/>
        <v>0</v>
      </c>
      <c r="R206" s="30">
        <f t="shared" si="70"/>
        <v>0</v>
      </c>
      <c r="S206" s="30">
        <f t="shared" si="62"/>
        <v>0</v>
      </c>
      <c r="T206" s="30">
        <f t="shared" si="71"/>
        <v>78471.919361589447</v>
      </c>
      <c r="U206">
        <f t="shared" si="72"/>
        <v>0</v>
      </c>
      <c r="V206" s="30">
        <f t="shared" si="73"/>
        <v>0</v>
      </c>
      <c r="W206" s="30">
        <f t="shared" si="63"/>
        <v>0</v>
      </c>
      <c r="X206" s="30">
        <f t="shared" si="74"/>
        <v>78471.919361589447</v>
      </c>
      <c r="Y206">
        <f t="shared" si="75"/>
        <v>0</v>
      </c>
    </row>
    <row r="207" spans="1:25" x14ac:dyDescent="0.25">
      <c r="A207" s="4" t="s">
        <v>21</v>
      </c>
      <c r="B207" s="7" t="s">
        <v>61</v>
      </c>
      <c r="C207" s="2" t="s">
        <v>1061</v>
      </c>
      <c r="D207">
        <f>VLOOKUP(B207,'Model allocations'!$A$1:$L$319,4,FALSE)</f>
        <v>0</v>
      </c>
      <c r="E207" s="32">
        <f>VLOOKUP(B207,'Initial adjusted formula count'!$A$1:$P$319,12,FALSE)</f>
        <v>0.10242579001174899</v>
      </c>
      <c r="F207">
        <f>VLOOKUP(B207,'Model allocations'!$A$1:$L$319,9,FALSE)</f>
        <v>0</v>
      </c>
      <c r="G207" s="31">
        <f t="shared" si="64"/>
        <v>0.85</v>
      </c>
      <c r="H207">
        <f t="shared" si="65"/>
        <v>0</v>
      </c>
      <c r="I207">
        <f t="shared" si="57"/>
        <v>0</v>
      </c>
      <c r="J207">
        <f t="shared" si="58"/>
        <v>0</v>
      </c>
      <c r="K207">
        <f t="shared" si="59"/>
        <v>0</v>
      </c>
      <c r="L207">
        <f t="shared" si="66"/>
        <v>0</v>
      </c>
      <c r="M207">
        <f t="shared" si="60"/>
        <v>0</v>
      </c>
      <c r="N207" s="30">
        <f t="shared" si="67"/>
        <v>0</v>
      </c>
      <c r="O207" s="30">
        <f t="shared" si="61"/>
        <v>0</v>
      </c>
      <c r="P207" s="30">
        <f t="shared" si="68"/>
        <v>0</v>
      </c>
      <c r="Q207">
        <f t="shared" si="69"/>
        <v>0</v>
      </c>
      <c r="R207" s="30">
        <f t="shared" si="70"/>
        <v>0</v>
      </c>
      <c r="S207" s="30">
        <f t="shared" si="62"/>
        <v>0</v>
      </c>
      <c r="T207" s="30">
        <f t="shared" si="71"/>
        <v>0</v>
      </c>
      <c r="U207">
        <f t="shared" si="72"/>
        <v>0</v>
      </c>
      <c r="V207" s="30">
        <f t="shared" si="73"/>
        <v>0</v>
      </c>
      <c r="W207" s="30">
        <f t="shared" si="63"/>
        <v>0</v>
      </c>
      <c r="X207" s="30">
        <f t="shared" si="74"/>
        <v>0</v>
      </c>
      <c r="Y207">
        <f t="shared" si="75"/>
        <v>0</v>
      </c>
    </row>
    <row r="208" spans="1:25" x14ac:dyDescent="0.25">
      <c r="A208" s="4" t="s">
        <v>20</v>
      </c>
      <c r="B208" s="7" t="s">
        <v>74</v>
      </c>
      <c r="C208" s="2" t="s">
        <v>1062</v>
      </c>
      <c r="D208">
        <f>VLOOKUP(B208,'Model allocations'!$A$1:$L$319,4,FALSE)</f>
        <v>0</v>
      </c>
      <c r="E208" s="32">
        <f>VLOOKUP(B208,'Initial adjusted formula count'!$A$1:$P$319,12,FALSE)</f>
        <v>0.11209878960701999</v>
      </c>
      <c r="F208">
        <f>VLOOKUP(B208,'Model allocations'!$A$1:$L$319,9,FALSE)</f>
        <v>0</v>
      </c>
      <c r="G208" s="31">
        <f t="shared" si="64"/>
        <v>0.85</v>
      </c>
      <c r="H208">
        <f t="shared" si="65"/>
        <v>0</v>
      </c>
      <c r="I208">
        <f t="shared" si="57"/>
        <v>0</v>
      </c>
      <c r="J208">
        <f t="shared" si="58"/>
        <v>0</v>
      </c>
      <c r="K208">
        <f t="shared" si="59"/>
        <v>0</v>
      </c>
      <c r="L208">
        <f t="shared" si="66"/>
        <v>0</v>
      </c>
      <c r="M208">
        <f t="shared" si="60"/>
        <v>0</v>
      </c>
      <c r="N208" s="30">
        <f t="shared" si="67"/>
        <v>0</v>
      </c>
      <c r="O208" s="30">
        <f t="shared" si="61"/>
        <v>0</v>
      </c>
      <c r="P208" s="30">
        <f t="shared" si="68"/>
        <v>0</v>
      </c>
      <c r="Q208">
        <f t="shared" si="69"/>
        <v>0</v>
      </c>
      <c r="R208" s="30">
        <f t="shared" si="70"/>
        <v>0</v>
      </c>
      <c r="S208" s="30">
        <f t="shared" si="62"/>
        <v>0</v>
      </c>
      <c r="T208" s="30">
        <f t="shared" si="71"/>
        <v>0</v>
      </c>
      <c r="U208">
        <f t="shared" si="72"/>
        <v>0</v>
      </c>
      <c r="V208" s="30">
        <f t="shared" si="73"/>
        <v>0</v>
      </c>
      <c r="W208" s="30">
        <f t="shared" si="63"/>
        <v>0</v>
      </c>
      <c r="X208" s="30">
        <f t="shared" si="74"/>
        <v>0</v>
      </c>
      <c r="Y208">
        <f t="shared" si="75"/>
        <v>0</v>
      </c>
    </row>
    <row r="209" spans="1:25" x14ac:dyDescent="0.25">
      <c r="A209" s="4" t="s">
        <v>1063</v>
      </c>
      <c r="B209" s="7" t="s">
        <v>199</v>
      </c>
      <c r="C209" s="2" t="s">
        <v>1064</v>
      </c>
      <c r="D209">
        <f>VLOOKUP(B209,'Model allocations'!$A$1:$L$319,4,FALSE)</f>
        <v>0</v>
      </c>
      <c r="E209" s="32">
        <f>VLOOKUP(B209,'Initial adjusted formula count'!$A$1:$P$319,12,FALSE)</f>
        <v>7.2384904478546799E-2</v>
      </c>
      <c r="F209">
        <f>VLOOKUP(B209,'Model allocations'!$A$1:$L$319,9,FALSE)</f>
        <v>0</v>
      </c>
      <c r="G209" s="31">
        <f t="shared" si="64"/>
        <v>0.85</v>
      </c>
      <c r="H209">
        <f t="shared" si="65"/>
        <v>0</v>
      </c>
      <c r="I209">
        <f t="shared" si="57"/>
        <v>0</v>
      </c>
      <c r="J209">
        <f t="shared" si="58"/>
        <v>0</v>
      </c>
      <c r="K209">
        <f t="shared" si="59"/>
        <v>0</v>
      </c>
      <c r="L209">
        <f t="shared" si="66"/>
        <v>0</v>
      </c>
      <c r="M209">
        <f t="shared" si="60"/>
        <v>0</v>
      </c>
      <c r="N209" s="30">
        <f t="shared" si="67"/>
        <v>0</v>
      </c>
      <c r="O209" s="30">
        <f t="shared" si="61"/>
        <v>0</v>
      </c>
      <c r="P209" s="30">
        <f t="shared" si="68"/>
        <v>0</v>
      </c>
      <c r="Q209">
        <f t="shared" si="69"/>
        <v>0</v>
      </c>
      <c r="R209" s="30">
        <f t="shared" si="70"/>
        <v>0</v>
      </c>
      <c r="S209" s="30">
        <f t="shared" si="62"/>
        <v>0</v>
      </c>
      <c r="T209" s="30">
        <f t="shared" si="71"/>
        <v>0</v>
      </c>
      <c r="U209">
        <f t="shared" si="72"/>
        <v>0</v>
      </c>
      <c r="V209" s="30">
        <f t="shared" si="73"/>
        <v>0</v>
      </c>
      <c r="W209" s="30">
        <f t="shared" si="63"/>
        <v>0</v>
      </c>
      <c r="X209" s="30">
        <f t="shared" si="74"/>
        <v>0</v>
      </c>
      <c r="Y209">
        <f t="shared" si="75"/>
        <v>0</v>
      </c>
    </row>
    <row r="210" spans="1:25" hidden="1" x14ac:dyDescent="0.25">
      <c r="A210" s="4" t="s">
        <v>1065</v>
      </c>
      <c r="B210" s="7" t="s">
        <v>555</v>
      </c>
      <c r="C210" s="2" t="s">
        <v>1066</v>
      </c>
      <c r="D210">
        <f>VLOOKUP(B210,'Model allocations'!$A$1:$L$319,4,FALSE)</f>
        <v>2758.8521508247122</v>
      </c>
      <c r="E210" s="32">
        <f>VLOOKUP(B210,'Initial adjusted formula count'!$A$1:$P$319,12,FALSE)</f>
        <v>0.34375</v>
      </c>
      <c r="F210">
        <f>VLOOKUP(B210,'Model allocations'!$A$1:$L$319,9,FALSE)</f>
        <v>2620.9095432834765</v>
      </c>
      <c r="G210" s="31">
        <f t="shared" si="64"/>
        <v>0.95</v>
      </c>
      <c r="H210">
        <f t="shared" si="65"/>
        <v>2620.9095432834765</v>
      </c>
      <c r="I210">
        <f t="shared" si="57"/>
        <v>0</v>
      </c>
      <c r="J210">
        <f t="shared" si="58"/>
        <v>2620.9095432834765</v>
      </c>
      <c r="K210">
        <f t="shared" si="59"/>
        <v>2616.4100750497851</v>
      </c>
      <c r="L210">
        <f t="shared" si="66"/>
        <v>2616.4100750497851</v>
      </c>
      <c r="M210">
        <f t="shared" si="60"/>
        <v>2620.9095432834765</v>
      </c>
      <c r="N210" s="30">
        <f t="shared" si="67"/>
        <v>0</v>
      </c>
      <c r="O210" s="30">
        <f t="shared" si="61"/>
        <v>0</v>
      </c>
      <c r="P210" s="30">
        <f t="shared" si="68"/>
        <v>2620.9095432834765</v>
      </c>
      <c r="Q210">
        <f t="shared" si="69"/>
        <v>0</v>
      </c>
      <c r="R210" s="30">
        <f t="shared" si="70"/>
        <v>0</v>
      </c>
      <c r="S210" s="30">
        <f t="shared" si="62"/>
        <v>0</v>
      </c>
      <c r="T210" s="30">
        <f t="shared" si="71"/>
        <v>2620.9095432834765</v>
      </c>
      <c r="U210">
        <f t="shared" si="72"/>
        <v>0</v>
      </c>
      <c r="V210" s="30">
        <f t="shared" si="73"/>
        <v>0</v>
      </c>
      <c r="W210" s="30">
        <f t="shared" si="63"/>
        <v>0</v>
      </c>
      <c r="X210" s="30">
        <f t="shared" si="74"/>
        <v>2620.9095432834765</v>
      </c>
      <c r="Y210">
        <f t="shared" si="75"/>
        <v>0</v>
      </c>
    </row>
    <row r="211" spans="1:25" hidden="1" x14ac:dyDescent="0.25">
      <c r="A211" s="4" t="s">
        <v>1067</v>
      </c>
      <c r="B211" s="7" t="s">
        <v>557</v>
      </c>
      <c r="C211" s="2" t="s">
        <v>1068</v>
      </c>
      <c r="D211">
        <f>VLOOKUP(B211,'Model allocations'!$A$1:$L$319,4,FALSE)</f>
        <v>5990.2253188290833</v>
      </c>
      <c r="E211" s="32">
        <f>VLOOKUP(B211,'Initial adjusted formula count'!$A$1:$P$319,12,FALSE)</f>
        <v>0.14572864321608001</v>
      </c>
      <c r="F211">
        <f>VLOOKUP(B211,'Model allocations'!$A$1:$L$319,9,FALSE)</f>
        <v>5091.6915210047209</v>
      </c>
      <c r="G211" s="31">
        <f t="shared" si="64"/>
        <v>0.85</v>
      </c>
      <c r="H211">
        <f t="shared" si="65"/>
        <v>5091.6915210047209</v>
      </c>
      <c r="I211">
        <f t="shared" si="57"/>
        <v>0</v>
      </c>
      <c r="J211">
        <f t="shared" si="58"/>
        <v>5091.6915210047209</v>
      </c>
      <c r="K211">
        <f t="shared" si="59"/>
        <v>5082.9503172828199</v>
      </c>
      <c r="L211">
        <f t="shared" si="66"/>
        <v>5082.9503172828199</v>
      </c>
      <c r="M211">
        <f t="shared" si="60"/>
        <v>5091.6915210047209</v>
      </c>
      <c r="N211" s="30">
        <f t="shared" si="67"/>
        <v>0</v>
      </c>
      <c r="O211" s="30">
        <f t="shared" si="61"/>
        <v>0</v>
      </c>
      <c r="P211" s="30">
        <f t="shared" si="68"/>
        <v>5091.6915210047209</v>
      </c>
      <c r="Q211">
        <f t="shared" si="69"/>
        <v>0</v>
      </c>
      <c r="R211" s="30">
        <f t="shared" si="70"/>
        <v>0</v>
      </c>
      <c r="S211" s="30">
        <f t="shared" si="62"/>
        <v>0</v>
      </c>
      <c r="T211" s="30">
        <f t="shared" si="71"/>
        <v>5091.6915210047209</v>
      </c>
      <c r="U211">
        <f t="shared" si="72"/>
        <v>0</v>
      </c>
      <c r="V211" s="30">
        <f t="shared" si="73"/>
        <v>0</v>
      </c>
      <c r="W211" s="30">
        <f t="shared" si="63"/>
        <v>0</v>
      </c>
      <c r="X211" s="30">
        <f t="shared" si="74"/>
        <v>5091.6915210047209</v>
      </c>
      <c r="Y211">
        <f t="shared" si="75"/>
        <v>0</v>
      </c>
    </row>
    <row r="212" spans="1:25" hidden="1" x14ac:dyDescent="0.25">
      <c r="A212" s="4" t="s">
        <v>1069</v>
      </c>
      <c r="B212" s="7" t="s">
        <v>559</v>
      </c>
      <c r="C212" s="2" t="s">
        <v>1070</v>
      </c>
      <c r="D212">
        <f>VLOOKUP(B212,'Model allocations'!$A$1:$L$319,4,FALSE)</f>
        <v>71248.444674543571</v>
      </c>
      <c r="E212" s="32">
        <f>VLOOKUP(B212,'Initial adjusted formula count'!$A$1:$P$319,12,FALSE)</f>
        <v>0.23464163822525599</v>
      </c>
      <c r="F212">
        <f>VLOOKUP(B212,'Model allocations'!$A$1:$L$319,9,FALSE)</f>
        <v>64123.600207089214</v>
      </c>
      <c r="G212" s="31">
        <f t="shared" si="64"/>
        <v>0.9</v>
      </c>
      <c r="H212">
        <f t="shared" si="65"/>
        <v>64123.600207089214</v>
      </c>
      <c r="I212">
        <f t="shared" si="57"/>
        <v>0</v>
      </c>
      <c r="J212">
        <f t="shared" si="58"/>
        <v>64123.600207089214</v>
      </c>
      <c r="K212">
        <f t="shared" si="59"/>
        <v>64013.515483676645</v>
      </c>
      <c r="L212">
        <f t="shared" si="66"/>
        <v>64013.515483676645</v>
      </c>
      <c r="M212">
        <f t="shared" si="60"/>
        <v>64123.600207089214</v>
      </c>
      <c r="N212" s="30">
        <f t="shared" si="67"/>
        <v>0</v>
      </c>
      <c r="O212" s="30">
        <f t="shared" si="61"/>
        <v>0</v>
      </c>
      <c r="P212" s="30">
        <f t="shared" si="68"/>
        <v>64123.600207089214</v>
      </c>
      <c r="Q212">
        <f t="shared" si="69"/>
        <v>0</v>
      </c>
      <c r="R212" s="30">
        <f t="shared" si="70"/>
        <v>0</v>
      </c>
      <c r="S212" s="30">
        <f t="shared" si="62"/>
        <v>0</v>
      </c>
      <c r="T212" s="30">
        <f t="shared" si="71"/>
        <v>64123.600207089214</v>
      </c>
      <c r="U212">
        <f t="shared" si="72"/>
        <v>0</v>
      </c>
      <c r="V212" s="30">
        <f t="shared" si="73"/>
        <v>0</v>
      </c>
      <c r="W212" s="30">
        <f t="shared" si="63"/>
        <v>0</v>
      </c>
      <c r="X212" s="30">
        <f t="shared" si="74"/>
        <v>64123.600207089214</v>
      </c>
      <c r="Y212">
        <f t="shared" si="75"/>
        <v>0</v>
      </c>
    </row>
    <row r="213" spans="1:25" hidden="1" x14ac:dyDescent="0.25">
      <c r="A213" s="4" t="s">
        <v>1071</v>
      </c>
      <c r="B213" s="7" t="s">
        <v>449</v>
      </c>
      <c r="C213" s="2" t="s">
        <v>1072</v>
      </c>
      <c r="D213">
        <f>VLOOKUP(B213,'Model allocations'!$A$1:$L$319,4,FALSE)</f>
        <v>8675.5267890224532</v>
      </c>
      <c r="E213" s="32">
        <f>VLOOKUP(B213,'Initial adjusted formula count'!$A$1:$P$319,12,FALSE)</f>
        <v>0.229885057471264</v>
      </c>
      <c r="F213">
        <f>VLOOKUP(B213,'Model allocations'!$A$1:$L$319,9,FALSE)</f>
        <v>9067.9400541588893</v>
      </c>
      <c r="G213" s="31">
        <f t="shared" si="64"/>
        <v>0.9</v>
      </c>
      <c r="H213">
        <f t="shared" si="65"/>
        <v>7807.974110120208</v>
      </c>
      <c r="I213">
        <f t="shared" si="57"/>
        <v>0</v>
      </c>
      <c r="J213">
        <f t="shared" si="58"/>
        <v>9067.9400541588893</v>
      </c>
      <c r="K213">
        <f t="shared" si="59"/>
        <v>9052.3725927318956</v>
      </c>
      <c r="L213">
        <f t="shared" si="66"/>
        <v>9052.3725927318956</v>
      </c>
      <c r="M213">
        <f t="shared" si="60"/>
        <v>0</v>
      </c>
      <c r="N213" s="30">
        <f t="shared" si="67"/>
        <v>9052.3725927318956</v>
      </c>
      <c r="O213" s="30">
        <f t="shared" si="61"/>
        <v>9044.3679601040149</v>
      </c>
      <c r="P213" s="30">
        <f t="shared" si="68"/>
        <v>9044.3679601040149</v>
      </c>
      <c r="Q213">
        <f t="shared" si="69"/>
        <v>0</v>
      </c>
      <c r="R213" s="30">
        <f t="shared" si="70"/>
        <v>9044.3679601040149</v>
      </c>
      <c r="S213" s="30">
        <f t="shared" si="62"/>
        <v>9044.3679601040167</v>
      </c>
      <c r="T213" s="30">
        <f t="shared" si="71"/>
        <v>9044.3679601040167</v>
      </c>
      <c r="U213">
        <f t="shared" si="72"/>
        <v>0</v>
      </c>
      <c r="V213" s="30">
        <f t="shared" si="73"/>
        <v>9044.3679601040167</v>
      </c>
      <c r="W213" s="30">
        <f t="shared" si="63"/>
        <v>9044.3679601040167</v>
      </c>
      <c r="X213" s="30">
        <f t="shared" si="74"/>
        <v>9044.3679601040167</v>
      </c>
      <c r="Y213">
        <f t="shared" si="75"/>
        <v>0</v>
      </c>
    </row>
    <row r="214" spans="1:25" hidden="1" x14ac:dyDescent="0.25">
      <c r="A214" s="4" t="s">
        <v>1073</v>
      </c>
      <c r="B214" s="7" t="s">
        <v>561</v>
      </c>
      <c r="C214" s="2" t="s">
        <v>1074</v>
      </c>
      <c r="D214">
        <f>VLOOKUP(B214,'Model allocations'!$A$1:$L$319,4,FALSE)</f>
        <v>113548.54641815396</v>
      </c>
      <c r="E214" s="32">
        <f>VLOOKUP(B214,'Initial adjusted formula count'!$A$1:$P$319,12,FALSE)</f>
        <v>0.152104591836735</v>
      </c>
      <c r="F214">
        <f>VLOOKUP(B214,'Model allocations'!$A$1:$L$319,9,FALSE)</f>
        <v>108135.18514584473</v>
      </c>
      <c r="G214" s="31">
        <f t="shared" si="64"/>
        <v>0.9</v>
      </c>
      <c r="H214">
        <f t="shared" si="65"/>
        <v>102193.69177633856</v>
      </c>
      <c r="I214">
        <f t="shared" si="57"/>
        <v>0</v>
      </c>
      <c r="J214">
        <f t="shared" si="58"/>
        <v>108135.18514584473</v>
      </c>
      <c r="K214">
        <f t="shared" si="59"/>
        <v>107949.54316832784</v>
      </c>
      <c r="L214">
        <f t="shared" si="66"/>
        <v>107949.54316832784</v>
      </c>
      <c r="M214">
        <f t="shared" si="60"/>
        <v>0</v>
      </c>
      <c r="N214" s="30">
        <f t="shared" si="67"/>
        <v>107949.54316832784</v>
      </c>
      <c r="O214" s="30">
        <f t="shared" si="61"/>
        <v>107854.08792424036</v>
      </c>
      <c r="P214" s="30">
        <f t="shared" si="68"/>
        <v>107854.08792424036</v>
      </c>
      <c r="Q214">
        <f t="shared" si="69"/>
        <v>0</v>
      </c>
      <c r="R214" s="30">
        <f t="shared" si="70"/>
        <v>107854.08792424036</v>
      </c>
      <c r="S214" s="30">
        <f t="shared" si="62"/>
        <v>107854.08792424038</v>
      </c>
      <c r="T214" s="30">
        <f t="shared" si="71"/>
        <v>107854.08792424038</v>
      </c>
      <c r="U214">
        <f t="shared" si="72"/>
        <v>0</v>
      </c>
      <c r="V214" s="30">
        <f t="shared" si="73"/>
        <v>107854.08792424038</v>
      </c>
      <c r="W214" s="30">
        <f t="shared" si="63"/>
        <v>107854.08792424038</v>
      </c>
      <c r="X214" s="30">
        <f t="shared" si="74"/>
        <v>107854.08792424038</v>
      </c>
      <c r="Y214">
        <f t="shared" si="75"/>
        <v>0</v>
      </c>
    </row>
    <row r="215" spans="1:25" x14ac:dyDescent="0.25">
      <c r="A215" s="4" t="s">
        <v>1075</v>
      </c>
      <c r="B215" s="7" t="s">
        <v>201</v>
      </c>
      <c r="C215" s="2" t="s">
        <v>1076</v>
      </c>
      <c r="D215">
        <f>VLOOKUP(B215,'Model allocations'!$A$1:$L$319,4,FALSE)</f>
        <v>34067.312512990597</v>
      </c>
      <c r="E215" s="32">
        <f>VLOOKUP(B215,'Initial adjusted formula count'!$A$1:$P$319,12,FALSE)</f>
        <v>0.106341463414634</v>
      </c>
      <c r="F215">
        <f>VLOOKUP(B215,'Model allocations'!$A$1:$L$319,9,FALSE)</f>
        <v>28957.215636042005</v>
      </c>
      <c r="G215" s="31">
        <f t="shared" si="64"/>
        <v>0.85</v>
      </c>
      <c r="H215">
        <f t="shared" si="65"/>
        <v>28957.215636042005</v>
      </c>
      <c r="I215">
        <f t="shared" si="57"/>
        <v>0</v>
      </c>
      <c r="J215">
        <f t="shared" si="58"/>
        <v>28957.215636042005</v>
      </c>
      <c r="K215">
        <f t="shared" si="59"/>
        <v>28907.503095514076</v>
      </c>
      <c r="L215">
        <f t="shared" si="66"/>
        <v>28907.503095514076</v>
      </c>
      <c r="M215">
        <f t="shared" si="60"/>
        <v>28957.215636042005</v>
      </c>
      <c r="N215" s="30">
        <f t="shared" si="67"/>
        <v>0</v>
      </c>
      <c r="O215" s="30">
        <f t="shared" si="61"/>
        <v>0</v>
      </c>
      <c r="P215" s="30">
        <f t="shared" si="68"/>
        <v>28957.215636042005</v>
      </c>
      <c r="Q215">
        <f t="shared" si="69"/>
        <v>0</v>
      </c>
      <c r="R215" s="30">
        <f t="shared" si="70"/>
        <v>0</v>
      </c>
      <c r="S215" s="30">
        <f t="shared" si="62"/>
        <v>0</v>
      </c>
      <c r="T215" s="30">
        <f t="shared" si="71"/>
        <v>28957.215636042005</v>
      </c>
      <c r="U215">
        <f t="shared" si="72"/>
        <v>0</v>
      </c>
      <c r="V215" s="30">
        <f t="shared" si="73"/>
        <v>0</v>
      </c>
      <c r="W215" s="30">
        <f t="shared" si="63"/>
        <v>0</v>
      </c>
      <c r="X215" s="30">
        <f t="shared" si="74"/>
        <v>28957.215636042005</v>
      </c>
      <c r="Y215">
        <f t="shared" si="75"/>
        <v>0</v>
      </c>
    </row>
    <row r="216" spans="1:25" hidden="1" x14ac:dyDescent="0.25">
      <c r="A216" s="4" t="s">
        <v>15</v>
      </c>
      <c r="B216" s="7" t="s">
        <v>72</v>
      </c>
      <c r="C216" s="2" t="s">
        <v>1077</v>
      </c>
      <c r="D216">
        <f>VLOOKUP(B216,'Model allocations'!$A$1:$L$319,4,FALSE)</f>
        <v>11890.787460980197</v>
      </c>
      <c r="E216" s="32">
        <f>VLOOKUP(B216,'Initial adjusted formula count'!$A$1:$P$319,12,FALSE)</f>
        <v>0.154542884503613</v>
      </c>
      <c r="F216">
        <f>VLOOKUP(B216,'Model allocations'!$A$1:$L$319,9,FALSE)</f>
        <v>12983.557996611195</v>
      </c>
      <c r="G216" s="31">
        <f t="shared" si="64"/>
        <v>0.9</v>
      </c>
      <c r="H216">
        <f t="shared" si="65"/>
        <v>10701.708714882177</v>
      </c>
      <c r="I216">
        <f t="shared" si="57"/>
        <v>0</v>
      </c>
      <c r="J216">
        <f t="shared" si="58"/>
        <v>12983.557996611195</v>
      </c>
      <c r="K216">
        <f t="shared" si="59"/>
        <v>12961.268365549431</v>
      </c>
      <c r="L216">
        <f t="shared" si="66"/>
        <v>12961.268365549431</v>
      </c>
      <c r="M216">
        <f t="shared" si="60"/>
        <v>0</v>
      </c>
      <c r="N216" s="30">
        <f t="shared" si="67"/>
        <v>12961.268365549431</v>
      </c>
      <c r="O216" s="30">
        <f t="shared" si="61"/>
        <v>12949.80726067391</v>
      </c>
      <c r="P216" s="30">
        <f t="shared" si="68"/>
        <v>12949.80726067391</v>
      </c>
      <c r="Q216">
        <f t="shared" si="69"/>
        <v>0</v>
      </c>
      <c r="R216" s="30">
        <f t="shared" si="70"/>
        <v>12949.80726067391</v>
      </c>
      <c r="S216" s="30">
        <f t="shared" si="62"/>
        <v>12949.807260673912</v>
      </c>
      <c r="T216" s="30">
        <f t="shared" si="71"/>
        <v>12949.807260673912</v>
      </c>
      <c r="U216">
        <f t="shared" si="72"/>
        <v>0</v>
      </c>
      <c r="V216" s="30">
        <f t="shared" si="73"/>
        <v>12949.807260673912</v>
      </c>
      <c r="W216" s="30">
        <f t="shared" si="63"/>
        <v>12949.807260673912</v>
      </c>
      <c r="X216" s="30">
        <f t="shared" si="74"/>
        <v>12949.807260673912</v>
      </c>
      <c r="Y216">
        <f t="shared" si="75"/>
        <v>0</v>
      </c>
    </row>
    <row r="217" spans="1:25" hidden="1" x14ac:dyDescent="0.25">
      <c r="A217" s="4" t="s">
        <v>22</v>
      </c>
      <c r="B217" s="7" t="s">
        <v>75</v>
      </c>
      <c r="C217" s="2" t="s">
        <v>1078</v>
      </c>
      <c r="D217">
        <f>VLOOKUP(B217,'Model allocations'!$A$1:$L$319,4,FALSE)</f>
        <v>16201.409705369322</v>
      </c>
      <c r="E217" s="32">
        <f>VLOOKUP(B217,'Initial adjusted formula count'!$A$1:$P$319,12,FALSE)</f>
        <v>0.24748669826425601</v>
      </c>
      <c r="F217">
        <f>VLOOKUP(B217,'Model allocations'!$A$1:$L$319,9,FALSE)</f>
        <v>16144.895399464869</v>
      </c>
      <c r="G217" s="31">
        <f t="shared" si="64"/>
        <v>0.9</v>
      </c>
      <c r="H217">
        <f t="shared" si="65"/>
        <v>14581.268734832391</v>
      </c>
      <c r="I217">
        <f t="shared" si="57"/>
        <v>0</v>
      </c>
      <c r="J217">
        <f t="shared" si="58"/>
        <v>16144.895399464869</v>
      </c>
      <c r="K217">
        <f t="shared" si="59"/>
        <v>16117.178516151469</v>
      </c>
      <c r="L217">
        <f t="shared" si="66"/>
        <v>16117.178516151469</v>
      </c>
      <c r="M217">
        <f t="shared" si="60"/>
        <v>0</v>
      </c>
      <c r="N217" s="30">
        <f t="shared" si="67"/>
        <v>16117.178516151469</v>
      </c>
      <c r="O217" s="30">
        <f t="shared" si="61"/>
        <v>16102.926772567323</v>
      </c>
      <c r="P217" s="30">
        <f t="shared" si="68"/>
        <v>16102.926772567323</v>
      </c>
      <c r="Q217">
        <f t="shared" si="69"/>
        <v>0</v>
      </c>
      <c r="R217" s="30">
        <f t="shared" si="70"/>
        <v>16102.926772567323</v>
      </c>
      <c r="S217" s="30">
        <f t="shared" si="62"/>
        <v>16102.926772567327</v>
      </c>
      <c r="T217" s="30">
        <f t="shared" si="71"/>
        <v>16102.926772567327</v>
      </c>
      <c r="U217">
        <f t="shared" si="72"/>
        <v>0</v>
      </c>
      <c r="V217" s="30">
        <f t="shared" si="73"/>
        <v>16102.926772567327</v>
      </c>
      <c r="W217" s="30">
        <f t="shared" si="63"/>
        <v>16102.926772567327</v>
      </c>
      <c r="X217" s="30">
        <f t="shared" si="74"/>
        <v>16102.926772567327</v>
      </c>
      <c r="Y217">
        <f t="shared" si="75"/>
        <v>0</v>
      </c>
    </row>
    <row r="218" spans="1:25" hidden="1" x14ac:dyDescent="0.25">
      <c r="A218" s="4" t="s">
        <v>1079</v>
      </c>
      <c r="B218" s="7" t="s">
        <v>563</v>
      </c>
      <c r="C218" s="2" t="s">
        <v>1080</v>
      </c>
      <c r="D218">
        <f>VLOOKUP(B218,'Model allocations'!$A$1:$L$319,4,FALSE)</f>
        <v>23275.803580304135</v>
      </c>
      <c r="E218" s="32">
        <f>VLOOKUP(B218,'Initial adjusted formula count'!$A$1:$P$319,12,FALSE)</f>
        <v>0.17965023847376799</v>
      </c>
      <c r="F218">
        <f>VLOOKUP(B218,'Model allocations'!$A$1:$L$319,9,FALSE)</f>
        <v>25616.930652998861</v>
      </c>
      <c r="G218" s="31">
        <f t="shared" si="64"/>
        <v>0.9</v>
      </c>
      <c r="H218">
        <f t="shared" si="65"/>
        <v>20948.223222273722</v>
      </c>
      <c r="I218">
        <f t="shared" si="57"/>
        <v>0</v>
      </c>
      <c r="J218">
        <f t="shared" si="58"/>
        <v>25616.930652998861</v>
      </c>
      <c r="K218">
        <f t="shared" si="59"/>
        <v>25572.952574467603</v>
      </c>
      <c r="L218">
        <f t="shared" si="66"/>
        <v>25572.952574467603</v>
      </c>
      <c r="M218">
        <f t="shared" si="60"/>
        <v>0</v>
      </c>
      <c r="N218" s="30">
        <f t="shared" si="67"/>
        <v>25572.952574467603</v>
      </c>
      <c r="O218" s="30">
        <f t="shared" si="61"/>
        <v>25550.339487293837</v>
      </c>
      <c r="P218" s="30">
        <f t="shared" si="68"/>
        <v>25550.339487293837</v>
      </c>
      <c r="Q218">
        <f t="shared" si="69"/>
        <v>0</v>
      </c>
      <c r="R218" s="30">
        <f t="shared" si="70"/>
        <v>25550.339487293837</v>
      </c>
      <c r="S218" s="30">
        <f t="shared" si="62"/>
        <v>25550.339487293844</v>
      </c>
      <c r="T218" s="30">
        <f t="shared" si="71"/>
        <v>25550.339487293844</v>
      </c>
      <c r="U218">
        <f t="shared" si="72"/>
        <v>0</v>
      </c>
      <c r="V218" s="30">
        <f t="shared" si="73"/>
        <v>25550.339487293844</v>
      </c>
      <c r="W218" s="30">
        <f t="shared" si="63"/>
        <v>25550.339487293844</v>
      </c>
      <c r="X218" s="30">
        <f t="shared" si="74"/>
        <v>25550.339487293844</v>
      </c>
      <c r="Y218">
        <f t="shared" si="75"/>
        <v>0</v>
      </c>
    </row>
    <row r="219" spans="1:25" hidden="1" x14ac:dyDescent="0.25">
      <c r="A219" s="4" t="s">
        <v>1081</v>
      </c>
      <c r="B219" s="7" t="s">
        <v>565</v>
      </c>
      <c r="C219" s="2" t="s">
        <v>1082</v>
      </c>
      <c r="D219">
        <f>VLOOKUP(B219,'Model allocations'!$A$1:$L$319,4,FALSE)</f>
        <v>26356.991402847972</v>
      </c>
      <c r="E219" s="32">
        <f>VLOOKUP(B219,'Initial adjusted formula count'!$A$1:$P$319,12,FALSE)</f>
        <v>0.12676056338028199</v>
      </c>
      <c r="F219">
        <f>VLOOKUP(B219,'Model allocations'!$A$1:$L$319,9,FALSE)</f>
        <v>22403.442692420776</v>
      </c>
      <c r="G219" s="31">
        <f t="shared" si="64"/>
        <v>0.85</v>
      </c>
      <c r="H219">
        <f t="shared" si="65"/>
        <v>22403.442692420776</v>
      </c>
      <c r="I219">
        <f t="shared" si="57"/>
        <v>0</v>
      </c>
      <c r="J219">
        <f t="shared" si="58"/>
        <v>22403.442692420776</v>
      </c>
      <c r="K219">
        <f t="shared" si="59"/>
        <v>22364.981396044408</v>
      </c>
      <c r="L219">
        <f t="shared" si="66"/>
        <v>22364.981396044408</v>
      </c>
      <c r="M219">
        <f t="shared" si="60"/>
        <v>22403.442692420776</v>
      </c>
      <c r="N219" s="30">
        <f t="shared" si="67"/>
        <v>0</v>
      </c>
      <c r="O219" s="30">
        <f t="shared" si="61"/>
        <v>0</v>
      </c>
      <c r="P219" s="30">
        <f t="shared" si="68"/>
        <v>22403.442692420776</v>
      </c>
      <c r="Q219">
        <f t="shared" si="69"/>
        <v>0</v>
      </c>
      <c r="R219" s="30">
        <f t="shared" si="70"/>
        <v>0</v>
      </c>
      <c r="S219" s="30">
        <f t="shared" si="62"/>
        <v>0</v>
      </c>
      <c r="T219" s="30">
        <f t="shared" si="71"/>
        <v>22403.442692420776</v>
      </c>
      <c r="U219">
        <f t="shared" si="72"/>
        <v>0</v>
      </c>
      <c r="V219" s="30">
        <f t="shared" si="73"/>
        <v>0</v>
      </c>
      <c r="W219" s="30">
        <f t="shared" si="63"/>
        <v>0</v>
      </c>
      <c r="X219" s="30">
        <f t="shared" si="74"/>
        <v>22403.442692420776</v>
      </c>
      <c r="Y219">
        <f t="shared" si="75"/>
        <v>0</v>
      </c>
    </row>
    <row r="220" spans="1:25" hidden="1" x14ac:dyDescent="0.25">
      <c r="A220" s="4" t="s">
        <v>1083</v>
      </c>
      <c r="B220" s="7" t="s">
        <v>567</v>
      </c>
      <c r="C220" s="2" t="s">
        <v>1084</v>
      </c>
      <c r="D220">
        <f>VLOOKUP(B220,'Model allocations'!$A$1:$L$319,4,FALSE)</f>
        <v>0</v>
      </c>
      <c r="E220" s="32">
        <f>VLOOKUP(B220,'Initial adjusted formula count'!$A$1:$P$319,12,FALSE)</f>
        <v>0.13021053749922801</v>
      </c>
      <c r="F220">
        <f>VLOOKUP(B220,'Model allocations'!$A$1:$L$319,9,FALSE)</f>
        <v>0</v>
      </c>
      <c r="G220" s="31">
        <f t="shared" si="64"/>
        <v>0.85</v>
      </c>
      <c r="H220">
        <f t="shared" si="65"/>
        <v>0</v>
      </c>
      <c r="I220">
        <f t="shared" si="57"/>
        <v>0</v>
      </c>
      <c r="J220">
        <f t="shared" si="58"/>
        <v>0</v>
      </c>
      <c r="K220">
        <f t="shared" si="59"/>
        <v>0</v>
      </c>
      <c r="L220">
        <f t="shared" si="66"/>
        <v>0</v>
      </c>
      <c r="M220">
        <f t="shared" si="60"/>
        <v>0</v>
      </c>
      <c r="N220" s="30">
        <f t="shared" si="67"/>
        <v>0</v>
      </c>
      <c r="O220" s="30">
        <f t="shared" si="61"/>
        <v>0</v>
      </c>
      <c r="P220" s="30">
        <f t="shared" si="68"/>
        <v>0</v>
      </c>
      <c r="Q220">
        <f t="shared" si="69"/>
        <v>0</v>
      </c>
      <c r="R220" s="30">
        <f t="shared" si="70"/>
        <v>0</v>
      </c>
      <c r="S220" s="30">
        <f t="shared" si="62"/>
        <v>0</v>
      </c>
      <c r="T220" s="30">
        <f t="shared" si="71"/>
        <v>0</v>
      </c>
      <c r="U220">
        <f t="shared" si="72"/>
        <v>0</v>
      </c>
      <c r="V220" s="30">
        <f t="shared" si="73"/>
        <v>0</v>
      </c>
      <c r="W220" s="30">
        <f t="shared" si="63"/>
        <v>0</v>
      </c>
      <c r="X220" s="30">
        <f t="shared" si="74"/>
        <v>0</v>
      </c>
      <c r="Y220">
        <f t="shared" si="75"/>
        <v>0</v>
      </c>
    </row>
    <row r="221" spans="1:25" hidden="1" x14ac:dyDescent="0.25">
      <c r="A221" s="4" t="s">
        <v>1085</v>
      </c>
      <c r="B221" s="7" t="s">
        <v>568</v>
      </c>
      <c r="C221" s="2" t="s">
        <v>1086</v>
      </c>
      <c r="D221">
        <f>VLOOKUP(B221,'Model allocations'!$A$1:$L$319,4,FALSE)</f>
        <v>19239.194259298121</v>
      </c>
      <c r="E221" s="32">
        <f>VLOOKUP(B221,'Initial adjusted formula count'!$A$1:$P$319,12,FALSE)</f>
        <v>0.247910863509749</v>
      </c>
      <c r="F221">
        <f>VLOOKUP(B221,'Model allocations'!$A$1:$L$319,9,FALSE)</f>
        <v>20176.166620503525</v>
      </c>
      <c r="G221" s="31">
        <f t="shared" si="64"/>
        <v>0.9</v>
      </c>
      <c r="H221">
        <f t="shared" si="65"/>
        <v>17315.274833368308</v>
      </c>
      <c r="I221">
        <f t="shared" si="57"/>
        <v>0</v>
      </c>
      <c r="J221">
        <f t="shared" si="58"/>
        <v>20176.166620503525</v>
      </c>
      <c r="K221">
        <f t="shared" si="59"/>
        <v>20141.529018828463</v>
      </c>
      <c r="L221">
        <f t="shared" si="66"/>
        <v>20141.529018828463</v>
      </c>
      <c r="M221">
        <f t="shared" si="60"/>
        <v>0</v>
      </c>
      <c r="N221" s="30">
        <f t="shared" si="67"/>
        <v>20141.529018828463</v>
      </c>
      <c r="O221" s="30">
        <f t="shared" si="61"/>
        <v>20123.718711231428</v>
      </c>
      <c r="P221" s="30">
        <f t="shared" si="68"/>
        <v>20123.718711231428</v>
      </c>
      <c r="Q221">
        <f t="shared" si="69"/>
        <v>0</v>
      </c>
      <c r="R221" s="30">
        <f t="shared" si="70"/>
        <v>20123.718711231428</v>
      </c>
      <c r="S221" s="30">
        <f t="shared" si="62"/>
        <v>20123.718711231431</v>
      </c>
      <c r="T221" s="30">
        <f t="shared" si="71"/>
        <v>20123.718711231431</v>
      </c>
      <c r="U221">
        <f t="shared" si="72"/>
        <v>0</v>
      </c>
      <c r="V221" s="30">
        <f t="shared" si="73"/>
        <v>20123.718711231431</v>
      </c>
      <c r="W221" s="30">
        <f t="shared" si="63"/>
        <v>20123.718711231431</v>
      </c>
      <c r="X221" s="30">
        <f t="shared" si="74"/>
        <v>20123.718711231431</v>
      </c>
      <c r="Y221">
        <f t="shared" si="75"/>
        <v>0</v>
      </c>
    </row>
    <row r="222" spans="1:25" x14ac:dyDescent="0.25">
      <c r="A222" s="4" t="s">
        <v>1087</v>
      </c>
      <c r="B222" s="7" t="s">
        <v>203</v>
      </c>
      <c r="C222" s="2" t="s">
        <v>1088</v>
      </c>
      <c r="D222">
        <f>VLOOKUP(B222,'Model allocations'!$A$1:$L$319,4,FALSE)</f>
        <v>0</v>
      </c>
      <c r="E222" s="32">
        <f>VLOOKUP(B222,'Initial adjusted formula count'!$A$1:$P$319,12,FALSE)</f>
        <v>8.6653322141150596E-2</v>
      </c>
      <c r="F222">
        <f>VLOOKUP(B222,'Model allocations'!$A$1:$L$319,9,FALSE)</f>
        <v>0</v>
      </c>
      <c r="G222" s="31">
        <f t="shared" si="64"/>
        <v>0.85</v>
      </c>
      <c r="H222">
        <f t="shared" si="65"/>
        <v>0</v>
      </c>
      <c r="I222">
        <f t="shared" si="57"/>
        <v>0</v>
      </c>
      <c r="J222">
        <f t="shared" si="58"/>
        <v>0</v>
      </c>
      <c r="K222">
        <f t="shared" si="59"/>
        <v>0</v>
      </c>
      <c r="L222">
        <f t="shared" si="66"/>
        <v>0</v>
      </c>
      <c r="M222">
        <f t="shared" si="60"/>
        <v>0</v>
      </c>
      <c r="N222" s="30">
        <f t="shared" si="67"/>
        <v>0</v>
      </c>
      <c r="O222" s="30">
        <f t="shared" si="61"/>
        <v>0</v>
      </c>
      <c r="P222" s="30">
        <f t="shared" si="68"/>
        <v>0</v>
      </c>
      <c r="Q222">
        <f t="shared" si="69"/>
        <v>0</v>
      </c>
      <c r="R222" s="30">
        <f t="shared" si="70"/>
        <v>0</v>
      </c>
      <c r="S222" s="30">
        <f t="shared" si="62"/>
        <v>0</v>
      </c>
      <c r="T222" s="30">
        <f t="shared" si="71"/>
        <v>0</v>
      </c>
      <c r="U222">
        <f t="shared" si="72"/>
        <v>0</v>
      </c>
      <c r="V222" s="30">
        <f t="shared" si="73"/>
        <v>0</v>
      </c>
      <c r="W222" s="30">
        <f t="shared" si="63"/>
        <v>0</v>
      </c>
      <c r="X222" s="30">
        <f t="shared" si="74"/>
        <v>0</v>
      </c>
      <c r="Y222">
        <f t="shared" si="75"/>
        <v>0</v>
      </c>
    </row>
    <row r="223" spans="1:25" x14ac:dyDescent="0.25">
      <c r="A223" s="4" t="s">
        <v>1089</v>
      </c>
      <c r="B223" s="7" t="s">
        <v>205</v>
      </c>
      <c r="C223" s="2" t="s">
        <v>1090</v>
      </c>
      <c r="D223">
        <f>VLOOKUP(B223,'Model allocations'!$A$1:$L$319,4,FALSE)</f>
        <v>0</v>
      </c>
      <c r="E223" s="32">
        <f>VLOOKUP(B223,'Initial adjusted formula count'!$A$1:$P$319,12,FALSE)</f>
        <v>4.3057571359458202E-2</v>
      </c>
      <c r="F223">
        <f>VLOOKUP(B223,'Model allocations'!$A$1:$L$319,9,FALSE)</f>
        <v>0</v>
      </c>
      <c r="G223" s="31">
        <f t="shared" si="64"/>
        <v>0.85</v>
      </c>
      <c r="H223">
        <f t="shared" si="65"/>
        <v>0</v>
      </c>
      <c r="I223">
        <f t="shared" si="57"/>
        <v>0</v>
      </c>
      <c r="J223">
        <f t="shared" si="58"/>
        <v>0</v>
      </c>
      <c r="K223">
        <f t="shared" si="59"/>
        <v>0</v>
      </c>
      <c r="L223">
        <f t="shared" si="66"/>
        <v>0</v>
      </c>
      <c r="M223">
        <f t="shared" si="60"/>
        <v>0</v>
      </c>
      <c r="N223" s="30">
        <f t="shared" si="67"/>
        <v>0</v>
      </c>
      <c r="O223" s="30">
        <f t="shared" si="61"/>
        <v>0</v>
      </c>
      <c r="P223" s="30">
        <f t="shared" si="68"/>
        <v>0</v>
      </c>
      <c r="Q223">
        <f t="shared" si="69"/>
        <v>0</v>
      </c>
      <c r="R223" s="30">
        <f t="shared" si="70"/>
        <v>0</v>
      </c>
      <c r="S223" s="30">
        <f t="shared" si="62"/>
        <v>0</v>
      </c>
      <c r="T223" s="30">
        <f t="shared" si="71"/>
        <v>0</v>
      </c>
      <c r="U223">
        <f t="shared" si="72"/>
        <v>0</v>
      </c>
      <c r="V223" s="30">
        <f t="shared" si="73"/>
        <v>0</v>
      </c>
      <c r="W223" s="30">
        <f t="shared" si="63"/>
        <v>0</v>
      </c>
      <c r="X223" s="30">
        <f t="shared" si="74"/>
        <v>0</v>
      </c>
      <c r="Y223">
        <f t="shared" si="75"/>
        <v>0</v>
      </c>
    </row>
    <row r="224" spans="1:25" x14ac:dyDescent="0.25">
      <c r="A224" s="4" t="s">
        <v>1091</v>
      </c>
      <c r="B224" s="7" t="s">
        <v>207</v>
      </c>
      <c r="C224" s="2" t="s">
        <v>1092</v>
      </c>
      <c r="D224">
        <f>VLOOKUP(B224,'Model allocations'!$A$1:$L$319,4,FALSE)</f>
        <v>0</v>
      </c>
      <c r="E224" s="32">
        <f>VLOOKUP(B224,'Initial adjusted formula count'!$A$1:$P$319,12,FALSE)</f>
        <v>0.142517814726841</v>
      </c>
      <c r="F224">
        <f>VLOOKUP(B224,'Model allocations'!$A$1:$L$319,9,FALSE)</f>
        <v>0</v>
      </c>
      <c r="G224" s="31">
        <f t="shared" si="64"/>
        <v>0.85</v>
      </c>
      <c r="H224">
        <f t="shared" si="65"/>
        <v>0</v>
      </c>
      <c r="I224">
        <f t="shared" si="57"/>
        <v>0</v>
      </c>
      <c r="J224">
        <f t="shared" si="58"/>
        <v>0</v>
      </c>
      <c r="K224">
        <f t="shared" si="59"/>
        <v>0</v>
      </c>
      <c r="L224">
        <f t="shared" si="66"/>
        <v>0</v>
      </c>
      <c r="M224">
        <f t="shared" si="60"/>
        <v>0</v>
      </c>
      <c r="N224" s="30">
        <f t="shared" si="67"/>
        <v>0</v>
      </c>
      <c r="O224" s="30">
        <f t="shared" si="61"/>
        <v>0</v>
      </c>
      <c r="P224" s="30">
        <f t="shared" si="68"/>
        <v>0</v>
      </c>
      <c r="Q224">
        <f t="shared" si="69"/>
        <v>0</v>
      </c>
      <c r="R224" s="30">
        <f t="shared" si="70"/>
        <v>0</v>
      </c>
      <c r="S224" s="30">
        <f t="shared" si="62"/>
        <v>0</v>
      </c>
      <c r="T224" s="30">
        <f t="shared" si="71"/>
        <v>0</v>
      </c>
      <c r="U224">
        <f t="shared" si="72"/>
        <v>0</v>
      </c>
      <c r="V224" s="30">
        <f t="shared" si="73"/>
        <v>0</v>
      </c>
      <c r="W224" s="30">
        <f t="shared" si="63"/>
        <v>0</v>
      </c>
      <c r="X224" s="30">
        <f t="shared" si="74"/>
        <v>0</v>
      </c>
      <c r="Y224">
        <f t="shared" si="75"/>
        <v>0</v>
      </c>
    </row>
    <row r="225" spans="1:25" x14ac:dyDescent="0.25">
      <c r="A225" s="4" t="s">
        <v>1093</v>
      </c>
      <c r="B225" s="7" t="s">
        <v>300</v>
      </c>
      <c r="C225" s="2" t="s">
        <v>1094</v>
      </c>
      <c r="D225">
        <f>VLOOKUP(B225,'Model allocations'!$A$1:$L$319,4,FALSE)</f>
        <v>0</v>
      </c>
      <c r="E225" s="32">
        <f>VLOOKUP(B225,'Initial adjusted formula count'!$A$1:$P$319,12,FALSE)</f>
        <v>0.131862745098039</v>
      </c>
      <c r="F225">
        <f>VLOOKUP(B225,'Model allocations'!$A$1:$L$319,9,FALSE)</f>
        <v>0</v>
      </c>
      <c r="G225" s="31">
        <f t="shared" si="64"/>
        <v>0.85</v>
      </c>
      <c r="H225">
        <f t="shared" si="65"/>
        <v>0</v>
      </c>
      <c r="I225">
        <f t="shared" si="57"/>
        <v>0</v>
      </c>
      <c r="J225">
        <f t="shared" si="58"/>
        <v>0</v>
      </c>
      <c r="K225">
        <f t="shared" si="59"/>
        <v>0</v>
      </c>
      <c r="L225">
        <f t="shared" si="66"/>
        <v>0</v>
      </c>
      <c r="M225">
        <f t="shared" si="60"/>
        <v>0</v>
      </c>
      <c r="N225" s="30">
        <f t="shared" si="67"/>
        <v>0</v>
      </c>
      <c r="O225" s="30">
        <f t="shared" si="61"/>
        <v>0</v>
      </c>
      <c r="P225" s="30">
        <f t="shared" si="68"/>
        <v>0</v>
      </c>
      <c r="Q225">
        <f t="shared" si="69"/>
        <v>0</v>
      </c>
      <c r="R225" s="30">
        <f t="shared" si="70"/>
        <v>0</v>
      </c>
      <c r="S225" s="30">
        <f t="shared" si="62"/>
        <v>0</v>
      </c>
      <c r="T225" s="30">
        <f t="shared" si="71"/>
        <v>0</v>
      </c>
      <c r="U225">
        <f t="shared" si="72"/>
        <v>0</v>
      </c>
      <c r="V225" s="30">
        <f t="shared" si="73"/>
        <v>0</v>
      </c>
      <c r="W225" s="30">
        <f t="shared" si="63"/>
        <v>0</v>
      </c>
      <c r="X225" s="30">
        <f t="shared" si="74"/>
        <v>0</v>
      </c>
      <c r="Y225">
        <f t="shared" si="75"/>
        <v>0</v>
      </c>
    </row>
    <row r="226" spans="1:25" x14ac:dyDescent="0.25">
      <c r="A226" s="4" t="s">
        <v>1095</v>
      </c>
      <c r="B226" s="7" t="s">
        <v>209</v>
      </c>
      <c r="C226" s="2" t="s">
        <v>1096</v>
      </c>
      <c r="D226">
        <f>VLOOKUP(B226,'Model allocations'!$A$1:$L$319,4,FALSE)</f>
        <v>0</v>
      </c>
      <c r="E226" s="32">
        <f>VLOOKUP(B226,'Initial adjusted formula count'!$A$1:$P$319,12,FALSE)</f>
        <v>3.4935644864722899E-2</v>
      </c>
      <c r="F226">
        <f>VLOOKUP(B226,'Model allocations'!$A$1:$L$319,9,FALSE)</f>
        <v>0</v>
      </c>
      <c r="G226" s="31">
        <f t="shared" si="64"/>
        <v>0.85</v>
      </c>
      <c r="H226">
        <f t="shared" si="65"/>
        <v>0</v>
      </c>
      <c r="I226">
        <f t="shared" si="57"/>
        <v>0</v>
      </c>
      <c r="J226">
        <f t="shared" si="58"/>
        <v>0</v>
      </c>
      <c r="K226">
        <f t="shared" si="59"/>
        <v>0</v>
      </c>
      <c r="L226">
        <f t="shared" si="66"/>
        <v>0</v>
      </c>
      <c r="M226">
        <f t="shared" si="60"/>
        <v>0</v>
      </c>
      <c r="N226" s="30">
        <f t="shared" si="67"/>
        <v>0</v>
      </c>
      <c r="O226" s="30">
        <f t="shared" si="61"/>
        <v>0</v>
      </c>
      <c r="P226" s="30">
        <f t="shared" si="68"/>
        <v>0</v>
      </c>
      <c r="Q226">
        <f t="shared" si="69"/>
        <v>0</v>
      </c>
      <c r="R226" s="30">
        <f t="shared" si="70"/>
        <v>0</v>
      </c>
      <c r="S226" s="30">
        <f t="shared" si="62"/>
        <v>0</v>
      </c>
      <c r="T226" s="30">
        <f t="shared" si="71"/>
        <v>0</v>
      </c>
      <c r="U226">
        <f t="shared" si="72"/>
        <v>0</v>
      </c>
      <c r="V226" s="30">
        <f t="shared" si="73"/>
        <v>0</v>
      </c>
      <c r="W226" s="30">
        <f t="shared" si="63"/>
        <v>0</v>
      </c>
      <c r="X226" s="30">
        <f t="shared" si="74"/>
        <v>0</v>
      </c>
      <c r="Y226">
        <f t="shared" si="75"/>
        <v>0</v>
      </c>
    </row>
    <row r="227" spans="1:25" hidden="1" x14ac:dyDescent="0.25">
      <c r="A227" s="4" t="s">
        <v>1097</v>
      </c>
      <c r="B227" s="7" t="s">
        <v>570</v>
      </c>
      <c r="C227" s="2" t="s">
        <v>1098</v>
      </c>
      <c r="D227">
        <f>VLOOKUP(B227,'Model allocations'!$A$1:$L$319,4,FALSE)</f>
        <v>68851.377059188206</v>
      </c>
      <c r="E227" s="32">
        <f>VLOOKUP(B227,'Initial adjusted formula count'!$A$1:$P$319,12,FALSE)</f>
        <v>0.104561970125151</v>
      </c>
      <c r="F227">
        <f>VLOOKUP(B227,'Model allocations'!$A$1:$L$319,9,FALSE)</f>
        <v>58523.670500309971</v>
      </c>
      <c r="G227" s="31">
        <f t="shared" si="64"/>
        <v>0.85</v>
      </c>
      <c r="H227">
        <f t="shared" si="65"/>
        <v>58523.670500309971</v>
      </c>
      <c r="I227">
        <f t="shared" si="57"/>
        <v>0</v>
      </c>
      <c r="J227">
        <f t="shared" si="58"/>
        <v>58523.670500309971</v>
      </c>
      <c r="K227">
        <f t="shared" si="59"/>
        <v>58423.199502747317</v>
      </c>
      <c r="L227">
        <f t="shared" si="66"/>
        <v>58423.199502747317</v>
      </c>
      <c r="M227">
        <f t="shared" si="60"/>
        <v>58523.670500309971</v>
      </c>
      <c r="N227" s="30">
        <f t="shared" si="67"/>
        <v>0</v>
      </c>
      <c r="O227" s="30">
        <f t="shared" si="61"/>
        <v>0</v>
      </c>
      <c r="P227" s="30">
        <f t="shared" si="68"/>
        <v>58523.670500309971</v>
      </c>
      <c r="Q227">
        <f t="shared" si="69"/>
        <v>0</v>
      </c>
      <c r="R227" s="30">
        <f t="shared" si="70"/>
        <v>0</v>
      </c>
      <c r="S227" s="30">
        <f t="shared" si="62"/>
        <v>0</v>
      </c>
      <c r="T227" s="30">
        <f t="shared" si="71"/>
        <v>58523.670500309971</v>
      </c>
      <c r="U227">
        <f t="shared" si="72"/>
        <v>0</v>
      </c>
      <c r="V227" s="30">
        <f t="shared" si="73"/>
        <v>0</v>
      </c>
      <c r="W227" s="30">
        <f t="shared" si="63"/>
        <v>0</v>
      </c>
      <c r="X227" s="30">
        <f t="shared" si="74"/>
        <v>58523.670500309971</v>
      </c>
      <c r="Y227">
        <f t="shared" si="75"/>
        <v>0</v>
      </c>
    </row>
    <row r="228" spans="1:25" x14ac:dyDescent="0.25">
      <c r="A228" s="4" t="s">
        <v>1099</v>
      </c>
      <c r="B228" s="7" t="s">
        <v>302</v>
      </c>
      <c r="C228" s="2" t="s">
        <v>1100</v>
      </c>
      <c r="D228">
        <f>VLOOKUP(B228,'Model allocations'!$A$1:$L$319,4,FALSE)</f>
        <v>2115.9821436640118</v>
      </c>
      <c r="E228" s="32">
        <f>VLOOKUP(B228,'Initial adjusted formula count'!$A$1:$P$319,12,FALSE)</f>
        <v>0.119047619047619</v>
      </c>
      <c r="F228">
        <f>VLOOKUP(B228,'Model allocations'!$A$1:$L$319,9,FALSE)</f>
        <v>1798.5848221144099</v>
      </c>
      <c r="G228" s="31">
        <f t="shared" si="64"/>
        <v>0.85</v>
      </c>
      <c r="H228">
        <f t="shared" si="65"/>
        <v>1798.5848221144099</v>
      </c>
      <c r="I228">
        <f t="shared" si="57"/>
        <v>0</v>
      </c>
      <c r="J228">
        <f t="shared" si="58"/>
        <v>1798.5848221144099</v>
      </c>
      <c r="K228">
        <f t="shared" si="59"/>
        <v>1795.4970866778922</v>
      </c>
      <c r="L228">
        <f t="shared" si="66"/>
        <v>1795.4970866778922</v>
      </c>
      <c r="M228">
        <f t="shared" si="60"/>
        <v>1798.5848221144099</v>
      </c>
      <c r="N228" s="30">
        <f t="shared" si="67"/>
        <v>0</v>
      </c>
      <c r="O228" s="30">
        <f t="shared" si="61"/>
        <v>0</v>
      </c>
      <c r="P228" s="30">
        <f t="shared" si="68"/>
        <v>1798.5848221144099</v>
      </c>
      <c r="Q228">
        <f t="shared" si="69"/>
        <v>0</v>
      </c>
      <c r="R228" s="30">
        <f t="shared" si="70"/>
        <v>0</v>
      </c>
      <c r="S228" s="30">
        <f t="shared" si="62"/>
        <v>0</v>
      </c>
      <c r="T228" s="30">
        <f t="shared" si="71"/>
        <v>1798.5848221144099</v>
      </c>
      <c r="U228">
        <f t="shared" si="72"/>
        <v>0</v>
      </c>
      <c r="V228" s="30">
        <f t="shared" si="73"/>
        <v>0</v>
      </c>
      <c r="W228" s="30">
        <f t="shared" si="63"/>
        <v>0</v>
      </c>
      <c r="X228" s="30">
        <f t="shared" si="74"/>
        <v>1798.5848221144099</v>
      </c>
      <c r="Y228">
        <f t="shared" si="75"/>
        <v>0</v>
      </c>
    </row>
    <row r="229" spans="1:25" hidden="1" x14ac:dyDescent="0.25">
      <c r="A229" s="4" t="s">
        <v>1101</v>
      </c>
      <c r="B229" s="7" t="s">
        <v>572</v>
      </c>
      <c r="C229" s="2" t="s">
        <v>1102</v>
      </c>
      <c r="D229">
        <f>VLOOKUP(B229,'Model allocations'!$A$1:$L$319,4,FALSE)</f>
        <v>8040.7321459232453</v>
      </c>
      <c r="E229" s="32">
        <f>VLOOKUP(B229,'Initial adjusted formula count'!$A$1:$P$319,12,FALSE)</f>
        <v>0.139240506329114</v>
      </c>
      <c r="F229">
        <f>VLOOKUP(B229,'Model allocations'!$A$1:$L$319,9,FALSE)</f>
        <v>6834.6223240347581</v>
      </c>
      <c r="G229" s="31">
        <f t="shared" si="64"/>
        <v>0.85</v>
      </c>
      <c r="H229">
        <f t="shared" si="65"/>
        <v>6834.6223240347581</v>
      </c>
      <c r="I229">
        <f t="shared" si="57"/>
        <v>0</v>
      </c>
      <c r="J229">
        <f t="shared" si="58"/>
        <v>6834.6223240347581</v>
      </c>
      <c r="K229">
        <f t="shared" si="59"/>
        <v>6822.8889293759912</v>
      </c>
      <c r="L229">
        <f t="shared" si="66"/>
        <v>6822.8889293759912</v>
      </c>
      <c r="M229">
        <f t="shared" si="60"/>
        <v>6834.6223240347581</v>
      </c>
      <c r="N229" s="30">
        <f t="shared" si="67"/>
        <v>0</v>
      </c>
      <c r="O229" s="30">
        <f t="shared" si="61"/>
        <v>0</v>
      </c>
      <c r="P229" s="30">
        <f t="shared" si="68"/>
        <v>6834.6223240347581</v>
      </c>
      <c r="Q229">
        <f t="shared" si="69"/>
        <v>0</v>
      </c>
      <c r="R229" s="30">
        <f t="shared" si="70"/>
        <v>0</v>
      </c>
      <c r="S229" s="30">
        <f t="shared" si="62"/>
        <v>0</v>
      </c>
      <c r="T229" s="30">
        <f t="shared" si="71"/>
        <v>6834.6223240347581</v>
      </c>
      <c r="U229">
        <f t="shared" si="72"/>
        <v>0</v>
      </c>
      <c r="V229" s="30">
        <f t="shared" si="73"/>
        <v>0</v>
      </c>
      <c r="W229" s="30">
        <f t="shared" si="63"/>
        <v>0</v>
      </c>
      <c r="X229" s="30">
        <f t="shared" si="74"/>
        <v>6834.6223240347581</v>
      </c>
      <c r="Y229">
        <f t="shared" si="75"/>
        <v>0</v>
      </c>
    </row>
    <row r="230" spans="1:25" hidden="1" x14ac:dyDescent="0.25">
      <c r="A230" s="4" t="s">
        <v>1103</v>
      </c>
      <c r="B230" s="7" t="s">
        <v>574</v>
      </c>
      <c r="C230" s="2" t="s">
        <v>1104</v>
      </c>
      <c r="D230">
        <f>VLOOKUP(B230,'Model allocations'!$A$1:$L$319,4,FALSE)</f>
        <v>68458.254072394295</v>
      </c>
      <c r="E230" s="32">
        <f>VLOOKUP(B230,'Initial adjusted formula count'!$A$1:$P$319,12,FALSE)</f>
        <v>0.16048632218844999</v>
      </c>
      <c r="F230">
        <f>VLOOKUP(B230,'Model allocations'!$A$1:$L$319,9,FALSE)</f>
        <v>61612.428665154868</v>
      </c>
      <c r="G230" s="31">
        <f t="shared" si="64"/>
        <v>0.9</v>
      </c>
      <c r="H230">
        <f t="shared" si="65"/>
        <v>61612.428665154868</v>
      </c>
      <c r="I230">
        <f t="shared" si="57"/>
        <v>0</v>
      </c>
      <c r="J230">
        <f t="shared" si="58"/>
        <v>61612.428665154868</v>
      </c>
      <c r="K230">
        <f t="shared" si="59"/>
        <v>61506.655016350436</v>
      </c>
      <c r="L230">
        <f t="shared" si="66"/>
        <v>61506.655016350436</v>
      </c>
      <c r="M230">
        <f t="shared" si="60"/>
        <v>61612.428665154868</v>
      </c>
      <c r="N230" s="30">
        <f t="shared" si="67"/>
        <v>0</v>
      </c>
      <c r="O230" s="30">
        <f t="shared" si="61"/>
        <v>0</v>
      </c>
      <c r="P230" s="30">
        <f t="shared" si="68"/>
        <v>61612.428665154868</v>
      </c>
      <c r="Q230">
        <f t="shared" si="69"/>
        <v>0</v>
      </c>
      <c r="R230" s="30">
        <f t="shared" si="70"/>
        <v>0</v>
      </c>
      <c r="S230" s="30">
        <f t="shared" si="62"/>
        <v>0</v>
      </c>
      <c r="T230" s="30">
        <f t="shared" si="71"/>
        <v>61612.428665154868</v>
      </c>
      <c r="U230">
        <f t="shared" si="72"/>
        <v>0</v>
      </c>
      <c r="V230" s="30">
        <f t="shared" si="73"/>
        <v>0</v>
      </c>
      <c r="W230" s="30">
        <f t="shared" si="63"/>
        <v>0</v>
      </c>
      <c r="X230" s="30">
        <f t="shared" si="74"/>
        <v>61612.428665154868</v>
      </c>
      <c r="Y230">
        <f t="shared" si="75"/>
        <v>0</v>
      </c>
    </row>
    <row r="231" spans="1:25" x14ac:dyDescent="0.25">
      <c r="A231" s="4" t="s">
        <v>1105</v>
      </c>
      <c r="B231" s="7" t="s">
        <v>211</v>
      </c>
      <c r="C231" s="2" t="s">
        <v>1106</v>
      </c>
      <c r="D231">
        <f>VLOOKUP(B231,'Model allocations'!$A$1:$L$319,4,FALSE)</f>
        <v>0</v>
      </c>
      <c r="E231" s="32">
        <f>VLOOKUP(B231,'Initial adjusted formula count'!$A$1:$P$319,12,FALSE)</f>
        <v>8.8764044943820203E-2</v>
      </c>
      <c r="F231">
        <f>VLOOKUP(B231,'Model allocations'!$A$1:$L$319,9,FALSE)</f>
        <v>0</v>
      </c>
      <c r="G231" s="31">
        <f t="shared" si="64"/>
        <v>0.85</v>
      </c>
      <c r="H231">
        <f t="shared" si="65"/>
        <v>0</v>
      </c>
      <c r="I231">
        <f t="shared" si="57"/>
        <v>0</v>
      </c>
      <c r="J231">
        <f t="shared" si="58"/>
        <v>0</v>
      </c>
      <c r="K231">
        <f t="shared" si="59"/>
        <v>0</v>
      </c>
      <c r="L231">
        <f t="shared" si="66"/>
        <v>0</v>
      </c>
      <c r="M231">
        <f t="shared" si="60"/>
        <v>0</v>
      </c>
      <c r="N231" s="30">
        <f t="shared" si="67"/>
        <v>0</v>
      </c>
      <c r="O231" s="30">
        <f t="shared" si="61"/>
        <v>0</v>
      </c>
      <c r="P231" s="30">
        <f t="shared" si="68"/>
        <v>0</v>
      </c>
      <c r="Q231">
        <f t="shared" si="69"/>
        <v>0</v>
      </c>
      <c r="R231" s="30">
        <f t="shared" si="70"/>
        <v>0</v>
      </c>
      <c r="S231" s="30">
        <f t="shared" si="62"/>
        <v>0</v>
      </c>
      <c r="T231" s="30">
        <f t="shared" si="71"/>
        <v>0</v>
      </c>
      <c r="U231">
        <f t="shared" si="72"/>
        <v>0</v>
      </c>
      <c r="V231" s="30">
        <f t="shared" si="73"/>
        <v>0</v>
      </c>
      <c r="W231" s="30">
        <f t="shared" si="63"/>
        <v>0</v>
      </c>
      <c r="X231" s="30">
        <f t="shared" si="74"/>
        <v>0</v>
      </c>
      <c r="Y231">
        <f t="shared" si="75"/>
        <v>0</v>
      </c>
    </row>
    <row r="232" spans="1:25" hidden="1" x14ac:dyDescent="0.25">
      <c r="A232" s="4" t="s">
        <v>1107</v>
      </c>
      <c r="B232" s="7" t="s">
        <v>576</v>
      </c>
      <c r="C232" s="2" t="s">
        <v>1108</v>
      </c>
      <c r="D232">
        <f>VLOOKUP(B232,'Model allocations'!$A$1:$L$319,4,FALSE)</f>
        <v>4655.1607160608282</v>
      </c>
      <c r="E232" s="32">
        <f>VLOOKUP(B232,'Initial adjusted formula count'!$A$1:$P$319,12,FALSE)</f>
        <v>0.163636363636364</v>
      </c>
      <c r="F232">
        <f>VLOOKUP(B232,'Model allocations'!$A$1:$L$319,9,FALSE)</f>
        <v>4189.6446444547455</v>
      </c>
      <c r="G232" s="31">
        <f t="shared" si="64"/>
        <v>0.9</v>
      </c>
      <c r="H232">
        <f t="shared" si="65"/>
        <v>4189.6446444547455</v>
      </c>
      <c r="I232">
        <f t="shared" si="57"/>
        <v>0</v>
      </c>
      <c r="J232">
        <f t="shared" si="58"/>
        <v>4189.6446444547455</v>
      </c>
      <c r="K232">
        <f t="shared" si="59"/>
        <v>4182.4520372026227</v>
      </c>
      <c r="L232">
        <f t="shared" si="66"/>
        <v>4182.4520372026227</v>
      </c>
      <c r="M232">
        <f t="shared" si="60"/>
        <v>4189.6446444547455</v>
      </c>
      <c r="N232" s="30">
        <f t="shared" si="67"/>
        <v>0</v>
      </c>
      <c r="O232" s="30">
        <f t="shared" si="61"/>
        <v>0</v>
      </c>
      <c r="P232" s="30">
        <f t="shared" si="68"/>
        <v>4189.6446444547455</v>
      </c>
      <c r="Q232">
        <f t="shared" si="69"/>
        <v>0</v>
      </c>
      <c r="R232" s="30">
        <f t="shared" si="70"/>
        <v>0</v>
      </c>
      <c r="S232" s="30">
        <f t="shared" si="62"/>
        <v>0</v>
      </c>
      <c r="T232" s="30">
        <f t="shared" si="71"/>
        <v>4189.6446444547455</v>
      </c>
      <c r="U232">
        <f t="shared" si="72"/>
        <v>0</v>
      </c>
      <c r="V232" s="30">
        <f t="shared" si="73"/>
        <v>0</v>
      </c>
      <c r="W232" s="30">
        <f t="shared" si="63"/>
        <v>0</v>
      </c>
      <c r="X232" s="30">
        <f t="shared" si="74"/>
        <v>4189.6446444547455</v>
      </c>
      <c r="Y232">
        <f t="shared" si="75"/>
        <v>0</v>
      </c>
    </row>
    <row r="233" spans="1:25" hidden="1" x14ac:dyDescent="0.25">
      <c r="A233" s="8" t="s">
        <v>53</v>
      </c>
      <c r="B233" s="7" t="s">
        <v>86</v>
      </c>
      <c r="C233" s="2" t="s">
        <v>1109</v>
      </c>
      <c r="D233">
        <f>VLOOKUP(B233,'Model allocations'!$A$1:$L$319,4,FALSE)</f>
        <v>2171.4103386478887</v>
      </c>
      <c r="E233" s="32">
        <f>VLOOKUP(B233,'Initial adjusted formula count'!$A$1:$P$319,12,FALSE)</f>
        <v>0.161881229070443</v>
      </c>
      <c r="F233">
        <f>VLOOKUP(B233,'Model allocations'!$A$1:$L$319,9,FALSE)</f>
        <v>0</v>
      </c>
      <c r="G233" s="31">
        <f t="shared" si="64"/>
        <v>0.9</v>
      </c>
      <c r="H233">
        <f t="shared" si="65"/>
        <v>0</v>
      </c>
      <c r="I233">
        <f t="shared" si="57"/>
        <v>0</v>
      </c>
      <c r="J233">
        <f t="shared" si="58"/>
        <v>0</v>
      </c>
      <c r="K233">
        <f t="shared" si="59"/>
        <v>0</v>
      </c>
      <c r="L233">
        <f t="shared" si="66"/>
        <v>0</v>
      </c>
      <c r="M233">
        <f t="shared" si="60"/>
        <v>0</v>
      </c>
      <c r="N233" s="30">
        <f t="shared" si="67"/>
        <v>0</v>
      </c>
      <c r="O233" s="30">
        <f t="shared" si="61"/>
        <v>0</v>
      </c>
      <c r="P233" s="30">
        <f t="shared" si="68"/>
        <v>0</v>
      </c>
      <c r="Q233">
        <f t="shared" si="69"/>
        <v>0</v>
      </c>
      <c r="R233" s="30">
        <f t="shared" si="70"/>
        <v>0</v>
      </c>
      <c r="S233" s="30">
        <f t="shared" si="62"/>
        <v>0</v>
      </c>
      <c r="T233" s="30">
        <f t="shared" si="71"/>
        <v>0</v>
      </c>
      <c r="U233">
        <f t="shared" si="72"/>
        <v>0</v>
      </c>
      <c r="V233" s="30">
        <f t="shared" si="73"/>
        <v>0</v>
      </c>
      <c r="W233" s="30">
        <f t="shared" si="63"/>
        <v>0</v>
      </c>
      <c r="X233" s="30">
        <f t="shared" si="74"/>
        <v>0</v>
      </c>
      <c r="Y233">
        <f t="shared" si="75"/>
        <v>0</v>
      </c>
    </row>
    <row r="234" spans="1:25" hidden="1" x14ac:dyDescent="0.25">
      <c r="A234" s="4" t="s">
        <v>49</v>
      </c>
      <c r="B234" s="7" t="s">
        <v>85</v>
      </c>
      <c r="C234" s="2" t="s">
        <v>1110</v>
      </c>
      <c r="D234">
        <f>VLOOKUP(B234,'Model allocations'!$A$1:$L$319,4,FALSE)</f>
        <v>0</v>
      </c>
      <c r="E234" s="32">
        <f>VLOOKUP(B234,'Initial adjusted formula count'!$A$1:$P$319,12,FALSE)</f>
        <v>6.2873869957482995E-2</v>
      </c>
      <c r="F234">
        <f>VLOOKUP(B234,'Model allocations'!$A$1:$L$319,9,FALSE)</f>
        <v>0</v>
      </c>
      <c r="G234" s="31">
        <f t="shared" si="64"/>
        <v>0.85</v>
      </c>
      <c r="H234">
        <f t="shared" si="65"/>
        <v>0</v>
      </c>
      <c r="I234">
        <f t="shared" si="57"/>
        <v>0</v>
      </c>
      <c r="J234">
        <f t="shared" si="58"/>
        <v>0</v>
      </c>
      <c r="K234">
        <f t="shared" si="59"/>
        <v>0</v>
      </c>
      <c r="L234">
        <f t="shared" si="66"/>
        <v>0</v>
      </c>
      <c r="M234">
        <f t="shared" si="60"/>
        <v>0</v>
      </c>
      <c r="N234" s="30">
        <f t="shared" si="67"/>
        <v>0</v>
      </c>
      <c r="O234" s="30">
        <f t="shared" si="61"/>
        <v>0</v>
      </c>
      <c r="P234" s="30">
        <f t="shared" si="68"/>
        <v>0</v>
      </c>
      <c r="Q234">
        <f t="shared" si="69"/>
        <v>0</v>
      </c>
      <c r="R234" s="30">
        <f t="shared" si="70"/>
        <v>0</v>
      </c>
      <c r="S234" s="30">
        <f t="shared" si="62"/>
        <v>0</v>
      </c>
      <c r="T234" s="30">
        <f t="shared" si="71"/>
        <v>0</v>
      </c>
      <c r="U234">
        <f t="shared" si="72"/>
        <v>0</v>
      </c>
      <c r="V234" s="30">
        <f t="shared" si="73"/>
        <v>0</v>
      </c>
      <c r="W234" s="30">
        <f t="shared" si="63"/>
        <v>0</v>
      </c>
      <c r="X234" s="30">
        <f t="shared" si="74"/>
        <v>0</v>
      </c>
      <c r="Y234">
        <f t="shared" si="75"/>
        <v>0</v>
      </c>
    </row>
    <row r="235" spans="1:25" hidden="1" x14ac:dyDescent="0.25">
      <c r="A235" s="4" t="s">
        <v>25</v>
      </c>
      <c r="B235" s="7" t="s">
        <v>62</v>
      </c>
      <c r="C235" s="2" t="s">
        <v>1111</v>
      </c>
      <c r="D235">
        <f>VLOOKUP(B235,'Model allocations'!$A$1:$L$319,4,FALSE)</f>
        <v>1464602.5931762252</v>
      </c>
      <c r="E235" s="32">
        <f>VLOOKUP(B235,'Initial adjusted formula count'!$A$1:$P$319,12,FALSE)</f>
        <v>8.5160606529718103E-2</v>
      </c>
      <c r="F235">
        <f>VLOOKUP(B235,'Model allocations'!$A$1:$L$319,9,FALSE)</f>
        <v>1226154.4148501807</v>
      </c>
      <c r="G235" s="31">
        <f t="shared" si="64"/>
        <v>0.85</v>
      </c>
      <c r="H235">
        <f t="shared" si="65"/>
        <v>1244912.2041997914</v>
      </c>
      <c r="I235">
        <f t="shared" si="57"/>
        <v>1244912.2041997914</v>
      </c>
      <c r="J235">
        <f t="shared" si="58"/>
        <v>0</v>
      </c>
      <c r="K235">
        <f t="shared" si="59"/>
        <v>0</v>
      </c>
      <c r="L235">
        <f t="shared" si="66"/>
        <v>1244912.2041997914</v>
      </c>
      <c r="M235">
        <f t="shared" si="60"/>
        <v>0</v>
      </c>
      <c r="N235" s="30">
        <f t="shared" si="67"/>
        <v>0</v>
      </c>
      <c r="O235" s="30">
        <f t="shared" si="61"/>
        <v>0</v>
      </c>
      <c r="P235" s="30">
        <f t="shared" si="68"/>
        <v>1244912.2041997914</v>
      </c>
      <c r="Q235">
        <f t="shared" si="69"/>
        <v>0</v>
      </c>
      <c r="R235" s="30">
        <f t="shared" si="70"/>
        <v>0</v>
      </c>
      <c r="S235" s="30">
        <f t="shared" si="62"/>
        <v>0</v>
      </c>
      <c r="T235" s="30">
        <f t="shared" si="71"/>
        <v>1244912.2041997914</v>
      </c>
      <c r="U235">
        <f t="shared" si="72"/>
        <v>0</v>
      </c>
      <c r="V235" s="30">
        <f t="shared" si="73"/>
        <v>0</v>
      </c>
      <c r="W235" s="30">
        <f t="shared" si="63"/>
        <v>0</v>
      </c>
      <c r="X235" s="30">
        <f t="shared" si="74"/>
        <v>1244912.2041997914</v>
      </c>
      <c r="Y235">
        <f t="shared" si="75"/>
        <v>0</v>
      </c>
    </row>
    <row r="236" spans="1:25" x14ac:dyDescent="0.25">
      <c r="A236" s="4" t="s">
        <v>1112</v>
      </c>
      <c r="B236" s="7" t="s">
        <v>304</v>
      </c>
      <c r="C236" s="2" t="s">
        <v>1113</v>
      </c>
      <c r="D236">
        <f>VLOOKUP(B236,'Model allocations'!$A$1:$L$319,4,FALSE)</f>
        <v>0</v>
      </c>
      <c r="E236" s="32">
        <f>VLOOKUP(B236,'Initial adjusted formula count'!$A$1:$P$319,12,FALSE)</f>
        <v>0.1206762534007</v>
      </c>
      <c r="F236">
        <f>VLOOKUP(B236,'Model allocations'!$A$1:$L$319,9,FALSE)</f>
        <v>0</v>
      </c>
      <c r="G236" s="31">
        <f t="shared" si="64"/>
        <v>0.85</v>
      </c>
      <c r="H236">
        <f t="shared" si="65"/>
        <v>0</v>
      </c>
      <c r="I236">
        <f t="shared" si="57"/>
        <v>0</v>
      </c>
      <c r="J236">
        <f t="shared" si="58"/>
        <v>0</v>
      </c>
      <c r="K236">
        <f t="shared" si="59"/>
        <v>0</v>
      </c>
      <c r="L236">
        <f t="shared" si="66"/>
        <v>0</v>
      </c>
      <c r="M236">
        <f t="shared" si="60"/>
        <v>0</v>
      </c>
      <c r="N236" s="30">
        <f t="shared" si="67"/>
        <v>0</v>
      </c>
      <c r="O236" s="30">
        <f t="shared" si="61"/>
        <v>0</v>
      </c>
      <c r="P236" s="30">
        <f t="shared" si="68"/>
        <v>0</v>
      </c>
      <c r="Q236">
        <f t="shared" si="69"/>
        <v>0</v>
      </c>
      <c r="R236" s="30">
        <f t="shared" si="70"/>
        <v>0</v>
      </c>
      <c r="S236" s="30">
        <f t="shared" si="62"/>
        <v>0</v>
      </c>
      <c r="T236" s="30">
        <f t="shared" si="71"/>
        <v>0</v>
      </c>
      <c r="U236">
        <f t="shared" si="72"/>
        <v>0</v>
      </c>
      <c r="V236" s="30">
        <f t="shared" si="73"/>
        <v>0</v>
      </c>
      <c r="W236" s="30">
        <f t="shared" si="63"/>
        <v>0</v>
      </c>
      <c r="X236" s="30">
        <f t="shared" si="74"/>
        <v>0</v>
      </c>
      <c r="Y236">
        <f t="shared" si="75"/>
        <v>0</v>
      </c>
    </row>
    <row r="237" spans="1:25" hidden="1" x14ac:dyDescent="0.25">
      <c r="A237" s="4" t="s">
        <v>1114</v>
      </c>
      <c r="B237" s="7" t="s">
        <v>578</v>
      </c>
      <c r="C237" s="2" t="s">
        <v>1115</v>
      </c>
      <c r="D237">
        <f>VLOOKUP(B237,'Model allocations'!$A$1:$L$319,4,FALSE)</f>
        <v>0</v>
      </c>
      <c r="E237" s="32">
        <f>VLOOKUP(B237,'Initial adjusted formula count'!$A$1:$P$319,12,FALSE)</f>
        <v>0.11419679195594901</v>
      </c>
      <c r="F237">
        <f>VLOOKUP(B237,'Model allocations'!$A$1:$L$319,9,FALSE)</f>
        <v>0</v>
      </c>
      <c r="G237" s="31">
        <f t="shared" si="64"/>
        <v>0.85</v>
      </c>
      <c r="H237">
        <f t="shared" si="65"/>
        <v>0</v>
      </c>
      <c r="I237">
        <f t="shared" si="57"/>
        <v>0</v>
      </c>
      <c r="J237">
        <f t="shared" si="58"/>
        <v>0</v>
      </c>
      <c r="K237">
        <f t="shared" si="59"/>
        <v>0</v>
      </c>
      <c r="L237">
        <f t="shared" si="66"/>
        <v>0</v>
      </c>
      <c r="M237">
        <f t="shared" si="60"/>
        <v>0</v>
      </c>
      <c r="N237" s="30">
        <f t="shared" si="67"/>
        <v>0</v>
      </c>
      <c r="O237" s="30">
        <f t="shared" si="61"/>
        <v>0</v>
      </c>
      <c r="P237" s="30">
        <f t="shared" si="68"/>
        <v>0</v>
      </c>
      <c r="Q237">
        <f t="shared" si="69"/>
        <v>0</v>
      </c>
      <c r="R237" s="30">
        <f t="shared" si="70"/>
        <v>0</v>
      </c>
      <c r="S237" s="30">
        <f t="shared" si="62"/>
        <v>0</v>
      </c>
      <c r="T237" s="30">
        <f t="shared" si="71"/>
        <v>0</v>
      </c>
      <c r="U237">
        <f t="shared" si="72"/>
        <v>0</v>
      </c>
      <c r="V237" s="30">
        <f t="shared" si="73"/>
        <v>0</v>
      </c>
      <c r="W237" s="30">
        <f t="shared" si="63"/>
        <v>0</v>
      </c>
      <c r="X237" s="30">
        <f t="shared" si="74"/>
        <v>0</v>
      </c>
      <c r="Y237">
        <f t="shared" si="75"/>
        <v>0</v>
      </c>
    </row>
    <row r="238" spans="1:25" hidden="1" x14ac:dyDescent="0.25">
      <c r="A238" s="4" t="s">
        <v>1116</v>
      </c>
      <c r="B238" s="7" t="s">
        <v>580</v>
      </c>
      <c r="C238" s="2" t="s">
        <v>1117</v>
      </c>
      <c r="D238">
        <f>VLOOKUP(B238,'Model allocations'!$A$1:$L$319,4,FALSE)</f>
        <v>16504.660720579297</v>
      </c>
      <c r="E238" s="32">
        <f>VLOOKUP(B238,'Initial adjusted formula count'!$A$1:$P$319,12,FALSE)</f>
        <v>0.27564102564102599</v>
      </c>
      <c r="F238">
        <f>VLOOKUP(B238,'Model allocations'!$A$1:$L$319,9,FALSE)</f>
        <v>19496.071116441606</v>
      </c>
      <c r="G238" s="31">
        <f t="shared" si="64"/>
        <v>0.9</v>
      </c>
      <c r="H238">
        <f t="shared" si="65"/>
        <v>14854.194648521368</v>
      </c>
      <c r="I238">
        <f t="shared" si="57"/>
        <v>0</v>
      </c>
      <c r="J238">
        <f t="shared" si="58"/>
        <v>19496.071116441606</v>
      </c>
      <c r="K238">
        <f t="shared" si="59"/>
        <v>19462.601074373568</v>
      </c>
      <c r="L238">
        <f t="shared" si="66"/>
        <v>19462.601074373568</v>
      </c>
      <c r="M238">
        <f t="shared" si="60"/>
        <v>0</v>
      </c>
      <c r="N238" s="30">
        <f t="shared" si="67"/>
        <v>19462.601074373568</v>
      </c>
      <c r="O238" s="30">
        <f t="shared" si="61"/>
        <v>19445.391114223625</v>
      </c>
      <c r="P238" s="30">
        <f t="shared" si="68"/>
        <v>19445.391114223625</v>
      </c>
      <c r="Q238">
        <f t="shared" si="69"/>
        <v>0</v>
      </c>
      <c r="R238" s="30">
        <f t="shared" si="70"/>
        <v>19445.391114223625</v>
      </c>
      <c r="S238" s="30">
        <f t="shared" si="62"/>
        <v>19445.391114223628</v>
      </c>
      <c r="T238" s="30">
        <f t="shared" si="71"/>
        <v>19445.391114223628</v>
      </c>
      <c r="U238">
        <f t="shared" si="72"/>
        <v>0</v>
      </c>
      <c r="V238" s="30">
        <f t="shared" si="73"/>
        <v>19445.391114223628</v>
      </c>
      <c r="W238" s="30">
        <f t="shared" si="63"/>
        <v>19445.391114223628</v>
      </c>
      <c r="X238" s="30">
        <f t="shared" si="74"/>
        <v>19445.391114223628</v>
      </c>
      <c r="Y238">
        <f t="shared" si="75"/>
        <v>0</v>
      </c>
    </row>
    <row r="239" spans="1:25" hidden="1" x14ac:dyDescent="0.25">
      <c r="A239" s="4" t="s">
        <v>1118</v>
      </c>
      <c r="B239" s="7" t="s">
        <v>582</v>
      </c>
      <c r="C239" s="2" t="s">
        <v>1119</v>
      </c>
      <c r="D239">
        <f>VLOOKUP(B239,'Model allocations'!$A$1:$L$319,4,FALSE)</f>
        <v>105587.5089688342</v>
      </c>
      <c r="E239" s="32">
        <f>VLOOKUP(B239,'Initial adjusted formula count'!$A$1:$P$319,12,FALSE)</f>
        <v>0.13420050761421301</v>
      </c>
      <c r="F239">
        <f>VLOOKUP(B239,'Model allocations'!$A$1:$L$319,9,FALSE)</f>
        <v>89749.382623509067</v>
      </c>
      <c r="G239" s="31">
        <f t="shared" si="64"/>
        <v>0.85</v>
      </c>
      <c r="H239">
        <f t="shared" si="65"/>
        <v>89749.382623509067</v>
      </c>
      <c r="I239">
        <f t="shared" si="57"/>
        <v>0</v>
      </c>
      <c r="J239">
        <f t="shared" si="58"/>
        <v>89749.382623509067</v>
      </c>
      <c r="K239">
        <f t="shared" si="59"/>
        <v>89595.30462522684</v>
      </c>
      <c r="L239">
        <f t="shared" si="66"/>
        <v>89595.30462522684</v>
      </c>
      <c r="M239">
        <f t="shared" si="60"/>
        <v>89749.382623509067</v>
      </c>
      <c r="N239" s="30">
        <f t="shared" si="67"/>
        <v>0</v>
      </c>
      <c r="O239" s="30">
        <f t="shared" si="61"/>
        <v>0</v>
      </c>
      <c r="P239" s="30">
        <f t="shared" si="68"/>
        <v>89749.382623509067</v>
      </c>
      <c r="Q239">
        <f t="shared" si="69"/>
        <v>0</v>
      </c>
      <c r="R239" s="30">
        <f t="shared" si="70"/>
        <v>0</v>
      </c>
      <c r="S239" s="30">
        <f t="shared" si="62"/>
        <v>0</v>
      </c>
      <c r="T239" s="30">
        <f t="shared" si="71"/>
        <v>89749.382623509067</v>
      </c>
      <c r="U239">
        <f t="shared" si="72"/>
        <v>0</v>
      </c>
      <c r="V239" s="30">
        <f t="shared" si="73"/>
        <v>0</v>
      </c>
      <c r="W239" s="30">
        <f t="shared" si="63"/>
        <v>0</v>
      </c>
      <c r="X239" s="30">
        <f t="shared" si="74"/>
        <v>89749.382623509067</v>
      </c>
      <c r="Y239">
        <f t="shared" si="75"/>
        <v>0</v>
      </c>
    </row>
    <row r="240" spans="1:25" x14ac:dyDescent="0.25">
      <c r="A240" s="4" t="s">
        <v>1120</v>
      </c>
      <c r="B240" s="7" t="s">
        <v>213</v>
      </c>
      <c r="C240" s="2" t="s">
        <v>1121</v>
      </c>
      <c r="D240">
        <f>VLOOKUP(B240,'Model allocations'!$A$1:$L$319,4,FALSE)</f>
        <v>0</v>
      </c>
      <c r="E240" s="32">
        <f>VLOOKUP(B240,'Initial adjusted formula count'!$A$1:$P$319,12,FALSE)</f>
        <v>4.5454545454545497E-2</v>
      </c>
      <c r="F240">
        <f>VLOOKUP(B240,'Model allocations'!$A$1:$L$319,9,FALSE)</f>
        <v>0</v>
      </c>
      <c r="G240" s="31">
        <f t="shared" si="64"/>
        <v>0.85</v>
      </c>
      <c r="H240">
        <f t="shared" si="65"/>
        <v>0</v>
      </c>
      <c r="I240">
        <f t="shared" si="57"/>
        <v>0</v>
      </c>
      <c r="J240">
        <f t="shared" si="58"/>
        <v>0</v>
      </c>
      <c r="K240">
        <f t="shared" si="59"/>
        <v>0</v>
      </c>
      <c r="L240">
        <f t="shared" si="66"/>
        <v>0</v>
      </c>
      <c r="M240">
        <f t="shared" si="60"/>
        <v>0</v>
      </c>
      <c r="N240" s="30">
        <f t="shared" si="67"/>
        <v>0</v>
      </c>
      <c r="O240" s="30">
        <f t="shared" si="61"/>
        <v>0</v>
      </c>
      <c r="P240" s="30">
        <f t="shared" si="68"/>
        <v>0</v>
      </c>
      <c r="Q240">
        <f t="shared" si="69"/>
        <v>0</v>
      </c>
      <c r="R240" s="30">
        <f t="shared" si="70"/>
        <v>0</v>
      </c>
      <c r="S240" s="30">
        <f t="shared" si="62"/>
        <v>0</v>
      </c>
      <c r="T240" s="30">
        <f t="shared" si="71"/>
        <v>0</v>
      </c>
      <c r="U240">
        <f t="shared" si="72"/>
        <v>0</v>
      </c>
      <c r="V240" s="30">
        <f t="shared" si="73"/>
        <v>0</v>
      </c>
      <c r="W240" s="30">
        <f t="shared" si="63"/>
        <v>0</v>
      </c>
      <c r="X240" s="30">
        <f t="shared" si="74"/>
        <v>0</v>
      </c>
      <c r="Y240">
        <f t="shared" si="75"/>
        <v>0</v>
      </c>
    </row>
    <row r="241" spans="1:25" hidden="1" x14ac:dyDescent="0.25">
      <c r="A241" s="4" t="s">
        <v>1122</v>
      </c>
      <c r="B241" s="7" t="s">
        <v>584</v>
      </c>
      <c r="C241" s="2" t="s">
        <v>1123</v>
      </c>
      <c r="D241">
        <f>VLOOKUP(B241,'Model allocations'!$A$1:$L$319,4,FALSE)</f>
        <v>178947.86266717769</v>
      </c>
      <c r="E241" s="32">
        <f>VLOOKUP(B241,'Initial adjusted formula count'!$A$1:$P$319,12,FALSE)</f>
        <v>0.168850072780204</v>
      </c>
      <c r="F241">
        <f>VLOOKUP(B241,'Model allocations'!$A$1:$L$319,9,FALSE)</f>
        <v>161053.07640045992</v>
      </c>
      <c r="G241" s="31">
        <f t="shared" si="64"/>
        <v>0.9</v>
      </c>
      <c r="H241">
        <f t="shared" si="65"/>
        <v>161053.07640045992</v>
      </c>
      <c r="I241">
        <f t="shared" si="57"/>
        <v>0</v>
      </c>
      <c r="J241">
        <f t="shared" si="58"/>
        <v>161053.07640045992</v>
      </c>
      <c r="K241">
        <f t="shared" si="59"/>
        <v>160776.58719347481</v>
      </c>
      <c r="L241">
        <f t="shared" si="66"/>
        <v>160776.58719347481</v>
      </c>
      <c r="M241">
        <f t="shared" si="60"/>
        <v>161053.07640045992</v>
      </c>
      <c r="N241" s="30">
        <f t="shared" si="67"/>
        <v>0</v>
      </c>
      <c r="O241" s="30">
        <f t="shared" si="61"/>
        <v>0</v>
      </c>
      <c r="P241" s="30">
        <f t="shared" si="68"/>
        <v>161053.07640045992</v>
      </c>
      <c r="Q241">
        <f t="shared" si="69"/>
        <v>0</v>
      </c>
      <c r="R241" s="30">
        <f t="shared" si="70"/>
        <v>0</v>
      </c>
      <c r="S241" s="30">
        <f t="shared" si="62"/>
        <v>0</v>
      </c>
      <c r="T241" s="30">
        <f t="shared" si="71"/>
        <v>161053.07640045992</v>
      </c>
      <c r="U241">
        <f t="shared" si="72"/>
        <v>0</v>
      </c>
      <c r="V241" s="30">
        <f t="shared" si="73"/>
        <v>0</v>
      </c>
      <c r="W241" s="30">
        <f t="shared" si="63"/>
        <v>0</v>
      </c>
      <c r="X241" s="30">
        <f t="shared" si="74"/>
        <v>161053.07640045992</v>
      </c>
      <c r="Y241">
        <f t="shared" si="75"/>
        <v>0</v>
      </c>
    </row>
    <row r="242" spans="1:25" x14ac:dyDescent="0.25">
      <c r="A242" s="4" t="s">
        <v>1124</v>
      </c>
      <c r="B242" s="7" t="s">
        <v>215</v>
      </c>
      <c r="C242" s="2" t="s">
        <v>1125</v>
      </c>
      <c r="D242">
        <f>VLOOKUP(B242,'Model allocations'!$A$1:$L$319,4,FALSE)</f>
        <v>0</v>
      </c>
      <c r="E242" s="32">
        <f>VLOOKUP(B242,'Initial adjusted formula count'!$A$1:$P$319,12,FALSE)</f>
        <v>5.9815802229762502E-2</v>
      </c>
      <c r="F242">
        <f>VLOOKUP(B242,'Model allocations'!$A$1:$L$319,9,FALSE)</f>
        <v>0</v>
      </c>
      <c r="G242" s="31">
        <f t="shared" si="64"/>
        <v>0.85</v>
      </c>
      <c r="H242">
        <f t="shared" si="65"/>
        <v>0</v>
      </c>
      <c r="I242">
        <f t="shared" si="57"/>
        <v>0</v>
      </c>
      <c r="J242">
        <f t="shared" si="58"/>
        <v>0</v>
      </c>
      <c r="K242">
        <f t="shared" si="59"/>
        <v>0</v>
      </c>
      <c r="L242">
        <f t="shared" si="66"/>
        <v>0</v>
      </c>
      <c r="M242">
        <f t="shared" si="60"/>
        <v>0</v>
      </c>
      <c r="N242" s="30">
        <f t="shared" si="67"/>
        <v>0</v>
      </c>
      <c r="O242" s="30">
        <f t="shared" si="61"/>
        <v>0</v>
      </c>
      <c r="P242" s="30">
        <f t="shared" si="68"/>
        <v>0</v>
      </c>
      <c r="Q242">
        <f t="shared" si="69"/>
        <v>0</v>
      </c>
      <c r="R242" s="30">
        <f t="shared" si="70"/>
        <v>0</v>
      </c>
      <c r="S242" s="30">
        <f t="shared" si="62"/>
        <v>0</v>
      </c>
      <c r="T242" s="30">
        <f t="shared" si="71"/>
        <v>0</v>
      </c>
      <c r="U242">
        <f t="shared" si="72"/>
        <v>0</v>
      </c>
      <c r="V242" s="30">
        <f t="shared" si="73"/>
        <v>0</v>
      </c>
      <c r="W242" s="30">
        <f t="shared" si="63"/>
        <v>0</v>
      </c>
      <c r="X242" s="30">
        <f t="shared" si="74"/>
        <v>0</v>
      </c>
      <c r="Y242">
        <f t="shared" si="75"/>
        <v>0</v>
      </c>
    </row>
    <row r="243" spans="1:25" x14ac:dyDescent="0.25">
      <c r="A243" s="4" t="s">
        <v>1126</v>
      </c>
      <c r="B243" s="7" t="s">
        <v>306</v>
      </c>
      <c r="C243" s="2" t="s">
        <v>1127</v>
      </c>
      <c r="D243">
        <f>VLOOKUP(B243,'Model allocations'!$A$1:$L$319,4,FALSE)</f>
        <v>0</v>
      </c>
      <c r="E243" s="32">
        <f>VLOOKUP(B243,'Initial adjusted formula count'!$A$1:$P$319,12,FALSE)</f>
        <v>0.102362204724409</v>
      </c>
      <c r="F243">
        <f>VLOOKUP(B243,'Model allocations'!$A$1:$L$319,9,FALSE)</f>
        <v>0</v>
      </c>
      <c r="G243" s="31">
        <f t="shared" si="64"/>
        <v>0.85</v>
      </c>
      <c r="H243">
        <f t="shared" si="65"/>
        <v>0</v>
      </c>
      <c r="I243">
        <f t="shared" si="57"/>
        <v>0</v>
      </c>
      <c r="J243">
        <f t="shared" si="58"/>
        <v>0</v>
      </c>
      <c r="K243">
        <f t="shared" si="59"/>
        <v>0</v>
      </c>
      <c r="L243">
        <f t="shared" si="66"/>
        <v>0</v>
      </c>
      <c r="M243">
        <f t="shared" si="60"/>
        <v>0</v>
      </c>
      <c r="N243" s="30">
        <f t="shared" si="67"/>
        <v>0</v>
      </c>
      <c r="O243" s="30">
        <f t="shared" si="61"/>
        <v>0</v>
      </c>
      <c r="P243" s="30">
        <f t="shared" si="68"/>
        <v>0</v>
      </c>
      <c r="Q243">
        <f t="shared" si="69"/>
        <v>0</v>
      </c>
      <c r="R243" s="30">
        <f t="shared" si="70"/>
        <v>0</v>
      </c>
      <c r="S243" s="30">
        <f t="shared" si="62"/>
        <v>0</v>
      </c>
      <c r="T243" s="30">
        <f t="shared" si="71"/>
        <v>0</v>
      </c>
      <c r="U243">
        <f t="shared" si="72"/>
        <v>0</v>
      </c>
      <c r="V243" s="30">
        <f t="shared" si="73"/>
        <v>0</v>
      </c>
      <c r="W243" s="30">
        <f t="shared" si="63"/>
        <v>0</v>
      </c>
      <c r="X243" s="30">
        <f t="shared" si="74"/>
        <v>0</v>
      </c>
      <c r="Y243">
        <f t="shared" si="75"/>
        <v>0</v>
      </c>
    </row>
    <row r="244" spans="1:25" x14ac:dyDescent="0.25">
      <c r="A244" s="4" t="s">
        <v>1128</v>
      </c>
      <c r="B244" s="7" t="s">
        <v>217</v>
      </c>
      <c r="C244" s="2" t="s">
        <v>1129</v>
      </c>
      <c r="D244">
        <f>VLOOKUP(B244,'Model allocations'!$A$1:$L$319,4,FALSE)</f>
        <v>0</v>
      </c>
      <c r="E244" s="32">
        <f>VLOOKUP(B244,'Initial adjusted formula count'!$A$1:$P$319,12,FALSE)</f>
        <v>8.8235294117647106E-2</v>
      </c>
      <c r="F244">
        <f>VLOOKUP(B244,'Model allocations'!$A$1:$L$319,9,FALSE)</f>
        <v>0</v>
      </c>
      <c r="G244" s="31">
        <f t="shared" si="64"/>
        <v>0.85</v>
      </c>
      <c r="H244">
        <f t="shared" si="65"/>
        <v>0</v>
      </c>
      <c r="I244">
        <f t="shared" si="57"/>
        <v>0</v>
      </c>
      <c r="J244">
        <f t="shared" si="58"/>
        <v>0</v>
      </c>
      <c r="K244">
        <f t="shared" si="59"/>
        <v>0</v>
      </c>
      <c r="L244">
        <f t="shared" si="66"/>
        <v>0</v>
      </c>
      <c r="M244">
        <f t="shared" si="60"/>
        <v>0</v>
      </c>
      <c r="N244" s="30">
        <f t="shared" si="67"/>
        <v>0</v>
      </c>
      <c r="O244" s="30">
        <f t="shared" si="61"/>
        <v>0</v>
      </c>
      <c r="P244" s="30">
        <f t="shared" si="68"/>
        <v>0</v>
      </c>
      <c r="Q244">
        <f t="shared" si="69"/>
        <v>0</v>
      </c>
      <c r="R244" s="30">
        <f t="shared" si="70"/>
        <v>0</v>
      </c>
      <c r="S244" s="30">
        <f t="shared" si="62"/>
        <v>0</v>
      </c>
      <c r="T244" s="30">
        <f t="shared" si="71"/>
        <v>0</v>
      </c>
      <c r="U244">
        <f t="shared" si="72"/>
        <v>0</v>
      </c>
      <c r="V244" s="30">
        <f t="shared" si="73"/>
        <v>0</v>
      </c>
      <c r="W244" s="30">
        <f t="shared" si="63"/>
        <v>0</v>
      </c>
      <c r="X244" s="30">
        <f t="shared" si="74"/>
        <v>0</v>
      </c>
      <c r="Y244">
        <f t="shared" si="75"/>
        <v>0</v>
      </c>
    </row>
    <row r="245" spans="1:25" x14ac:dyDescent="0.25">
      <c r="A245" s="4" t="s">
        <v>1130</v>
      </c>
      <c r="B245" s="7" t="s">
        <v>219</v>
      </c>
      <c r="C245" s="2" t="s">
        <v>1131</v>
      </c>
      <c r="D245">
        <f>VLOOKUP(B245,'Model allocations'!$A$1:$L$319,4,FALSE)</f>
        <v>0</v>
      </c>
      <c r="E245" s="32">
        <f>VLOOKUP(B245,'Initial adjusted formula count'!$A$1:$P$319,12,FALSE)</f>
        <v>5.2548067948478598E-2</v>
      </c>
      <c r="F245">
        <f>VLOOKUP(B245,'Model allocations'!$A$1:$L$319,9,FALSE)</f>
        <v>0</v>
      </c>
      <c r="G245" s="31">
        <f t="shared" si="64"/>
        <v>0.85</v>
      </c>
      <c r="H245">
        <f t="shared" si="65"/>
        <v>0</v>
      </c>
      <c r="I245">
        <f t="shared" si="57"/>
        <v>0</v>
      </c>
      <c r="J245">
        <f t="shared" si="58"/>
        <v>0</v>
      </c>
      <c r="K245">
        <f t="shared" si="59"/>
        <v>0</v>
      </c>
      <c r="L245">
        <f t="shared" si="66"/>
        <v>0</v>
      </c>
      <c r="M245">
        <f t="shared" si="60"/>
        <v>0</v>
      </c>
      <c r="N245" s="30">
        <f t="shared" si="67"/>
        <v>0</v>
      </c>
      <c r="O245" s="30">
        <f t="shared" si="61"/>
        <v>0</v>
      </c>
      <c r="P245" s="30">
        <f t="shared" si="68"/>
        <v>0</v>
      </c>
      <c r="Q245">
        <f t="shared" si="69"/>
        <v>0</v>
      </c>
      <c r="R245" s="30">
        <f t="shared" si="70"/>
        <v>0</v>
      </c>
      <c r="S245" s="30">
        <f t="shared" si="62"/>
        <v>0</v>
      </c>
      <c r="T245" s="30">
        <f t="shared" si="71"/>
        <v>0</v>
      </c>
      <c r="U245">
        <f t="shared" si="72"/>
        <v>0</v>
      </c>
      <c r="V245" s="30">
        <f t="shared" si="73"/>
        <v>0</v>
      </c>
      <c r="W245" s="30">
        <f t="shared" si="63"/>
        <v>0</v>
      </c>
      <c r="X245" s="30">
        <f t="shared" si="74"/>
        <v>0</v>
      </c>
      <c r="Y245">
        <f t="shared" si="75"/>
        <v>0</v>
      </c>
    </row>
    <row r="246" spans="1:25" x14ac:dyDescent="0.25">
      <c r="A246" s="8" t="s">
        <v>1132</v>
      </c>
      <c r="B246" s="7" t="s">
        <v>221</v>
      </c>
      <c r="C246" s="2" t="s">
        <v>1133</v>
      </c>
      <c r="D246">
        <f>VLOOKUP(B246,'Model allocations'!$A$1:$L$319,4,FALSE)</f>
        <v>0</v>
      </c>
      <c r="E246" s="32">
        <f>VLOOKUP(B246,'Initial adjusted formula count'!$A$1:$P$319,12,FALSE)</f>
        <v>3.5677352637021702E-2</v>
      </c>
      <c r="F246">
        <f>VLOOKUP(B246,'Model allocations'!$A$1:$L$319,9,FALSE)</f>
        <v>0</v>
      </c>
      <c r="G246" s="31">
        <f t="shared" si="64"/>
        <v>0.85</v>
      </c>
      <c r="H246">
        <f t="shared" si="65"/>
        <v>0</v>
      </c>
      <c r="I246">
        <f t="shared" si="57"/>
        <v>0</v>
      </c>
      <c r="J246">
        <f t="shared" si="58"/>
        <v>0</v>
      </c>
      <c r="K246">
        <f t="shared" si="59"/>
        <v>0</v>
      </c>
      <c r="L246">
        <f t="shared" si="66"/>
        <v>0</v>
      </c>
      <c r="M246">
        <f t="shared" si="60"/>
        <v>0</v>
      </c>
      <c r="N246" s="30">
        <f t="shared" si="67"/>
        <v>0</v>
      </c>
      <c r="O246" s="30">
        <f t="shared" si="61"/>
        <v>0</v>
      </c>
      <c r="P246" s="30">
        <f t="shared" si="68"/>
        <v>0</v>
      </c>
      <c r="Q246">
        <f t="shared" si="69"/>
        <v>0</v>
      </c>
      <c r="R246" s="30">
        <f t="shared" si="70"/>
        <v>0</v>
      </c>
      <c r="S246" s="30">
        <f t="shared" si="62"/>
        <v>0</v>
      </c>
      <c r="T246" s="30">
        <f t="shared" si="71"/>
        <v>0</v>
      </c>
      <c r="U246">
        <f t="shared" si="72"/>
        <v>0</v>
      </c>
      <c r="V246" s="30">
        <f t="shared" si="73"/>
        <v>0</v>
      </c>
      <c r="W246" s="30">
        <f t="shared" si="63"/>
        <v>0</v>
      </c>
      <c r="X246" s="30">
        <f t="shared" si="74"/>
        <v>0</v>
      </c>
      <c r="Y246">
        <f t="shared" si="75"/>
        <v>0</v>
      </c>
    </row>
    <row r="247" spans="1:25" hidden="1" x14ac:dyDescent="0.25">
      <c r="A247" s="4" t="s">
        <v>1134</v>
      </c>
      <c r="B247" s="7" t="s">
        <v>586</v>
      </c>
      <c r="C247" s="2" t="s">
        <v>1135</v>
      </c>
      <c r="D247">
        <f>VLOOKUP(B247,'Model allocations'!$A$1:$L$319,4,FALSE)</f>
        <v>30444.439267460748</v>
      </c>
      <c r="E247" s="32">
        <f>VLOOKUP(B247,'Initial adjusted formula count'!$A$1:$P$319,12,FALSE)</f>
        <v>0.25944170771757002</v>
      </c>
      <c r="F247">
        <f>VLOOKUP(B247,'Model allocations'!$A$1:$L$319,9,FALSE)</f>
        <v>35818.363213927616</v>
      </c>
      <c r="G247" s="31">
        <f t="shared" si="64"/>
        <v>0.9</v>
      </c>
      <c r="H247">
        <f t="shared" si="65"/>
        <v>27399.995340714675</v>
      </c>
      <c r="I247">
        <f t="shared" si="57"/>
        <v>0</v>
      </c>
      <c r="J247">
        <f t="shared" si="58"/>
        <v>35818.363213927616</v>
      </c>
      <c r="K247">
        <f t="shared" si="59"/>
        <v>35756.87174129099</v>
      </c>
      <c r="L247">
        <f t="shared" si="66"/>
        <v>35756.87174129099</v>
      </c>
      <c r="M247">
        <f t="shared" si="60"/>
        <v>0</v>
      </c>
      <c r="N247" s="30">
        <f t="shared" si="67"/>
        <v>35756.87174129099</v>
      </c>
      <c r="O247" s="30">
        <f t="shared" si="61"/>
        <v>35725.25344241086</v>
      </c>
      <c r="P247" s="30">
        <f t="shared" si="68"/>
        <v>35725.25344241086</v>
      </c>
      <c r="Q247">
        <f t="shared" si="69"/>
        <v>0</v>
      </c>
      <c r="R247" s="30">
        <f t="shared" si="70"/>
        <v>35725.25344241086</v>
      </c>
      <c r="S247" s="30">
        <f t="shared" si="62"/>
        <v>35725.253442410867</v>
      </c>
      <c r="T247" s="30">
        <f t="shared" si="71"/>
        <v>35725.253442410867</v>
      </c>
      <c r="U247">
        <f t="shared" si="72"/>
        <v>0</v>
      </c>
      <c r="V247" s="30">
        <f t="shared" si="73"/>
        <v>35725.253442410867</v>
      </c>
      <c r="W247" s="30">
        <f t="shared" si="63"/>
        <v>35725.253442410867</v>
      </c>
      <c r="X247" s="30">
        <f t="shared" si="74"/>
        <v>35725.253442410867</v>
      </c>
      <c r="Y247">
        <f t="shared" si="75"/>
        <v>0</v>
      </c>
    </row>
    <row r="248" spans="1:25" hidden="1" x14ac:dyDescent="0.25">
      <c r="A248" s="4" t="s">
        <v>1136</v>
      </c>
      <c r="B248" s="7" t="s">
        <v>588</v>
      </c>
      <c r="C248" s="2" t="s">
        <v>1137</v>
      </c>
      <c r="D248">
        <f>VLOOKUP(B248,'Model allocations'!$A$1:$L$319,4,FALSE)</f>
        <v>17351.053578044906</v>
      </c>
      <c r="E248" s="32">
        <f>VLOOKUP(B248,'Initial adjusted formula count'!$A$1:$P$319,12,FALSE)</f>
        <v>0.25</v>
      </c>
      <c r="F248">
        <f>VLOOKUP(B248,'Model allocations'!$A$1:$L$319,9,FALSE)</f>
        <v>21763.056129981334</v>
      </c>
      <c r="G248" s="31">
        <f t="shared" si="64"/>
        <v>0.9</v>
      </c>
      <c r="H248">
        <f t="shared" si="65"/>
        <v>15615.948220240416</v>
      </c>
      <c r="I248">
        <f t="shared" si="57"/>
        <v>0</v>
      </c>
      <c r="J248">
        <f t="shared" si="58"/>
        <v>21763.056129981334</v>
      </c>
      <c r="K248">
        <f t="shared" si="59"/>
        <v>21725.694222556551</v>
      </c>
      <c r="L248">
        <f t="shared" si="66"/>
        <v>21725.694222556551</v>
      </c>
      <c r="M248">
        <f t="shared" si="60"/>
        <v>0</v>
      </c>
      <c r="N248" s="30">
        <f t="shared" si="67"/>
        <v>21725.694222556551</v>
      </c>
      <c r="O248" s="30">
        <f t="shared" si="61"/>
        <v>21706.483104249637</v>
      </c>
      <c r="P248" s="30">
        <f t="shared" si="68"/>
        <v>21706.483104249637</v>
      </c>
      <c r="Q248">
        <f t="shared" si="69"/>
        <v>0</v>
      </c>
      <c r="R248" s="30">
        <f t="shared" si="70"/>
        <v>21706.483104249637</v>
      </c>
      <c r="S248" s="30">
        <f t="shared" si="62"/>
        <v>21706.483104249644</v>
      </c>
      <c r="T248" s="30">
        <f t="shared" si="71"/>
        <v>21706.483104249644</v>
      </c>
      <c r="U248">
        <f t="shared" si="72"/>
        <v>0</v>
      </c>
      <c r="V248" s="30">
        <f t="shared" si="73"/>
        <v>21706.483104249644</v>
      </c>
      <c r="W248" s="30">
        <f t="shared" si="63"/>
        <v>21706.483104249644</v>
      </c>
      <c r="X248" s="30">
        <f t="shared" si="74"/>
        <v>21706.483104249644</v>
      </c>
      <c r="Y248">
        <f t="shared" si="75"/>
        <v>0</v>
      </c>
    </row>
    <row r="249" spans="1:25" x14ac:dyDescent="0.25">
      <c r="A249" s="4" t="s">
        <v>1138</v>
      </c>
      <c r="B249" s="7" t="s">
        <v>223</v>
      </c>
      <c r="C249" s="2" t="s">
        <v>1139</v>
      </c>
      <c r="D249">
        <f>VLOOKUP(B249,'Model allocations'!$A$1:$L$319,4,FALSE)</f>
        <v>0</v>
      </c>
      <c r="E249" s="32">
        <f>VLOOKUP(B249,'Initial adjusted formula count'!$A$1:$P$319,12,FALSE)</f>
        <v>9.9468814256339994E-2</v>
      </c>
      <c r="F249">
        <f>VLOOKUP(B249,'Model allocations'!$A$1:$L$319,9,FALSE)</f>
        <v>0</v>
      </c>
      <c r="G249" s="31">
        <f t="shared" si="64"/>
        <v>0.85</v>
      </c>
      <c r="H249">
        <f t="shared" si="65"/>
        <v>0</v>
      </c>
      <c r="I249">
        <f t="shared" si="57"/>
        <v>0</v>
      </c>
      <c r="J249">
        <f t="shared" si="58"/>
        <v>0</v>
      </c>
      <c r="K249">
        <f t="shared" si="59"/>
        <v>0</v>
      </c>
      <c r="L249">
        <f t="shared" si="66"/>
        <v>0</v>
      </c>
      <c r="M249">
        <f t="shared" si="60"/>
        <v>0</v>
      </c>
      <c r="N249" s="30">
        <f t="shared" si="67"/>
        <v>0</v>
      </c>
      <c r="O249" s="30">
        <f t="shared" si="61"/>
        <v>0</v>
      </c>
      <c r="P249" s="30">
        <f t="shared" si="68"/>
        <v>0</v>
      </c>
      <c r="Q249">
        <f t="shared" si="69"/>
        <v>0</v>
      </c>
      <c r="R249" s="30">
        <f t="shared" si="70"/>
        <v>0</v>
      </c>
      <c r="S249" s="30">
        <f t="shared" si="62"/>
        <v>0</v>
      </c>
      <c r="T249" s="30">
        <f t="shared" si="71"/>
        <v>0</v>
      </c>
      <c r="U249">
        <f t="shared" si="72"/>
        <v>0</v>
      </c>
      <c r="V249" s="30">
        <f t="shared" si="73"/>
        <v>0</v>
      </c>
      <c r="W249" s="30">
        <f t="shared" si="63"/>
        <v>0</v>
      </c>
      <c r="X249" s="30">
        <f t="shared" si="74"/>
        <v>0</v>
      </c>
      <c r="Y249">
        <f t="shared" si="75"/>
        <v>0</v>
      </c>
    </row>
    <row r="250" spans="1:25" x14ac:dyDescent="0.25">
      <c r="A250" s="4" t="s">
        <v>1140</v>
      </c>
      <c r="B250" s="7" t="s">
        <v>225</v>
      </c>
      <c r="C250" s="2" t="s">
        <v>1141</v>
      </c>
      <c r="D250">
        <f>VLOOKUP(B250,'Model allocations'!$A$1:$L$319,4,FALSE)</f>
        <v>0</v>
      </c>
      <c r="E250" s="32">
        <f>VLOOKUP(B250,'Initial adjusted formula count'!$A$1:$P$319,12,FALSE)</f>
        <v>7.1143995446784306E-2</v>
      </c>
      <c r="F250">
        <f>VLOOKUP(B250,'Model allocations'!$A$1:$L$319,9,FALSE)</f>
        <v>0</v>
      </c>
      <c r="G250" s="31">
        <f t="shared" si="64"/>
        <v>0.85</v>
      </c>
      <c r="H250">
        <f t="shared" si="65"/>
        <v>0</v>
      </c>
      <c r="I250">
        <f t="shared" si="57"/>
        <v>0</v>
      </c>
      <c r="J250">
        <f t="shared" si="58"/>
        <v>0</v>
      </c>
      <c r="K250">
        <f t="shared" si="59"/>
        <v>0</v>
      </c>
      <c r="L250">
        <f t="shared" si="66"/>
        <v>0</v>
      </c>
      <c r="M250">
        <f t="shared" si="60"/>
        <v>0</v>
      </c>
      <c r="N250" s="30">
        <f t="shared" si="67"/>
        <v>0</v>
      </c>
      <c r="O250" s="30">
        <f t="shared" si="61"/>
        <v>0</v>
      </c>
      <c r="P250" s="30">
        <f t="shared" si="68"/>
        <v>0</v>
      </c>
      <c r="Q250">
        <f t="shared" si="69"/>
        <v>0</v>
      </c>
      <c r="R250" s="30">
        <f t="shared" si="70"/>
        <v>0</v>
      </c>
      <c r="S250" s="30">
        <f t="shared" si="62"/>
        <v>0</v>
      </c>
      <c r="T250" s="30">
        <f t="shared" si="71"/>
        <v>0</v>
      </c>
      <c r="U250">
        <f t="shared" si="72"/>
        <v>0</v>
      </c>
      <c r="V250" s="30">
        <f t="shared" si="73"/>
        <v>0</v>
      </c>
      <c r="W250" s="30">
        <f t="shared" si="63"/>
        <v>0</v>
      </c>
      <c r="X250" s="30">
        <f t="shared" si="74"/>
        <v>0</v>
      </c>
      <c r="Y250">
        <f t="shared" si="75"/>
        <v>0</v>
      </c>
    </row>
    <row r="251" spans="1:25" hidden="1" x14ac:dyDescent="0.25">
      <c r="A251" s="4" t="s">
        <v>1142</v>
      </c>
      <c r="B251" s="7" t="s">
        <v>590</v>
      </c>
      <c r="C251" s="2" t="s">
        <v>1143</v>
      </c>
      <c r="D251">
        <f>VLOOKUP(B251,'Model allocations'!$A$1:$L$319,4,FALSE)</f>
        <v>11780.776460363866</v>
      </c>
      <c r="E251" s="32">
        <f>VLOOKUP(B251,'Initial adjusted formula count'!$A$1:$P$319,12,FALSE)</f>
        <v>0.16477272727272699</v>
      </c>
      <c r="F251">
        <f>VLOOKUP(B251,'Model allocations'!$A$1:$L$319,9,FALSE)</f>
        <v>13148.513078530386</v>
      </c>
      <c r="G251" s="31">
        <f t="shared" si="64"/>
        <v>0.9</v>
      </c>
      <c r="H251">
        <f t="shared" si="65"/>
        <v>10602.698814327479</v>
      </c>
      <c r="I251">
        <f t="shared" si="57"/>
        <v>0</v>
      </c>
      <c r="J251">
        <f t="shared" si="58"/>
        <v>13148.513078530386</v>
      </c>
      <c r="K251">
        <f t="shared" si="59"/>
        <v>13125.940259461246</v>
      </c>
      <c r="L251">
        <f t="shared" si="66"/>
        <v>13125.940259461246</v>
      </c>
      <c r="M251">
        <f t="shared" si="60"/>
        <v>0</v>
      </c>
      <c r="N251" s="30">
        <f t="shared" si="67"/>
        <v>13125.940259461246</v>
      </c>
      <c r="O251" s="30">
        <f t="shared" si="61"/>
        <v>13114.333542150818</v>
      </c>
      <c r="P251" s="30">
        <f t="shared" si="68"/>
        <v>13114.333542150818</v>
      </c>
      <c r="Q251">
        <f t="shared" si="69"/>
        <v>0</v>
      </c>
      <c r="R251" s="30">
        <f t="shared" si="70"/>
        <v>13114.333542150818</v>
      </c>
      <c r="S251" s="30">
        <f t="shared" si="62"/>
        <v>13114.33354215082</v>
      </c>
      <c r="T251" s="30">
        <f t="shared" si="71"/>
        <v>13114.33354215082</v>
      </c>
      <c r="U251">
        <f t="shared" si="72"/>
        <v>0</v>
      </c>
      <c r="V251" s="30">
        <f t="shared" si="73"/>
        <v>13114.33354215082</v>
      </c>
      <c r="W251" s="30">
        <f t="shared" si="63"/>
        <v>13114.33354215082</v>
      </c>
      <c r="X251" s="30">
        <f t="shared" si="74"/>
        <v>13114.33354215082</v>
      </c>
      <c r="Y251">
        <f t="shared" si="75"/>
        <v>0</v>
      </c>
    </row>
    <row r="252" spans="1:25" hidden="1" x14ac:dyDescent="0.25">
      <c r="A252" s="4" t="s">
        <v>33</v>
      </c>
      <c r="B252" s="7" t="s">
        <v>64</v>
      </c>
      <c r="C252" s="2" t="s">
        <v>1144</v>
      </c>
      <c r="D252">
        <f>VLOOKUP(B252,'Model allocations'!$A$1:$L$319,4,FALSE)</f>
        <v>1156796.157699259</v>
      </c>
      <c r="E252" s="32">
        <f>VLOOKUP(B252,'Initial adjusted formula count'!$A$1:$P$319,12,FALSE)</f>
        <v>0.17913446483256601</v>
      </c>
      <c r="F252">
        <f>VLOOKUP(B252,'Model allocations'!$A$1:$L$319,9,FALSE)</f>
        <v>1363690.079185056</v>
      </c>
      <c r="G252" s="31">
        <f t="shared" si="64"/>
        <v>0.9</v>
      </c>
      <c r="H252">
        <f t="shared" si="65"/>
        <v>1041116.5419293331</v>
      </c>
      <c r="I252">
        <f t="shared" si="57"/>
        <v>0</v>
      </c>
      <c r="J252">
        <f t="shared" si="58"/>
        <v>1363690.079185056</v>
      </c>
      <c r="K252">
        <f t="shared" si="59"/>
        <v>1361348.9529116913</v>
      </c>
      <c r="L252">
        <f t="shared" si="66"/>
        <v>1361348.9529116913</v>
      </c>
      <c r="M252">
        <f t="shared" si="60"/>
        <v>0</v>
      </c>
      <c r="N252" s="30">
        <f t="shared" si="67"/>
        <v>1361348.9529116913</v>
      </c>
      <c r="O252" s="30">
        <f t="shared" si="61"/>
        <v>1360145.1692478198</v>
      </c>
      <c r="P252" s="30">
        <f t="shared" si="68"/>
        <v>1360145.1692478198</v>
      </c>
      <c r="Q252">
        <f t="shared" si="69"/>
        <v>0</v>
      </c>
      <c r="R252" s="30">
        <f t="shared" si="70"/>
        <v>1360145.1692478198</v>
      </c>
      <c r="S252" s="30">
        <f t="shared" si="62"/>
        <v>1360145.16924782</v>
      </c>
      <c r="T252" s="30">
        <f t="shared" si="71"/>
        <v>1360145.16924782</v>
      </c>
      <c r="U252">
        <f t="shared" si="72"/>
        <v>0</v>
      </c>
      <c r="V252" s="30">
        <f t="shared" si="73"/>
        <v>1360145.16924782</v>
      </c>
      <c r="W252" s="30">
        <f t="shared" si="63"/>
        <v>1360145.16924782</v>
      </c>
      <c r="X252" s="30">
        <f t="shared" si="74"/>
        <v>1360145.16924782</v>
      </c>
      <c r="Y252">
        <f t="shared" si="75"/>
        <v>0</v>
      </c>
    </row>
    <row r="253" spans="1:25" x14ac:dyDescent="0.25">
      <c r="A253" s="4" t="s">
        <v>36</v>
      </c>
      <c r="B253" s="7" t="s">
        <v>82</v>
      </c>
      <c r="C253" s="2" t="s">
        <v>1145</v>
      </c>
      <c r="D253">
        <f>VLOOKUP(B253,'Model allocations'!$A$1:$L$319,4,FALSE)</f>
        <v>0</v>
      </c>
      <c r="E253" s="32">
        <f>VLOOKUP(B253,'Initial adjusted formula count'!$A$1:$P$319,12,FALSE)</f>
        <v>0.13576918390878001</v>
      </c>
      <c r="F253">
        <f>VLOOKUP(B253,'Model allocations'!$A$1:$L$319,9,FALSE)</f>
        <v>0</v>
      </c>
      <c r="G253" s="31">
        <f t="shared" si="64"/>
        <v>0.85</v>
      </c>
      <c r="H253">
        <f t="shared" si="65"/>
        <v>0</v>
      </c>
      <c r="I253">
        <f t="shared" si="57"/>
        <v>0</v>
      </c>
      <c r="J253">
        <f t="shared" si="58"/>
        <v>0</v>
      </c>
      <c r="K253">
        <f t="shared" si="59"/>
        <v>0</v>
      </c>
      <c r="L253">
        <f t="shared" si="66"/>
        <v>0</v>
      </c>
      <c r="M253">
        <f t="shared" si="60"/>
        <v>0</v>
      </c>
      <c r="N253" s="30">
        <f t="shared" si="67"/>
        <v>0</v>
      </c>
      <c r="O253" s="30">
        <f t="shared" si="61"/>
        <v>0</v>
      </c>
      <c r="P253" s="30">
        <f t="shared" si="68"/>
        <v>0</v>
      </c>
      <c r="Q253">
        <f t="shared" si="69"/>
        <v>0</v>
      </c>
      <c r="R253" s="30">
        <f t="shared" si="70"/>
        <v>0</v>
      </c>
      <c r="S253" s="30">
        <f t="shared" si="62"/>
        <v>0</v>
      </c>
      <c r="T253" s="30">
        <f t="shared" si="71"/>
        <v>0</v>
      </c>
      <c r="U253">
        <f t="shared" si="72"/>
        <v>0</v>
      </c>
      <c r="V253" s="30">
        <f t="shared" si="73"/>
        <v>0</v>
      </c>
      <c r="W253" s="30">
        <f t="shared" si="63"/>
        <v>0</v>
      </c>
      <c r="X253" s="30">
        <f t="shared" si="74"/>
        <v>0</v>
      </c>
      <c r="Y253">
        <f t="shared" si="75"/>
        <v>0</v>
      </c>
    </row>
    <row r="254" spans="1:25" hidden="1" x14ac:dyDescent="0.25">
      <c r="A254" s="4" t="s">
        <v>1146</v>
      </c>
      <c r="B254" s="7" t="s">
        <v>592</v>
      </c>
      <c r="C254" s="2" t="s">
        <v>1147</v>
      </c>
      <c r="D254">
        <f>VLOOKUP(B254,'Model allocations'!$A$1:$L$319,4,FALSE)</f>
        <v>4866.7589304272287</v>
      </c>
      <c r="E254" s="32">
        <f>VLOOKUP(B254,'Initial adjusted formula count'!$A$1:$P$319,12,FALSE)</f>
        <v>0.178294573643411</v>
      </c>
      <c r="F254">
        <f>VLOOKUP(B254,'Model allocations'!$A$1:$L$319,9,FALSE)</f>
        <v>5214.065531141363</v>
      </c>
      <c r="G254" s="31">
        <f t="shared" si="64"/>
        <v>0.9</v>
      </c>
      <c r="H254">
        <f t="shared" si="65"/>
        <v>4380.0830373845056</v>
      </c>
      <c r="I254">
        <f t="shared" si="57"/>
        <v>0</v>
      </c>
      <c r="J254">
        <f t="shared" si="58"/>
        <v>5214.065531141363</v>
      </c>
      <c r="K254">
        <f t="shared" si="59"/>
        <v>5205.1142408208416</v>
      </c>
      <c r="L254">
        <f t="shared" si="66"/>
        <v>5205.1142408208416</v>
      </c>
      <c r="M254">
        <f t="shared" si="60"/>
        <v>0</v>
      </c>
      <c r="N254" s="30">
        <f t="shared" si="67"/>
        <v>5205.1142408208416</v>
      </c>
      <c r="O254" s="30">
        <f t="shared" si="61"/>
        <v>5200.5115770598104</v>
      </c>
      <c r="P254" s="30">
        <f t="shared" si="68"/>
        <v>5200.5115770598104</v>
      </c>
      <c r="Q254">
        <f t="shared" si="69"/>
        <v>0</v>
      </c>
      <c r="R254" s="30">
        <f t="shared" si="70"/>
        <v>5200.5115770598104</v>
      </c>
      <c r="S254" s="30">
        <f t="shared" si="62"/>
        <v>5200.5115770598113</v>
      </c>
      <c r="T254" s="30">
        <f t="shared" si="71"/>
        <v>5200.5115770598113</v>
      </c>
      <c r="U254">
        <f t="shared" si="72"/>
        <v>0</v>
      </c>
      <c r="V254" s="30">
        <f t="shared" si="73"/>
        <v>5200.5115770598113</v>
      </c>
      <c r="W254" s="30">
        <f t="shared" si="63"/>
        <v>5200.5115770598113</v>
      </c>
      <c r="X254" s="30">
        <f t="shared" si="74"/>
        <v>5200.5115770598113</v>
      </c>
      <c r="Y254">
        <f t="shared" si="75"/>
        <v>0</v>
      </c>
    </row>
    <row r="255" spans="1:25" hidden="1" x14ac:dyDescent="0.25">
      <c r="A255" s="4" t="s">
        <v>1148</v>
      </c>
      <c r="B255" s="7" t="s">
        <v>594</v>
      </c>
      <c r="C255" s="2" t="s">
        <v>1149</v>
      </c>
      <c r="D255">
        <f>VLOOKUP(B255,'Model allocations'!$A$1:$L$319,4,FALSE)</f>
        <v>0</v>
      </c>
      <c r="E255" s="32">
        <f>VLOOKUP(B255,'Initial adjusted formula count'!$A$1:$P$319,12,FALSE)</f>
        <v>0.14838709677419401</v>
      </c>
      <c r="F255">
        <f>VLOOKUP(B255,'Model allocations'!$A$1:$L$319,9,FALSE)</f>
        <v>0</v>
      </c>
      <c r="G255" s="31">
        <f t="shared" si="64"/>
        <v>0.85</v>
      </c>
      <c r="H255">
        <f t="shared" si="65"/>
        <v>0</v>
      </c>
      <c r="I255">
        <f t="shared" si="57"/>
        <v>0</v>
      </c>
      <c r="J255">
        <f t="shared" si="58"/>
        <v>0</v>
      </c>
      <c r="K255">
        <f t="shared" si="59"/>
        <v>0</v>
      </c>
      <c r="L255">
        <f t="shared" si="66"/>
        <v>0</v>
      </c>
      <c r="M255">
        <f t="shared" si="60"/>
        <v>0</v>
      </c>
      <c r="N255" s="30">
        <f t="shared" si="67"/>
        <v>0</v>
      </c>
      <c r="O255" s="30">
        <f t="shared" si="61"/>
        <v>0</v>
      </c>
      <c r="P255" s="30">
        <f t="shared" si="68"/>
        <v>0</v>
      </c>
      <c r="Q255">
        <f t="shared" si="69"/>
        <v>0</v>
      </c>
      <c r="R255" s="30">
        <f t="shared" si="70"/>
        <v>0</v>
      </c>
      <c r="S255" s="30">
        <f t="shared" si="62"/>
        <v>0</v>
      </c>
      <c r="T255" s="30">
        <f t="shared" si="71"/>
        <v>0</v>
      </c>
      <c r="U255">
        <f t="shared" si="72"/>
        <v>0</v>
      </c>
      <c r="V255" s="30">
        <f t="shared" si="73"/>
        <v>0</v>
      </c>
      <c r="W255" s="30">
        <f t="shared" si="63"/>
        <v>0</v>
      </c>
      <c r="X255" s="30">
        <f t="shared" si="74"/>
        <v>0</v>
      </c>
      <c r="Y255">
        <f t="shared" si="75"/>
        <v>0</v>
      </c>
    </row>
    <row r="256" spans="1:25" x14ac:dyDescent="0.25">
      <c r="A256" s="4" t="s">
        <v>1150</v>
      </c>
      <c r="B256" s="7" t="s">
        <v>227</v>
      </c>
      <c r="C256" s="2" t="s">
        <v>1151</v>
      </c>
      <c r="D256">
        <f>VLOOKUP(B256,'Model allocations'!$A$1:$L$319,4,FALSE)</f>
        <v>0</v>
      </c>
      <c r="E256" s="32">
        <f>VLOOKUP(B256,'Initial adjusted formula count'!$A$1:$P$319,12,FALSE)</f>
        <v>7.4819878071309798E-2</v>
      </c>
      <c r="F256">
        <f>VLOOKUP(B256,'Model allocations'!$A$1:$L$319,9,FALSE)</f>
        <v>0</v>
      </c>
      <c r="G256" s="31">
        <f t="shared" si="64"/>
        <v>0.85</v>
      </c>
      <c r="H256">
        <f t="shared" si="65"/>
        <v>0</v>
      </c>
      <c r="I256">
        <f t="shared" si="57"/>
        <v>0</v>
      </c>
      <c r="J256">
        <f t="shared" si="58"/>
        <v>0</v>
      </c>
      <c r="K256">
        <f t="shared" si="59"/>
        <v>0</v>
      </c>
      <c r="L256">
        <f t="shared" si="66"/>
        <v>0</v>
      </c>
      <c r="M256">
        <f t="shared" si="60"/>
        <v>0</v>
      </c>
      <c r="N256" s="30">
        <f t="shared" si="67"/>
        <v>0</v>
      </c>
      <c r="O256" s="30">
        <f t="shared" si="61"/>
        <v>0</v>
      </c>
      <c r="P256" s="30">
        <f t="shared" si="68"/>
        <v>0</v>
      </c>
      <c r="Q256">
        <f t="shared" si="69"/>
        <v>0</v>
      </c>
      <c r="R256" s="30">
        <f t="shared" si="70"/>
        <v>0</v>
      </c>
      <c r="S256" s="30">
        <f t="shared" si="62"/>
        <v>0</v>
      </c>
      <c r="T256" s="30">
        <f t="shared" si="71"/>
        <v>0</v>
      </c>
      <c r="U256">
        <f t="shared" si="72"/>
        <v>0</v>
      </c>
      <c r="V256" s="30">
        <f t="shared" si="73"/>
        <v>0</v>
      </c>
      <c r="W256" s="30">
        <f t="shared" si="63"/>
        <v>0</v>
      </c>
      <c r="X256" s="30">
        <f t="shared" si="74"/>
        <v>0</v>
      </c>
      <c r="Y256">
        <f t="shared" si="75"/>
        <v>0</v>
      </c>
    </row>
    <row r="257" spans="1:25" x14ac:dyDescent="0.25">
      <c r="A257" s="4" t="s">
        <v>1152</v>
      </c>
      <c r="B257" s="7" t="s">
        <v>229</v>
      </c>
      <c r="C257" s="2" t="s">
        <v>1153</v>
      </c>
      <c r="D257">
        <f>VLOOKUP(B257,'Model allocations'!$A$1:$L$319,4,FALSE)</f>
        <v>0</v>
      </c>
      <c r="E257" s="32">
        <f>VLOOKUP(B257,'Initial adjusted formula count'!$A$1:$P$319,12,FALSE)</f>
        <v>0.16</v>
      </c>
      <c r="F257">
        <f>VLOOKUP(B257,'Model allocations'!$A$1:$L$319,9,FALSE)</f>
        <v>0</v>
      </c>
      <c r="G257" s="31">
        <f t="shared" si="64"/>
        <v>0.9</v>
      </c>
      <c r="H257">
        <f t="shared" si="65"/>
        <v>0</v>
      </c>
      <c r="I257">
        <f t="shared" si="57"/>
        <v>0</v>
      </c>
      <c r="J257">
        <f t="shared" si="58"/>
        <v>0</v>
      </c>
      <c r="K257">
        <f t="shared" si="59"/>
        <v>0</v>
      </c>
      <c r="L257">
        <f t="shared" si="66"/>
        <v>0</v>
      </c>
      <c r="M257">
        <f t="shared" si="60"/>
        <v>0</v>
      </c>
      <c r="N257" s="30">
        <f t="shared" si="67"/>
        <v>0</v>
      </c>
      <c r="O257" s="30">
        <f t="shared" si="61"/>
        <v>0</v>
      </c>
      <c r="P257" s="30">
        <f t="shared" si="68"/>
        <v>0</v>
      </c>
      <c r="Q257">
        <f t="shared" si="69"/>
        <v>0</v>
      </c>
      <c r="R257" s="30">
        <f t="shared" si="70"/>
        <v>0</v>
      </c>
      <c r="S257" s="30">
        <f t="shared" si="62"/>
        <v>0</v>
      </c>
      <c r="T257" s="30">
        <f t="shared" si="71"/>
        <v>0</v>
      </c>
      <c r="U257">
        <f t="shared" si="72"/>
        <v>0</v>
      </c>
      <c r="V257" s="30">
        <f t="shared" si="73"/>
        <v>0</v>
      </c>
      <c r="W257" s="30">
        <f t="shared" si="63"/>
        <v>0</v>
      </c>
      <c r="X257" s="30">
        <f t="shared" si="74"/>
        <v>0</v>
      </c>
      <c r="Y257">
        <f t="shared" si="75"/>
        <v>0</v>
      </c>
    </row>
    <row r="258" spans="1:25" hidden="1" x14ac:dyDescent="0.25">
      <c r="A258" s="4" t="s">
        <v>1154</v>
      </c>
      <c r="B258" s="7" t="s">
        <v>596</v>
      </c>
      <c r="C258" s="2" t="s">
        <v>1155</v>
      </c>
      <c r="D258">
        <f>VLOOKUP(B258,'Model allocations'!$A$1:$L$319,4,FALSE)</f>
        <v>1941.4144765062795</v>
      </c>
      <c r="E258" s="32">
        <f>VLOOKUP(B258,'Initial adjusted formula count'!$A$1:$P$319,12,FALSE)</f>
        <v>1.06666666666667</v>
      </c>
      <c r="F258">
        <f>VLOOKUP(B258,'Model allocations'!$A$1:$L$319,9,FALSE)</f>
        <v>3627.1760216635562</v>
      </c>
      <c r="G258" s="31">
        <f t="shared" si="64"/>
        <v>0.95</v>
      </c>
      <c r="H258">
        <f t="shared" si="65"/>
        <v>1844.3437526809655</v>
      </c>
      <c r="I258">
        <f t="shared" si="57"/>
        <v>0</v>
      </c>
      <c r="J258">
        <f t="shared" si="58"/>
        <v>3627.1760216635562</v>
      </c>
      <c r="K258">
        <f t="shared" si="59"/>
        <v>3620.9490370927588</v>
      </c>
      <c r="L258">
        <f t="shared" si="66"/>
        <v>3620.9490370927588</v>
      </c>
      <c r="M258">
        <f t="shared" si="60"/>
        <v>0</v>
      </c>
      <c r="N258" s="30">
        <f t="shared" si="67"/>
        <v>3620.9490370927588</v>
      </c>
      <c r="O258" s="30">
        <f t="shared" si="61"/>
        <v>3617.7471840416065</v>
      </c>
      <c r="P258" s="30">
        <f t="shared" si="68"/>
        <v>3617.7471840416065</v>
      </c>
      <c r="Q258">
        <f t="shared" si="69"/>
        <v>0</v>
      </c>
      <c r="R258" s="30">
        <f t="shared" si="70"/>
        <v>3617.7471840416065</v>
      </c>
      <c r="S258" s="30">
        <f t="shared" si="62"/>
        <v>3617.7471840416069</v>
      </c>
      <c r="T258" s="30">
        <f t="shared" si="71"/>
        <v>3617.7471840416069</v>
      </c>
      <c r="U258">
        <f t="shared" si="72"/>
        <v>0</v>
      </c>
      <c r="V258" s="30">
        <f t="shared" si="73"/>
        <v>3617.7471840416069</v>
      </c>
      <c r="W258" s="30">
        <f t="shared" si="63"/>
        <v>3617.7471840416069</v>
      </c>
      <c r="X258" s="30">
        <f t="shared" si="74"/>
        <v>3617.7471840416069</v>
      </c>
      <c r="Y258">
        <f t="shared" si="75"/>
        <v>0</v>
      </c>
    </row>
    <row r="259" spans="1:25" x14ac:dyDescent="0.25">
      <c r="A259" s="4" t="s">
        <v>1156</v>
      </c>
      <c r="B259" s="7" t="s">
        <v>231</v>
      </c>
      <c r="C259" s="2" t="s">
        <v>1157</v>
      </c>
      <c r="D259">
        <f>VLOOKUP(B259,'Model allocations'!$A$1:$L$319,4,FALSE)</f>
        <v>0</v>
      </c>
      <c r="E259" s="32">
        <f>VLOOKUP(B259,'Initial adjusted formula count'!$A$1:$P$319,12,FALSE)</f>
        <v>0.2</v>
      </c>
      <c r="F259">
        <f>VLOOKUP(B259,'Model allocations'!$A$1:$L$319,9,FALSE)</f>
        <v>0</v>
      </c>
      <c r="G259" s="31">
        <f t="shared" si="64"/>
        <v>0.9</v>
      </c>
      <c r="H259">
        <f t="shared" si="65"/>
        <v>0</v>
      </c>
      <c r="I259">
        <f t="shared" si="57"/>
        <v>0</v>
      </c>
      <c r="J259">
        <f t="shared" si="58"/>
        <v>0</v>
      </c>
      <c r="K259">
        <f t="shared" si="59"/>
        <v>0</v>
      </c>
      <c r="L259">
        <f t="shared" si="66"/>
        <v>0</v>
      </c>
      <c r="M259">
        <f t="shared" si="60"/>
        <v>0</v>
      </c>
      <c r="N259" s="30">
        <f t="shared" si="67"/>
        <v>0</v>
      </c>
      <c r="O259" s="30">
        <f t="shared" si="61"/>
        <v>0</v>
      </c>
      <c r="P259" s="30">
        <f t="shared" si="68"/>
        <v>0</v>
      </c>
      <c r="Q259">
        <f t="shared" si="69"/>
        <v>0</v>
      </c>
      <c r="R259" s="30">
        <f t="shared" si="70"/>
        <v>0</v>
      </c>
      <c r="S259" s="30">
        <f t="shared" si="62"/>
        <v>0</v>
      </c>
      <c r="T259" s="30">
        <f t="shared" si="71"/>
        <v>0</v>
      </c>
      <c r="U259">
        <f t="shared" si="72"/>
        <v>0</v>
      </c>
      <c r="V259" s="30">
        <f t="shared" si="73"/>
        <v>0</v>
      </c>
      <c r="W259" s="30">
        <f t="shared" si="63"/>
        <v>0</v>
      </c>
      <c r="X259" s="30">
        <f t="shared" si="74"/>
        <v>0</v>
      </c>
      <c r="Y259">
        <f t="shared" si="75"/>
        <v>0</v>
      </c>
    </row>
    <row r="260" spans="1:25" x14ac:dyDescent="0.25">
      <c r="A260" s="4" t="s">
        <v>1158</v>
      </c>
      <c r="B260" s="7" t="s">
        <v>233</v>
      </c>
      <c r="C260" s="2" t="s">
        <v>1159</v>
      </c>
      <c r="D260">
        <f>VLOOKUP(B260,'Model allocations'!$A$1:$L$319,4,FALSE)</f>
        <v>0</v>
      </c>
      <c r="E260" s="32">
        <f>VLOOKUP(B260,'Initial adjusted formula count'!$A$1:$P$319,12,FALSE)</f>
        <v>7.0326334429547194E-2</v>
      </c>
      <c r="F260">
        <f>VLOOKUP(B260,'Model allocations'!$A$1:$L$319,9,FALSE)</f>
        <v>0</v>
      </c>
      <c r="G260" s="31">
        <f t="shared" si="64"/>
        <v>0.85</v>
      </c>
      <c r="H260">
        <f t="shared" si="65"/>
        <v>0</v>
      </c>
      <c r="I260">
        <f t="shared" ref="I260:I318" si="76">IF(F260&lt;H260,H260,0)</f>
        <v>0</v>
      </c>
      <c r="J260">
        <f t="shared" ref="J260:J318" si="77">IF(I260=0,F260,0)</f>
        <v>0</v>
      </c>
      <c r="K260">
        <f t="shared" ref="K260:K318" si="78">(J260/$J$3)*($F$3-$I$3)</f>
        <v>0</v>
      </c>
      <c r="L260">
        <f t="shared" si="66"/>
        <v>0</v>
      </c>
      <c r="M260">
        <f t="shared" ref="M260:M318" si="79">IF(L260&lt;H260,H260,0)</f>
        <v>0</v>
      </c>
      <c r="N260" s="30">
        <f t="shared" si="67"/>
        <v>0</v>
      </c>
      <c r="O260" s="30">
        <f t="shared" ref="O260:O318" si="80">((N260/$N$3)*($F$3-$I$3-$M$3))</f>
        <v>0</v>
      </c>
      <c r="P260" s="30">
        <f t="shared" si="68"/>
        <v>0</v>
      </c>
      <c r="Q260">
        <f t="shared" si="69"/>
        <v>0</v>
      </c>
      <c r="R260" s="30">
        <f t="shared" si="70"/>
        <v>0</v>
      </c>
      <c r="S260" s="30">
        <f t="shared" ref="S260:S318" si="81">((R260/$R$3)*($F$3-$I$3-$M$3-$Q$3))</f>
        <v>0</v>
      </c>
      <c r="T260" s="30">
        <f t="shared" si="71"/>
        <v>0</v>
      </c>
      <c r="U260">
        <f t="shared" si="72"/>
        <v>0</v>
      </c>
      <c r="V260" s="30">
        <f t="shared" si="73"/>
        <v>0</v>
      </c>
      <c r="W260" s="30">
        <f t="shared" ref="W260:W318" si="82">((V260/$V$3)*($F$3-$I$3-$M$3-$Q$3-$U$3))</f>
        <v>0</v>
      </c>
      <c r="X260" s="30">
        <f t="shared" si="74"/>
        <v>0</v>
      </c>
      <c r="Y260">
        <f t="shared" si="75"/>
        <v>0</v>
      </c>
    </row>
    <row r="261" spans="1:25" hidden="1" x14ac:dyDescent="0.25">
      <c r="A261" s="4" t="s">
        <v>1160</v>
      </c>
      <c r="B261" s="7" t="s">
        <v>598</v>
      </c>
      <c r="C261" s="2" t="s">
        <v>1161</v>
      </c>
      <c r="D261">
        <f>VLOOKUP(B261,'Model allocations'!$A$1:$L$319,4,FALSE)</f>
        <v>2114.1971713514413</v>
      </c>
      <c r="E261" s="32">
        <f>VLOOKUP(B261,'Initial adjusted formula count'!$A$1:$P$319,12,FALSE)</f>
        <v>3.9215686274509803E-2</v>
      </c>
      <c r="F261">
        <f>VLOOKUP(B261,'Model allocations'!$A$1:$L$319,9,FALSE)</f>
        <v>1797.067595648725</v>
      </c>
      <c r="G261" s="31">
        <f t="shared" ref="G261:G318" si="83">IF(E261&lt;0.15,0.85,IF(AND(E261&gt;=0.15,E261&lt;0.3),0.9,0.95))</f>
        <v>0.85</v>
      </c>
      <c r="H261">
        <f t="shared" ref="H261:H318" si="84">IF(F261 = 0, 0, D261*G261)</f>
        <v>1797.067595648725</v>
      </c>
      <c r="I261">
        <f t="shared" si="76"/>
        <v>0</v>
      </c>
      <c r="J261">
        <f t="shared" si="77"/>
        <v>1797.067595648725</v>
      </c>
      <c r="K261">
        <f t="shared" si="78"/>
        <v>1793.9824649233481</v>
      </c>
      <c r="L261">
        <f t="shared" ref="L261:L318" si="85">I261+K261</f>
        <v>1793.9824649233481</v>
      </c>
      <c r="M261">
        <f t="shared" si="79"/>
        <v>1797.067595648725</v>
      </c>
      <c r="N261" s="30">
        <f t="shared" ref="N261:N318" si="86">IF(I261+M261=0,L261,0)</f>
        <v>0</v>
      </c>
      <c r="O261" s="30">
        <f t="shared" si="80"/>
        <v>0</v>
      </c>
      <c r="P261" s="30">
        <f t="shared" ref="P261:P318" si="87">$I261+$M261+O261</f>
        <v>1797.067595648725</v>
      </c>
      <c r="Q261">
        <f t="shared" ref="Q261:Q318" si="88">IF(P261&lt;H261,H261,0)</f>
        <v>0</v>
      </c>
      <c r="R261" s="30">
        <f t="shared" ref="R261:R318" si="89">IF($I261+$M261+$Q261=0,P261,0)</f>
        <v>0</v>
      </c>
      <c r="S261" s="30">
        <f t="shared" si="81"/>
        <v>0</v>
      </c>
      <c r="T261" s="30">
        <f t="shared" ref="T261:T318" si="90">$I261+$M261+$Q261+S261</f>
        <v>1797.067595648725</v>
      </c>
      <c r="U261">
        <f t="shared" ref="U261:U318" si="91">IF(T261&lt;H261,H261,0)</f>
        <v>0</v>
      </c>
      <c r="V261" s="30">
        <f t="shared" ref="V261:V318" si="92">IF($I261+$M261+$Q261+U261=0,T261,0)</f>
        <v>0</v>
      </c>
      <c r="W261" s="30">
        <f t="shared" si="82"/>
        <v>0</v>
      </c>
      <c r="X261" s="30">
        <f t="shared" ref="X261:X318" si="93">$I261+$M261+$Q261+$U261+W261</f>
        <v>1797.067595648725</v>
      </c>
      <c r="Y261">
        <f t="shared" ref="Y261:Y318" si="94">IF(X261&lt;H261,H261,0)</f>
        <v>0</v>
      </c>
    </row>
    <row r="262" spans="1:25" hidden="1" x14ac:dyDescent="0.25">
      <c r="A262" s="4" t="s">
        <v>1162</v>
      </c>
      <c r="B262" s="7" t="s">
        <v>600</v>
      </c>
      <c r="C262" s="2" t="s">
        <v>1163</v>
      </c>
      <c r="D262">
        <f>VLOOKUP(B262,'Model allocations'!$A$1:$L$319,4,FALSE)</f>
        <v>24556.473082058084</v>
      </c>
      <c r="E262" s="32">
        <f>VLOOKUP(B262,'Initial adjusted formula count'!$A$1:$P$319,12,FALSE)</f>
        <v>0.15108695652173901</v>
      </c>
      <c r="F262">
        <f>VLOOKUP(B262,'Model allocations'!$A$1:$L$319,9,FALSE)</f>
        <v>31511.091688202137</v>
      </c>
      <c r="G262" s="31">
        <f t="shared" si="83"/>
        <v>0.9</v>
      </c>
      <c r="H262">
        <f t="shared" si="84"/>
        <v>22100.825773852277</v>
      </c>
      <c r="I262">
        <f t="shared" si="76"/>
        <v>0</v>
      </c>
      <c r="J262">
        <f t="shared" si="77"/>
        <v>31511.091688202137</v>
      </c>
      <c r="K262">
        <f t="shared" si="78"/>
        <v>31456.994759743335</v>
      </c>
      <c r="L262">
        <f t="shared" si="85"/>
        <v>31456.994759743335</v>
      </c>
      <c r="M262">
        <f t="shared" si="79"/>
        <v>0</v>
      </c>
      <c r="N262" s="30">
        <f t="shared" si="86"/>
        <v>31456.994759743335</v>
      </c>
      <c r="O262" s="30">
        <f t="shared" si="80"/>
        <v>31429.178661361449</v>
      </c>
      <c r="P262" s="30">
        <f t="shared" si="87"/>
        <v>31429.178661361449</v>
      </c>
      <c r="Q262">
        <f t="shared" si="88"/>
        <v>0</v>
      </c>
      <c r="R262" s="30">
        <f t="shared" si="89"/>
        <v>31429.178661361449</v>
      </c>
      <c r="S262" s="30">
        <f t="shared" si="81"/>
        <v>31429.178661361457</v>
      </c>
      <c r="T262" s="30">
        <f t="shared" si="90"/>
        <v>31429.178661361457</v>
      </c>
      <c r="U262">
        <f t="shared" si="91"/>
        <v>0</v>
      </c>
      <c r="V262" s="30">
        <f t="shared" si="92"/>
        <v>31429.178661361457</v>
      </c>
      <c r="W262" s="30">
        <f t="shared" si="82"/>
        <v>31429.178661361457</v>
      </c>
      <c r="X262" s="30">
        <f t="shared" si="93"/>
        <v>31429.178661361457</v>
      </c>
      <c r="Y262">
        <f t="shared" si="94"/>
        <v>0</v>
      </c>
    </row>
    <row r="263" spans="1:25" x14ac:dyDescent="0.25">
      <c r="A263" s="4" t="s">
        <v>1164</v>
      </c>
      <c r="B263" s="7" t="s">
        <v>235</v>
      </c>
      <c r="C263" s="2" t="s">
        <v>1165</v>
      </c>
      <c r="D263">
        <f>VLOOKUP(B263,'Model allocations'!$A$1:$L$319,4,FALSE)</f>
        <v>0</v>
      </c>
      <c r="E263" s="32">
        <f>VLOOKUP(B263,'Initial adjusted formula count'!$A$1:$P$319,12,FALSE)</f>
        <v>8.9707649179014803E-2</v>
      </c>
      <c r="F263">
        <f>VLOOKUP(B263,'Model allocations'!$A$1:$L$319,9,FALSE)</f>
        <v>0</v>
      </c>
      <c r="G263" s="31">
        <f t="shared" si="83"/>
        <v>0.85</v>
      </c>
      <c r="H263">
        <f t="shared" si="84"/>
        <v>0</v>
      </c>
      <c r="I263">
        <f t="shared" si="76"/>
        <v>0</v>
      </c>
      <c r="J263">
        <f t="shared" si="77"/>
        <v>0</v>
      </c>
      <c r="K263">
        <f t="shared" si="78"/>
        <v>0</v>
      </c>
      <c r="L263">
        <f t="shared" si="85"/>
        <v>0</v>
      </c>
      <c r="M263">
        <f t="shared" si="79"/>
        <v>0</v>
      </c>
      <c r="N263" s="30">
        <f t="shared" si="86"/>
        <v>0</v>
      </c>
      <c r="O263" s="30">
        <f t="shared" si="80"/>
        <v>0</v>
      </c>
      <c r="P263" s="30">
        <f t="shared" si="87"/>
        <v>0</v>
      </c>
      <c r="Q263">
        <f t="shared" si="88"/>
        <v>0</v>
      </c>
      <c r="R263" s="30">
        <f t="shared" si="89"/>
        <v>0</v>
      </c>
      <c r="S263" s="30">
        <f t="shared" si="81"/>
        <v>0</v>
      </c>
      <c r="T263" s="30">
        <f t="shared" si="90"/>
        <v>0</v>
      </c>
      <c r="U263">
        <f t="shared" si="91"/>
        <v>0</v>
      </c>
      <c r="V263" s="30">
        <f t="shared" si="92"/>
        <v>0</v>
      </c>
      <c r="W263" s="30">
        <f t="shared" si="82"/>
        <v>0</v>
      </c>
      <c r="X263" s="30">
        <f t="shared" si="93"/>
        <v>0</v>
      </c>
      <c r="Y263">
        <f t="shared" si="94"/>
        <v>0</v>
      </c>
    </row>
    <row r="264" spans="1:25" hidden="1" x14ac:dyDescent="0.25">
      <c r="A264" s="4" t="s">
        <v>26</v>
      </c>
      <c r="B264" s="7" t="s">
        <v>76</v>
      </c>
      <c r="C264" s="2" t="s">
        <v>1166</v>
      </c>
      <c r="D264">
        <f>VLOOKUP(B264,'Model allocations'!$A$1:$L$319,4,FALSE)</f>
        <v>17708.574233596246</v>
      </c>
      <c r="E264" s="32">
        <f>VLOOKUP(B264,'Initial adjusted formula count'!$A$1:$P$319,12,FALSE)</f>
        <v>0.15042834958370099</v>
      </c>
      <c r="F264">
        <f>VLOOKUP(B264,'Model allocations'!$A$1:$L$319,9,FALSE)</f>
        <v>23629.283995243142</v>
      </c>
      <c r="G264" s="31">
        <f t="shared" si="83"/>
        <v>0.9</v>
      </c>
      <c r="H264">
        <f t="shared" si="84"/>
        <v>15937.716810236621</v>
      </c>
      <c r="I264">
        <f t="shared" si="76"/>
        <v>0</v>
      </c>
      <c r="J264">
        <f t="shared" si="77"/>
        <v>23629.283995243142</v>
      </c>
      <c r="K264">
        <f t="shared" si="78"/>
        <v>23588.718225625518</v>
      </c>
      <c r="L264">
        <f t="shared" si="85"/>
        <v>23588.718225625518</v>
      </c>
      <c r="M264">
        <f t="shared" si="79"/>
        <v>0</v>
      </c>
      <c r="N264" s="30">
        <f t="shared" si="86"/>
        <v>23588.718225625518</v>
      </c>
      <c r="O264" s="30">
        <f t="shared" si="80"/>
        <v>23567.859713492431</v>
      </c>
      <c r="P264" s="30">
        <f t="shared" si="87"/>
        <v>23567.859713492431</v>
      </c>
      <c r="Q264">
        <f t="shared" si="88"/>
        <v>0</v>
      </c>
      <c r="R264" s="30">
        <f t="shared" si="89"/>
        <v>23567.859713492431</v>
      </c>
      <c r="S264" s="30">
        <f t="shared" si="81"/>
        <v>23567.859713492435</v>
      </c>
      <c r="T264" s="30">
        <f t="shared" si="90"/>
        <v>23567.859713492435</v>
      </c>
      <c r="U264">
        <f t="shared" si="91"/>
        <v>0</v>
      </c>
      <c r="V264" s="30">
        <f t="shared" si="92"/>
        <v>23567.859713492435</v>
      </c>
      <c r="W264" s="30">
        <f t="shared" si="82"/>
        <v>23567.859713492435</v>
      </c>
      <c r="X264" s="30">
        <f t="shared" si="93"/>
        <v>23567.859713492435</v>
      </c>
      <c r="Y264">
        <f t="shared" si="94"/>
        <v>0</v>
      </c>
    </row>
    <row r="265" spans="1:25" hidden="1" x14ac:dyDescent="0.25">
      <c r="A265" s="4" t="s">
        <v>41</v>
      </c>
      <c r="B265" s="7" t="s">
        <v>84</v>
      </c>
      <c r="C265" s="2" t="s">
        <v>1167</v>
      </c>
      <c r="D265">
        <f>VLOOKUP(B265,'Model allocations'!$A$1:$L$319,4,FALSE)</f>
        <v>2560.3551453745126</v>
      </c>
      <c r="E265" s="32">
        <f>VLOOKUP(B265,'Initial adjusted formula count'!$A$1:$P$319,12,FALSE)</f>
        <v>0.13144691036601899</v>
      </c>
      <c r="F265">
        <f>VLOOKUP(B265,'Model allocations'!$A$1:$L$319,9,FALSE)</f>
        <v>0</v>
      </c>
      <c r="G265" s="31">
        <f t="shared" si="83"/>
        <v>0.85</v>
      </c>
      <c r="H265">
        <f t="shared" si="84"/>
        <v>0</v>
      </c>
      <c r="I265">
        <f t="shared" si="76"/>
        <v>0</v>
      </c>
      <c r="J265">
        <f t="shared" si="77"/>
        <v>0</v>
      </c>
      <c r="K265">
        <f t="shared" si="78"/>
        <v>0</v>
      </c>
      <c r="L265">
        <f t="shared" si="85"/>
        <v>0</v>
      </c>
      <c r="M265">
        <f t="shared" si="79"/>
        <v>0</v>
      </c>
      <c r="N265" s="30">
        <f t="shared" si="86"/>
        <v>0</v>
      </c>
      <c r="O265" s="30">
        <f t="shared" si="80"/>
        <v>0</v>
      </c>
      <c r="P265" s="30">
        <f t="shared" si="87"/>
        <v>0</v>
      </c>
      <c r="Q265">
        <f t="shared" si="88"/>
        <v>0</v>
      </c>
      <c r="R265" s="30">
        <f t="shared" si="89"/>
        <v>0</v>
      </c>
      <c r="S265" s="30">
        <f t="shared" si="81"/>
        <v>0</v>
      </c>
      <c r="T265" s="30">
        <f t="shared" si="90"/>
        <v>0</v>
      </c>
      <c r="U265">
        <f t="shared" si="91"/>
        <v>0</v>
      </c>
      <c r="V265" s="30">
        <f t="shared" si="92"/>
        <v>0</v>
      </c>
      <c r="W265" s="30">
        <f t="shared" si="82"/>
        <v>0</v>
      </c>
      <c r="X265" s="30">
        <f t="shared" si="93"/>
        <v>0</v>
      </c>
      <c r="Y265">
        <f t="shared" si="94"/>
        <v>0</v>
      </c>
    </row>
    <row r="266" spans="1:25" x14ac:dyDescent="0.25">
      <c r="A266" s="4" t="s">
        <v>28</v>
      </c>
      <c r="B266" s="7" t="s">
        <v>77</v>
      </c>
      <c r="C266" s="2" t="s">
        <v>1168</v>
      </c>
      <c r="D266">
        <f>VLOOKUP(B266,'Model allocations'!$A$1:$L$319,4,FALSE)</f>
        <v>0</v>
      </c>
      <c r="E266" s="32">
        <f>VLOOKUP(B266,'Initial adjusted formula count'!$A$1:$P$319,12,FALSE)</f>
        <v>0.143078939572856</v>
      </c>
      <c r="F266">
        <f>VLOOKUP(B266,'Model allocations'!$A$1:$L$319,9,FALSE)</f>
        <v>0</v>
      </c>
      <c r="G266" s="31">
        <f t="shared" si="83"/>
        <v>0.85</v>
      </c>
      <c r="H266">
        <f t="shared" si="84"/>
        <v>0</v>
      </c>
      <c r="I266">
        <f t="shared" si="76"/>
        <v>0</v>
      </c>
      <c r="J266">
        <f t="shared" si="77"/>
        <v>0</v>
      </c>
      <c r="K266">
        <f t="shared" si="78"/>
        <v>0</v>
      </c>
      <c r="L266">
        <f t="shared" si="85"/>
        <v>0</v>
      </c>
      <c r="M266">
        <f t="shared" si="79"/>
        <v>0</v>
      </c>
      <c r="N266" s="30">
        <f t="shared" si="86"/>
        <v>0</v>
      </c>
      <c r="O266" s="30">
        <f t="shared" si="80"/>
        <v>0</v>
      </c>
      <c r="P266" s="30">
        <f t="shared" si="87"/>
        <v>0</v>
      </c>
      <c r="Q266">
        <f t="shared" si="88"/>
        <v>0</v>
      </c>
      <c r="R266" s="30">
        <f t="shared" si="89"/>
        <v>0</v>
      </c>
      <c r="S266" s="30">
        <f t="shared" si="81"/>
        <v>0</v>
      </c>
      <c r="T266" s="30">
        <f t="shared" si="90"/>
        <v>0</v>
      </c>
      <c r="U266">
        <f t="shared" si="91"/>
        <v>0</v>
      </c>
      <c r="V266" s="30">
        <f t="shared" si="92"/>
        <v>0</v>
      </c>
      <c r="W266" s="30">
        <f t="shared" si="82"/>
        <v>0</v>
      </c>
      <c r="X266" s="30">
        <f t="shared" si="93"/>
        <v>0</v>
      </c>
      <c r="Y266">
        <f t="shared" si="94"/>
        <v>0</v>
      </c>
    </row>
    <row r="267" spans="1:25" hidden="1" x14ac:dyDescent="0.25">
      <c r="A267" s="4" t="s">
        <v>1169</v>
      </c>
      <c r="B267" s="7" t="s">
        <v>602</v>
      </c>
      <c r="C267" s="2" t="s">
        <v>1170</v>
      </c>
      <c r="D267">
        <f>VLOOKUP(B267,'Model allocations'!$A$1:$L$319,4,FALSE)</f>
        <v>5713.1517878928353</v>
      </c>
      <c r="E267" s="32">
        <f>VLOOKUP(B267,'Initial adjusted formula count'!$A$1:$P$319,12,FALSE)</f>
        <v>0.19298245614035101</v>
      </c>
      <c r="F267">
        <f>VLOOKUP(B267,'Model allocations'!$A$1:$L$319,9,FALSE)</f>
        <v>5141.8366091035523</v>
      </c>
      <c r="G267" s="31">
        <f t="shared" si="83"/>
        <v>0.9</v>
      </c>
      <c r="H267">
        <f t="shared" si="84"/>
        <v>5141.8366091035523</v>
      </c>
      <c r="I267">
        <f t="shared" si="76"/>
        <v>0</v>
      </c>
      <c r="J267">
        <f t="shared" si="77"/>
        <v>5141.8366091035523</v>
      </c>
      <c r="K267">
        <f t="shared" si="78"/>
        <v>5133.0093183850377</v>
      </c>
      <c r="L267">
        <f t="shared" si="85"/>
        <v>5133.0093183850377</v>
      </c>
      <c r="M267">
        <f t="shared" si="79"/>
        <v>5141.8366091035523</v>
      </c>
      <c r="N267" s="30">
        <f t="shared" si="86"/>
        <v>0</v>
      </c>
      <c r="O267" s="30">
        <f t="shared" si="80"/>
        <v>0</v>
      </c>
      <c r="P267" s="30">
        <f t="shared" si="87"/>
        <v>5141.8366091035523</v>
      </c>
      <c r="Q267">
        <f t="shared" si="88"/>
        <v>0</v>
      </c>
      <c r="R267" s="30">
        <f t="shared" si="89"/>
        <v>0</v>
      </c>
      <c r="S267" s="30">
        <f t="shared" si="81"/>
        <v>0</v>
      </c>
      <c r="T267" s="30">
        <f t="shared" si="90"/>
        <v>5141.8366091035523</v>
      </c>
      <c r="U267">
        <f t="shared" si="91"/>
        <v>0</v>
      </c>
      <c r="V267" s="30">
        <f t="shared" si="92"/>
        <v>0</v>
      </c>
      <c r="W267" s="30">
        <f t="shared" si="82"/>
        <v>0</v>
      </c>
      <c r="X267" s="30">
        <f t="shared" si="93"/>
        <v>5141.8366091035523</v>
      </c>
      <c r="Y267">
        <f t="shared" si="94"/>
        <v>0</v>
      </c>
    </row>
    <row r="268" spans="1:25" x14ac:dyDescent="0.25">
      <c r="A268" s="4" t="s">
        <v>1171</v>
      </c>
      <c r="B268" s="7" t="s">
        <v>237</v>
      </c>
      <c r="C268" s="2" t="s">
        <v>1172</v>
      </c>
      <c r="D268">
        <f>VLOOKUP(B268,'Model allocations'!$A$1:$L$319,4,FALSE)</f>
        <v>0</v>
      </c>
      <c r="E268" s="32">
        <f>VLOOKUP(B268,'Initial adjusted formula count'!$A$1:$P$319,12,FALSE)</f>
        <v>5.3048148497126198E-2</v>
      </c>
      <c r="F268">
        <f>VLOOKUP(B268,'Model allocations'!$A$1:$L$319,9,FALSE)</f>
        <v>0</v>
      </c>
      <c r="G268" s="31">
        <f t="shared" si="83"/>
        <v>0.85</v>
      </c>
      <c r="H268">
        <f t="shared" si="84"/>
        <v>0</v>
      </c>
      <c r="I268">
        <f t="shared" si="76"/>
        <v>0</v>
      </c>
      <c r="J268">
        <f t="shared" si="77"/>
        <v>0</v>
      </c>
      <c r="K268">
        <f t="shared" si="78"/>
        <v>0</v>
      </c>
      <c r="L268">
        <f t="shared" si="85"/>
        <v>0</v>
      </c>
      <c r="M268">
        <f t="shared" si="79"/>
        <v>0</v>
      </c>
      <c r="N268" s="30">
        <f t="shared" si="86"/>
        <v>0</v>
      </c>
      <c r="O268" s="30">
        <f t="shared" si="80"/>
        <v>0</v>
      </c>
      <c r="P268" s="30">
        <f t="shared" si="87"/>
        <v>0</v>
      </c>
      <c r="Q268">
        <f t="shared" si="88"/>
        <v>0</v>
      </c>
      <c r="R268" s="30">
        <f t="shared" si="89"/>
        <v>0</v>
      </c>
      <c r="S268" s="30">
        <f t="shared" si="81"/>
        <v>0</v>
      </c>
      <c r="T268" s="30">
        <f t="shared" si="90"/>
        <v>0</v>
      </c>
      <c r="U268">
        <f t="shared" si="91"/>
        <v>0</v>
      </c>
      <c r="V268" s="30">
        <f t="shared" si="92"/>
        <v>0</v>
      </c>
      <c r="W268" s="30">
        <f t="shared" si="82"/>
        <v>0</v>
      </c>
      <c r="X268" s="30">
        <f t="shared" si="93"/>
        <v>0</v>
      </c>
      <c r="Y268">
        <f t="shared" si="94"/>
        <v>0</v>
      </c>
    </row>
    <row r="269" spans="1:25" hidden="1" x14ac:dyDescent="0.25">
      <c r="A269" s="4" t="s">
        <v>1173</v>
      </c>
      <c r="B269" s="7" t="s">
        <v>604</v>
      </c>
      <c r="C269" s="2" t="s">
        <v>1174</v>
      </c>
      <c r="D269">
        <f>VLOOKUP(B269,'Model allocations'!$A$1:$L$319,4,FALSE)</f>
        <v>275077.67867632152</v>
      </c>
      <c r="E269" s="32">
        <f>VLOOKUP(B269,'Initial adjusted formula count'!$A$1:$P$319,12,FALSE)</f>
        <v>0.193387096774194</v>
      </c>
      <c r="F269">
        <f>VLOOKUP(B269,'Model allocations'!$A$1:$L$319,9,FALSE)</f>
        <v>271811.50312341272</v>
      </c>
      <c r="G269" s="31">
        <f t="shared" si="83"/>
        <v>0.9</v>
      </c>
      <c r="H269">
        <f t="shared" si="84"/>
        <v>247569.91080868937</v>
      </c>
      <c r="I269">
        <f t="shared" si="76"/>
        <v>0</v>
      </c>
      <c r="J269">
        <f t="shared" si="77"/>
        <v>271811.50312341272</v>
      </c>
      <c r="K269">
        <f t="shared" si="78"/>
        <v>271344.86846713856</v>
      </c>
      <c r="L269">
        <f t="shared" si="85"/>
        <v>271344.86846713856</v>
      </c>
      <c r="M269">
        <f t="shared" si="79"/>
        <v>0</v>
      </c>
      <c r="N269" s="30">
        <f t="shared" si="86"/>
        <v>271344.86846713856</v>
      </c>
      <c r="O269" s="30">
        <f t="shared" si="80"/>
        <v>271104.92960411782</v>
      </c>
      <c r="P269" s="30">
        <f t="shared" si="87"/>
        <v>271104.92960411782</v>
      </c>
      <c r="Q269">
        <f t="shared" si="88"/>
        <v>0</v>
      </c>
      <c r="R269" s="30">
        <f t="shared" si="89"/>
        <v>271104.92960411782</v>
      </c>
      <c r="S269" s="30">
        <f t="shared" si="81"/>
        <v>271104.92960411787</v>
      </c>
      <c r="T269" s="30">
        <f t="shared" si="90"/>
        <v>271104.92960411787</v>
      </c>
      <c r="U269">
        <f t="shared" si="91"/>
        <v>0</v>
      </c>
      <c r="V269" s="30">
        <f t="shared" si="92"/>
        <v>271104.92960411787</v>
      </c>
      <c r="W269" s="30">
        <f t="shared" si="82"/>
        <v>271104.92960411787</v>
      </c>
      <c r="X269" s="30">
        <f t="shared" si="93"/>
        <v>271104.92960411787</v>
      </c>
      <c r="Y269">
        <f t="shared" si="94"/>
        <v>0</v>
      </c>
    </row>
    <row r="270" spans="1:25" hidden="1" x14ac:dyDescent="0.25">
      <c r="A270" s="4" t="s">
        <v>11</v>
      </c>
      <c r="B270" s="7" t="s">
        <v>70</v>
      </c>
      <c r="C270" s="2" t="s">
        <v>1175</v>
      </c>
      <c r="D270">
        <f>VLOOKUP(B270,'Model allocations'!$A$1:$L$319,4,FALSE)</f>
        <v>3714.9515232200738</v>
      </c>
      <c r="E270" s="32">
        <f>VLOOKUP(B270,'Initial adjusted formula count'!$A$1:$P$319,12,FALSE)</f>
        <v>0.20948192116852299</v>
      </c>
      <c r="F270">
        <f>VLOOKUP(B270,'Model allocations'!$A$1:$L$319,9,FALSE)</f>
        <v>4083.0261051697285</v>
      </c>
      <c r="G270" s="31">
        <f t="shared" si="83"/>
        <v>0.9</v>
      </c>
      <c r="H270">
        <f t="shared" si="84"/>
        <v>3343.4563708980663</v>
      </c>
      <c r="I270">
        <f t="shared" si="76"/>
        <v>0</v>
      </c>
      <c r="J270">
        <f t="shared" si="77"/>
        <v>4083.0261051697285</v>
      </c>
      <c r="K270">
        <f t="shared" si="78"/>
        <v>4076.0165361807403</v>
      </c>
      <c r="L270">
        <f t="shared" si="85"/>
        <v>4076.0165361807403</v>
      </c>
      <c r="M270">
        <f t="shared" si="79"/>
        <v>0</v>
      </c>
      <c r="N270" s="30">
        <f t="shared" si="86"/>
        <v>4076.0165361807403</v>
      </c>
      <c r="O270" s="30">
        <f t="shared" si="80"/>
        <v>4072.4122860658599</v>
      </c>
      <c r="P270" s="30">
        <f t="shared" si="87"/>
        <v>4072.4122860658599</v>
      </c>
      <c r="Q270">
        <f t="shared" si="88"/>
        <v>0</v>
      </c>
      <c r="R270" s="30">
        <f t="shared" si="89"/>
        <v>4072.4122860658599</v>
      </c>
      <c r="S270" s="30">
        <f t="shared" si="81"/>
        <v>4072.4122860658604</v>
      </c>
      <c r="T270" s="30">
        <f t="shared" si="90"/>
        <v>4072.4122860658604</v>
      </c>
      <c r="U270">
        <f t="shared" si="91"/>
        <v>0</v>
      </c>
      <c r="V270" s="30">
        <f t="shared" si="92"/>
        <v>4072.4122860658604</v>
      </c>
      <c r="W270" s="30">
        <f t="shared" si="82"/>
        <v>4072.4122860658604</v>
      </c>
      <c r="X270" s="30">
        <f t="shared" si="93"/>
        <v>4072.4122860658604</v>
      </c>
      <c r="Y270">
        <f t="shared" si="94"/>
        <v>0</v>
      </c>
    </row>
    <row r="271" spans="1:25" hidden="1" x14ac:dyDescent="0.25">
      <c r="A271" s="4" t="s">
        <v>40</v>
      </c>
      <c r="B271" s="7" t="s">
        <v>65</v>
      </c>
      <c r="C271" s="2" t="s">
        <v>1176</v>
      </c>
      <c r="D271">
        <f>VLOOKUP(B271,'Model allocations'!$A$1:$L$319,4,FALSE)</f>
        <v>0</v>
      </c>
      <c r="E271" s="32">
        <f>VLOOKUP(B271,'Initial adjusted formula count'!$A$1:$P$319,12,FALSE)</f>
        <v>0.13305129519424</v>
      </c>
      <c r="F271">
        <f>VLOOKUP(B271,'Model allocations'!$A$1:$L$319,9,FALSE)</f>
        <v>0</v>
      </c>
      <c r="G271" s="31">
        <f t="shared" si="83"/>
        <v>0.85</v>
      </c>
      <c r="H271">
        <f t="shared" si="84"/>
        <v>0</v>
      </c>
      <c r="I271">
        <f t="shared" si="76"/>
        <v>0</v>
      </c>
      <c r="J271">
        <f t="shared" si="77"/>
        <v>0</v>
      </c>
      <c r="K271">
        <f t="shared" si="78"/>
        <v>0</v>
      </c>
      <c r="L271">
        <f t="shared" si="85"/>
        <v>0</v>
      </c>
      <c r="M271">
        <f t="shared" si="79"/>
        <v>0</v>
      </c>
      <c r="N271" s="30">
        <f t="shared" si="86"/>
        <v>0</v>
      </c>
      <c r="O271" s="30">
        <f t="shared" si="80"/>
        <v>0</v>
      </c>
      <c r="P271" s="30">
        <f t="shared" si="87"/>
        <v>0</v>
      </c>
      <c r="Q271">
        <f t="shared" si="88"/>
        <v>0</v>
      </c>
      <c r="R271" s="30">
        <f t="shared" si="89"/>
        <v>0</v>
      </c>
      <c r="S271" s="30">
        <f t="shared" si="81"/>
        <v>0</v>
      </c>
      <c r="T271" s="30">
        <f t="shared" si="90"/>
        <v>0</v>
      </c>
      <c r="U271">
        <f t="shared" si="91"/>
        <v>0</v>
      </c>
      <c r="V271" s="30">
        <f t="shared" si="92"/>
        <v>0</v>
      </c>
      <c r="W271" s="30">
        <f t="shared" si="82"/>
        <v>0</v>
      </c>
      <c r="X271" s="30">
        <f t="shared" si="93"/>
        <v>0</v>
      </c>
      <c r="Y271">
        <f t="shared" si="94"/>
        <v>0</v>
      </c>
    </row>
    <row r="272" spans="1:25" hidden="1" x14ac:dyDescent="0.25">
      <c r="A272" s="4" t="s">
        <v>1177</v>
      </c>
      <c r="B272" s="7" t="s">
        <v>606</v>
      </c>
      <c r="C272" s="2" t="s">
        <v>1178</v>
      </c>
      <c r="D272">
        <f>VLOOKUP(B272,'Model allocations'!$A$1:$L$319,4,FALSE)</f>
        <v>15658.267863113693</v>
      </c>
      <c r="E272" s="32">
        <f>VLOOKUP(B272,'Initial adjusted formula count'!$A$1:$P$319,12,FALSE)</f>
        <v>0.25144508670520199</v>
      </c>
      <c r="F272">
        <f>VLOOKUP(B272,'Model allocations'!$A$1:$L$319,9,FALSE)</f>
        <v>19722.769617795584</v>
      </c>
      <c r="G272" s="31">
        <f t="shared" si="83"/>
        <v>0.9</v>
      </c>
      <c r="H272">
        <f t="shared" si="84"/>
        <v>14092.441076802324</v>
      </c>
      <c r="I272">
        <f t="shared" si="76"/>
        <v>0</v>
      </c>
      <c r="J272">
        <f t="shared" si="77"/>
        <v>19722.769617795584</v>
      </c>
      <c r="K272">
        <f t="shared" si="78"/>
        <v>19688.910389191871</v>
      </c>
      <c r="L272">
        <f t="shared" si="85"/>
        <v>19688.910389191871</v>
      </c>
      <c r="M272">
        <f t="shared" si="79"/>
        <v>0</v>
      </c>
      <c r="N272" s="30">
        <f t="shared" si="86"/>
        <v>19688.910389191871</v>
      </c>
      <c r="O272" s="30">
        <f t="shared" si="80"/>
        <v>19671.500313226232</v>
      </c>
      <c r="P272" s="30">
        <f t="shared" si="87"/>
        <v>19671.500313226232</v>
      </c>
      <c r="Q272">
        <f t="shared" si="88"/>
        <v>0</v>
      </c>
      <c r="R272" s="30">
        <f t="shared" si="89"/>
        <v>19671.500313226232</v>
      </c>
      <c r="S272" s="30">
        <f t="shared" si="81"/>
        <v>19671.500313226235</v>
      </c>
      <c r="T272" s="30">
        <f t="shared" si="90"/>
        <v>19671.500313226235</v>
      </c>
      <c r="U272">
        <f t="shared" si="91"/>
        <v>0</v>
      </c>
      <c r="V272" s="30">
        <f t="shared" si="92"/>
        <v>19671.500313226235</v>
      </c>
      <c r="W272" s="30">
        <f t="shared" si="82"/>
        <v>19671.500313226235</v>
      </c>
      <c r="X272" s="30">
        <f t="shared" si="93"/>
        <v>19671.500313226235</v>
      </c>
      <c r="Y272">
        <f t="shared" si="94"/>
        <v>0</v>
      </c>
    </row>
    <row r="273" spans="1:25" x14ac:dyDescent="0.25">
      <c r="A273" s="4" t="s">
        <v>1179</v>
      </c>
      <c r="B273" s="7" t="s">
        <v>239</v>
      </c>
      <c r="C273" s="2" t="s">
        <v>1180</v>
      </c>
      <c r="D273">
        <f>VLOOKUP(B273,'Model allocations'!$A$1:$L$319,4,FALSE)</f>
        <v>0</v>
      </c>
      <c r="E273" s="32">
        <f>VLOOKUP(B273,'Initial adjusted formula count'!$A$1:$P$319,12,FALSE)</f>
        <v>4.2195957141279099E-2</v>
      </c>
      <c r="F273">
        <f>VLOOKUP(B273,'Model allocations'!$A$1:$L$319,9,FALSE)</f>
        <v>0</v>
      </c>
      <c r="G273" s="31">
        <f t="shared" si="83"/>
        <v>0.85</v>
      </c>
      <c r="H273">
        <f t="shared" si="84"/>
        <v>0</v>
      </c>
      <c r="I273">
        <f t="shared" si="76"/>
        <v>0</v>
      </c>
      <c r="J273">
        <f t="shared" si="77"/>
        <v>0</v>
      </c>
      <c r="K273">
        <f t="shared" si="78"/>
        <v>0</v>
      </c>
      <c r="L273">
        <f t="shared" si="85"/>
        <v>0</v>
      </c>
      <c r="M273">
        <f t="shared" si="79"/>
        <v>0</v>
      </c>
      <c r="N273" s="30">
        <f t="shared" si="86"/>
        <v>0</v>
      </c>
      <c r="O273" s="30">
        <f t="shared" si="80"/>
        <v>0</v>
      </c>
      <c r="P273" s="30">
        <f t="shared" si="87"/>
        <v>0</v>
      </c>
      <c r="Q273">
        <f t="shared" si="88"/>
        <v>0</v>
      </c>
      <c r="R273" s="30">
        <f t="shared" si="89"/>
        <v>0</v>
      </c>
      <c r="S273" s="30">
        <f t="shared" si="81"/>
        <v>0</v>
      </c>
      <c r="T273" s="30">
        <f t="shared" si="90"/>
        <v>0</v>
      </c>
      <c r="U273">
        <f t="shared" si="91"/>
        <v>0</v>
      </c>
      <c r="V273" s="30">
        <f t="shared" si="92"/>
        <v>0</v>
      </c>
      <c r="W273" s="30">
        <f t="shared" si="82"/>
        <v>0</v>
      </c>
      <c r="X273" s="30">
        <f t="shared" si="93"/>
        <v>0</v>
      </c>
      <c r="Y273">
        <f t="shared" si="94"/>
        <v>0</v>
      </c>
    </row>
    <row r="274" spans="1:25" x14ac:dyDescent="0.25">
      <c r="A274" s="4" t="s">
        <v>1181</v>
      </c>
      <c r="B274" s="7" t="s">
        <v>241</v>
      </c>
      <c r="C274" s="2" t="s">
        <v>1182</v>
      </c>
      <c r="D274">
        <f>VLOOKUP(B274,'Model allocations'!$A$1:$L$319,4,FALSE)</f>
        <v>5713.1517878928353</v>
      </c>
      <c r="E274" s="32">
        <f>VLOOKUP(B274,'Initial adjusted formula count'!$A$1:$P$319,12,FALSE)</f>
        <v>0.17177914110429399</v>
      </c>
      <c r="F274">
        <f>VLOOKUP(B274,'Model allocations'!$A$1:$L$319,9,FALSE)</f>
        <v>6347.5580379112216</v>
      </c>
      <c r="G274" s="31">
        <f t="shared" si="83"/>
        <v>0.9</v>
      </c>
      <c r="H274">
        <f t="shared" si="84"/>
        <v>5141.8366091035523</v>
      </c>
      <c r="I274">
        <f t="shared" si="76"/>
        <v>0</v>
      </c>
      <c r="J274">
        <f t="shared" si="77"/>
        <v>6347.5580379112216</v>
      </c>
      <c r="K274">
        <f t="shared" si="78"/>
        <v>6336.6608149123258</v>
      </c>
      <c r="L274">
        <f t="shared" si="85"/>
        <v>6336.6608149123258</v>
      </c>
      <c r="M274">
        <f t="shared" si="79"/>
        <v>0</v>
      </c>
      <c r="N274" s="30">
        <f t="shared" si="86"/>
        <v>6336.6608149123258</v>
      </c>
      <c r="O274" s="30">
        <f t="shared" si="80"/>
        <v>6331.0575720728093</v>
      </c>
      <c r="P274" s="30">
        <f t="shared" si="87"/>
        <v>6331.0575720728093</v>
      </c>
      <c r="Q274">
        <f t="shared" si="88"/>
        <v>0</v>
      </c>
      <c r="R274" s="30">
        <f t="shared" si="89"/>
        <v>6331.0575720728093</v>
      </c>
      <c r="S274" s="30">
        <f t="shared" si="81"/>
        <v>6331.0575720728102</v>
      </c>
      <c r="T274" s="30">
        <f t="shared" si="90"/>
        <v>6331.0575720728102</v>
      </c>
      <c r="U274">
        <f t="shared" si="91"/>
        <v>0</v>
      </c>
      <c r="V274" s="30">
        <f t="shared" si="92"/>
        <v>6331.0575720728102</v>
      </c>
      <c r="W274" s="30">
        <f t="shared" si="82"/>
        <v>6331.0575720728102</v>
      </c>
      <c r="X274" s="30">
        <f t="shared" si="93"/>
        <v>6331.0575720728102</v>
      </c>
      <c r="Y274">
        <f t="shared" si="94"/>
        <v>0</v>
      </c>
    </row>
    <row r="275" spans="1:25" x14ac:dyDescent="0.25">
      <c r="A275" s="4" t="s">
        <v>1183</v>
      </c>
      <c r="B275" s="7" t="s">
        <v>308</v>
      </c>
      <c r="C275" s="2" t="s">
        <v>1184</v>
      </c>
      <c r="D275">
        <f>VLOOKUP(B275,'Model allocations'!$A$1:$L$319,4,FALSE)</f>
        <v>0</v>
      </c>
      <c r="E275" s="32">
        <f>VLOOKUP(B275,'Initial adjusted formula count'!$A$1:$P$319,12,FALSE)</f>
        <v>0.12789927104042401</v>
      </c>
      <c r="F275">
        <f>VLOOKUP(B275,'Model allocations'!$A$1:$L$319,9,FALSE)</f>
        <v>0</v>
      </c>
      <c r="G275" s="31">
        <f t="shared" si="83"/>
        <v>0.85</v>
      </c>
      <c r="H275">
        <f t="shared" si="84"/>
        <v>0</v>
      </c>
      <c r="I275">
        <f t="shared" si="76"/>
        <v>0</v>
      </c>
      <c r="J275">
        <f t="shared" si="77"/>
        <v>0</v>
      </c>
      <c r="K275">
        <f t="shared" si="78"/>
        <v>0</v>
      </c>
      <c r="L275">
        <f t="shared" si="85"/>
        <v>0</v>
      </c>
      <c r="M275">
        <f t="shared" si="79"/>
        <v>0</v>
      </c>
      <c r="N275" s="30">
        <f t="shared" si="86"/>
        <v>0</v>
      </c>
      <c r="O275" s="30">
        <f t="shared" si="80"/>
        <v>0</v>
      </c>
      <c r="P275" s="30">
        <f t="shared" si="87"/>
        <v>0</v>
      </c>
      <c r="Q275">
        <f t="shared" si="88"/>
        <v>0</v>
      </c>
      <c r="R275" s="30">
        <f t="shared" si="89"/>
        <v>0</v>
      </c>
      <c r="S275" s="30">
        <f t="shared" si="81"/>
        <v>0</v>
      </c>
      <c r="T275" s="30">
        <f t="shared" si="90"/>
        <v>0</v>
      </c>
      <c r="U275">
        <f t="shared" si="91"/>
        <v>0</v>
      </c>
      <c r="V275" s="30">
        <f t="shared" si="92"/>
        <v>0</v>
      </c>
      <c r="W275" s="30">
        <f t="shared" si="82"/>
        <v>0</v>
      </c>
      <c r="X275" s="30">
        <f t="shared" si="93"/>
        <v>0</v>
      </c>
      <c r="Y275">
        <f t="shared" si="94"/>
        <v>0</v>
      </c>
    </row>
    <row r="276" spans="1:25" x14ac:dyDescent="0.25">
      <c r="A276" s="4" t="s">
        <v>1185</v>
      </c>
      <c r="B276" s="7" t="s">
        <v>243</v>
      </c>
      <c r="C276" s="2" t="s">
        <v>1186</v>
      </c>
      <c r="D276">
        <f>VLOOKUP(B276,'Model allocations'!$A$1:$L$319,4,FALSE)</f>
        <v>6559.5446453584391</v>
      </c>
      <c r="E276" s="32">
        <f>VLOOKUP(B276,'Initial adjusted formula count'!$A$1:$P$319,12,FALSE)</f>
        <v>0.12195121951219499</v>
      </c>
      <c r="F276">
        <f>VLOOKUP(B276,'Model allocations'!$A$1:$L$319,9,FALSE)</f>
        <v>5575.6129485546735</v>
      </c>
      <c r="G276" s="31">
        <f t="shared" si="83"/>
        <v>0.85</v>
      </c>
      <c r="H276">
        <f t="shared" si="84"/>
        <v>5575.6129485546735</v>
      </c>
      <c r="I276">
        <f t="shared" si="76"/>
        <v>0</v>
      </c>
      <c r="J276">
        <f t="shared" si="77"/>
        <v>5575.6129485546735</v>
      </c>
      <c r="K276">
        <f t="shared" si="78"/>
        <v>5566.0409687014699</v>
      </c>
      <c r="L276">
        <f t="shared" si="85"/>
        <v>5566.0409687014699</v>
      </c>
      <c r="M276">
        <f t="shared" si="79"/>
        <v>5575.6129485546735</v>
      </c>
      <c r="N276" s="30">
        <f t="shared" si="86"/>
        <v>0</v>
      </c>
      <c r="O276" s="30">
        <f t="shared" si="80"/>
        <v>0</v>
      </c>
      <c r="P276" s="30">
        <f t="shared" si="87"/>
        <v>5575.6129485546735</v>
      </c>
      <c r="Q276">
        <f t="shared" si="88"/>
        <v>0</v>
      </c>
      <c r="R276" s="30">
        <f t="shared" si="89"/>
        <v>0</v>
      </c>
      <c r="S276" s="30">
        <f t="shared" si="81"/>
        <v>0</v>
      </c>
      <c r="T276" s="30">
        <f t="shared" si="90"/>
        <v>5575.6129485546735</v>
      </c>
      <c r="U276">
        <f t="shared" si="91"/>
        <v>0</v>
      </c>
      <c r="V276" s="30">
        <f t="shared" si="92"/>
        <v>0</v>
      </c>
      <c r="W276" s="30">
        <f t="shared" si="82"/>
        <v>0</v>
      </c>
      <c r="X276" s="30">
        <f t="shared" si="93"/>
        <v>5575.6129485546735</v>
      </c>
      <c r="Y276">
        <f t="shared" si="94"/>
        <v>0</v>
      </c>
    </row>
    <row r="277" spans="1:25" x14ac:dyDescent="0.25">
      <c r="A277" s="4" t="s">
        <v>1187</v>
      </c>
      <c r="B277" s="7" t="s">
        <v>245</v>
      </c>
      <c r="C277" s="2" t="s">
        <v>1188</v>
      </c>
      <c r="D277">
        <f>VLOOKUP(B277,'Model allocations'!$A$1:$L$319,4,FALSE)</f>
        <v>0</v>
      </c>
      <c r="E277" s="32">
        <f>VLOOKUP(B277,'Initial adjusted formula count'!$A$1:$P$319,12,FALSE)</f>
        <v>0.105633802816901</v>
      </c>
      <c r="F277">
        <f>VLOOKUP(B277,'Model allocations'!$A$1:$L$319,9,FALSE)</f>
        <v>0</v>
      </c>
      <c r="G277" s="31">
        <f t="shared" si="83"/>
        <v>0.85</v>
      </c>
      <c r="H277">
        <f t="shared" si="84"/>
        <v>0</v>
      </c>
      <c r="I277">
        <f t="shared" si="76"/>
        <v>0</v>
      </c>
      <c r="J277">
        <f t="shared" si="77"/>
        <v>0</v>
      </c>
      <c r="K277">
        <f t="shared" si="78"/>
        <v>0</v>
      </c>
      <c r="L277">
        <f t="shared" si="85"/>
        <v>0</v>
      </c>
      <c r="M277">
        <f t="shared" si="79"/>
        <v>0</v>
      </c>
      <c r="N277" s="30">
        <f t="shared" si="86"/>
        <v>0</v>
      </c>
      <c r="O277" s="30">
        <f t="shared" si="80"/>
        <v>0</v>
      </c>
      <c r="P277" s="30">
        <f t="shared" si="87"/>
        <v>0</v>
      </c>
      <c r="Q277">
        <f t="shared" si="88"/>
        <v>0</v>
      </c>
      <c r="R277" s="30">
        <f t="shared" si="89"/>
        <v>0</v>
      </c>
      <c r="S277" s="30">
        <f t="shared" si="81"/>
        <v>0</v>
      </c>
      <c r="T277" s="30">
        <f t="shared" si="90"/>
        <v>0</v>
      </c>
      <c r="U277">
        <f t="shared" si="91"/>
        <v>0</v>
      </c>
      <c r="V277" s="30">
        <f t="shared" si="92"/>
        <v>0</v>
      </c>
      <c r="W277" s="30">
        <f t="shared" si="82"/>
        <v>0</v>
      </c>
      <c r="X277" s="30">
        <f t="shared" si="93"/>
        <v>0</v>
      </c>
      <c r="Y277">
        <f t="shared" si="94"/>
        <v>0</v>
      </c>
    </row>
    <row r="278" spans="1:25" hidden="1" x14ac:dyDescent="0.25">
      <c r="A278" s="8" t="s">
        <v>1189</v>
      </c>
      <c r="B278" s="7" t="s">
        <v>608</v>
      </c>
      <c r="C278" s="2" t="s">
        <v>1190</v>
      </c>
      <c r="D278">
        <f>VLOOKUP(B278,'Model allocations'!$A$1:$L$319,4,FALSE)</f>
        <v>72939.802411624754</v>
      </c>
      <c r="E278" s="32">
        <f>VLOOKUP(B278,'Initial adjusted formula count'!$A$1:$P$319,12,FALSE)</f>
        <v>0.25044247787610602</v>
      </c>
      <c r="F278">
        <f>VLOOKUP(B278,'Model allocations'!$A$1:$L$319,9,FALSE)</f>
        <v>65645.822170462285</v>
      </c>
      <c r="G278" s="31">
        <f t="shared" si="83"/>
        <v>0.9</v>
      </c>
      <c r="H278">
        <f t="shared" si="84"/>
        <v>65645.822170462285</v>
      </c>
      <c r="I278">
        <f t="shared" si="76"/>
        <v>0</v>
      </c>
      <c r="J278">
        <f t="shared" si="77"/>
        <v>65645.822170462285</v>
      </c>
      <c r="K278">
        <f t="shared" si="78"/>
        <v>65533.124159847044</v>
      </c>
      <c r="L278">
        <f t="shared" si="85"/>
        <v>65533.124159847044</v>
      </c>
      <c r="M278">
        <f t="shared" si="79"/>
        <v>65645.822170462285</v>
      </c>
      <c r="N278" s="30">
        <f t="shared" si="86"/>
        <v>0</v>
      </c>
      <c r="O278" s="30">
        <f t="shared" si="80"/>
        <v>0</v>
      </c>
      <c r="P278" s="30">
        <f t="shared" si="87"/>
        <v>65645.822170462285</v>
      </c>
      <c r="Q278">
        <f t="shared" si="88"/>
        <v>0</v>
      </c>
      <c r="R278" s="30">
        <f t="shared" si="89"/>
        <v>0</v>
      </c>
      <c r="S278" s="30">
        <f t="shared" si="81"/>
        <v>0</v>
      </c>
      <c r="T278" s="30">
        <f t="shared" si="90"/>
        <v>65645.822170462285</v>
      </c>
      <c r="U278">
        <f t="shared" si="91"/>
        <v>0</v>
      </c>
      <c r="V278" s="30">
        <f t="shared" si="92"/>
        <v>0</v>
      </c>
      <c r="W278" s="30">
        <f t="shared" si="82"/>
        <v>0</v>
      </c>
      <c r="X278" s="30">
        <f t="shared" si="93"/>
        <v>65645.822170462285</v>
      </c>
      <c r="Y278">
        <f t="shared" si="94"/>
        <v>0</v>
      </c>
    </row>
    <row r="279" spans="1:25" hidden="1" x14ac:dyDescent="0.25">
      <c r="A279" s="4" t="s">
        <v>1191</v>
      </c>
      <c r="B279" s="7" t="s">
        <v>610</v>
      </c>
      <c r="C279" s="2" t="s">
        <v>1192</v>
      </c>
      <c r="D279">
        <f>VLOOKUP(B279,'Model allocations'!$A$1:$L$319,4,FALSE)</f>
        <v>166104.59827762499</v>
      </c>
      <c r="E279" s="32">
        <f>VLOOKUP(B279,'Initial adjusted formula count'!$A$1:$P$319,12,FALSE)</f>
        <v>0.208933717579251</v>
      </c>
      <c r="F279">
        <f>VLOOKUP(B279,'Model allocations'!$A$1:$L$319,9,FALSE)</f>
        <v>164356.41348162989</v>
      </c>
      <c r="G279" s="31">
        <f t="shared" si="83"/>
        <v>0.9</v>
      </c>
      <c r="H279">
        <f t="shared" si="84"/>
        <v>149494.13844986248</v>
      </c>
      <c r="I279">
        <f t="shared" si="76"/>
        <v>0</v>
      </c>
      <c r="J279">
        <f t="shared" si="77"/>
        <v>164356.41348162989</v>
      </c>
      <c r="K279">
        <f t="shared" si="78"/>
        <v>164074.25324326562</v>
      </c>
      <c r="L279">
        <f t="shared" si="85"/>
        <v>164074.25324326562</v>
      </c>
      <c r="M279">
        <f t="shared" si="79"/>
        <v>0</v>
      </c>
      <c r="N279" s="30">
        <f t="shared" si="86"/>
        <v>164074.25324326562</v>
      </c>
      <c r="O279" s="30">
        <f t="shared" si="80"/>
        <v>163929.16927688525</v>
      </c>
      <c r="P279" s="30">
        <f t="shared" si="87"/>
        <v>163929.16927688525</v>
      </c>
      <c r="Q279">
        <f t="shared" si="88"/>
        <v>0</v>
      </c>
      <c r="R279" s="30">
        <f t="shared" si="89"/>
        <v>163929.16927688525</v>
      </c>
      <c r="S279" s="30">
        <f t="shared" si="81"/>
        <v>163929.16927688528</v>
      </c>
      <c r="T279" s="30">
        <f t="shared" si="90"/>
        <v>163929.16927688528</v>
      </c>
      <c r="U279">
        <f t="shared" si="91"/>
        <v>0</v>
      </c>
      <c r="V279" s="30">
        <f t="shared" si="92"/>
        <v>163929.16927688528</v>
      </c>
      <c r="W279" s="30">
        <f t="shared" si="82"/>
        <v>163929.16927688528</v>
      </c>
      <c r="X279" s="30">
        <f t="shared" si="93"/>
        <v>163929.16927688528</v>
      </c>
      <c r="Y279">
        <f t="shared" si="94"/>
        <v>0</v>
      </c>
    </row>
    <row r="280" spans="1:25" x14ac:dyDescent="0.25">
      <c r="A280" s="4" t="s">
        <v>1193</v>
      </c>
      <c r="B280" s="7" t="s">
        <v>247</v>
      </c>
      <c r="C280" s="2" t="s">
        <v>1194</v>
      </c>
      <c r="D280">
        <f>VLOOKUP(B280,'Model allocations'!$A$1:$L$319,4,FALSE)</f>
        <v>0</v>
      </c>
      <c r="E280" s="32">
        <f>VLOOKUP(B280,'Initial adjusted formula count'!$A$1:$P$319,12,FALSE)</f>
        <v>0.12844036697247699</v>
      </c>
      <c r="F280">
        <f>VLOOKUP(B280,'Model allocations'!$A$1:$L$319,9,FALSE)</f>
        <v>0</v>
      </c>
      <c r="G280" s="31">
        <f t="shared" si="83"/>
        <v>0.85</v>
      </c>
      <c r="H280">
        <f t="shared" si="84"/>
        <v>0</v>
      </c>
      <c r="I280">
        <f t="shared" si="76"/>
        <v>0</v>
      </c>
      <c r="J280">
        <f t="shared" si="77"/>
        <v>0</v>
      </c>
      <c r="K280">
        <f t="shared" si="78"/>
        <v>0</v>
      </c>
      <c r="L280">
        <f t="shared" si="85"/>
        <v>0</v>
      </c>
      <c r="M280">
        <f t="shared" si="79"/>
        <v>0</v>
      </c>
      <c r="N280" s="30">
        <f t="shared" si="86"/>
        <v>0</v>
      </c>
      <c r="O280" s="30">
        <f t="shared" si="80"/>
        <v>0</v>
      </c>
      <c r="P280" s="30">
        <f t="shared" si="87"/>
        <v>0</v>
      </c>
      <c r="Q280">
        <f t="shared" si="88"/>
        <v>0</v>
      </c>
      <c r="R280" s="30">
        <f t="shared" si="89"/>
        <v>0</v>
      </c>
      <c r="S280" s="30">
        <f t="shared" si="81"/>
        <v>0</v>
      </c>
      <c r="T280" s="30">
        <f t="shared" si="90"/>
        <v>0</v>
      </c>
      <c r="U280">
        <f t="shared" si="91"/>
        <v>0</v>
      </c>
      <c r="V280" s="30">
        <f t="shared" si="92"/>
        <v>0</v>
      </c>
      <c r="W280" s="30">
        <f t="shared" si="82"/>
        <v>0</v>
      </c>
      <c r="X280" s="30">
        <f t="shared" si="93"/>
        <v>0</v>
      </c>
      <c r="Y280">
        <f t="shared" si="94"/>
        <v>0</v>
      </c>
    </row>
    <row r="281" spans="1:25" x14ac:dyDescent="0.25">
      <c r="A281" s="4" t="s">
        <v>1195</v>
      </c>
      <c r="B281" s="7" t="s">
        <v>249</v>
      </c>
      <c r="C281" s="2" t="s">
        <v>1196</v>
      </c>
      <c r="D281">
        <f>VLOOKUP(B281,'Model allocations'!$A$1:$L$319,4,FALSE)</f>
        <v>0</v>
      </c>
      <c r="E281" s="32">
        <f>VLOOKUP(B281,'Initial adjusted formula count'!$A$1:$P$319,12,FALSE)</f>
        <v>9.8958333333333301E-2</v>
      </c>
      <c r="F281">
        <f>VLOOKUP(B281,'Model allocations'!$A$1:$L$319,9,FALSE)</f>
        <v>0</v>
      </c>
      <c r="G281" s="31">
        <f t="shared" si="83"/>
        <v>0.85</v>
      </c>
      <c r="H281">
        <f t="shared" si="84"/>
        <v>0</v>
      </c>
      <c r="I281">
        <f t="shared" si="76"/>
        <v>0</v>
      </c>
      <c r="J281">
        <f t="shared" si="77"/>
        <v>0</v>
      </c>
      <c r="K281">
        <f t="shared" si="78"/>
        <v>0</v>
      </c>
      <c r="L281">
        <f t="shared" si="85"/>
        <v>0</v>
      </c>
      <c r="M281">
        <f t="shared" si="79"/>
        <v>0</v>
      </c>
      <c r="N281" s="30">
        <f t="shared" si="86"/>
        <v>0</v>
      </c>
      <c r="O281" s="30">
        <f t="shared" si="80"/>
        <v>0</v>
      </c>
      <c r="P281" s="30">
        <f t="shared" si="87"/>
        <v>0</v>
      </c>
      <c r="Q281">
        <f t="shared" si="88"/>
        <v>0</v>
      </c>
      <c r="R281" s="30">
        <f t="shared" si="89"/>
        <v>0</v>
      </c>
      <c r="S281" s="30">
        <f t="shared" si="81"/>
        <v>0</v>
      </c>
      <c r="T281" s="30">
        <f t="shared" si="90"/>
        <v>0</v>
      </c>
      <c r="U281">
        <f t="shared" si="91"/>
        <v>0</v>
      </c>
      <c r="V281" s="30">
        <f t="shared" si="92"/>
        <v>0</v>
      </c>
      <c r="W281" s="30">
        <f t="shared" si="82"/>
        <v>0</v>
      </c>
      <c r="X281" s="30">
        <f t="shared" si="93"/>
        <v>0</v>
      </c>
      <c r="Y281">
        <f t="shared" si="94"/>
        <v>0</v>
      </c>
    </row>
    <row r="282" spans="1:25" hidden="1" x14ac:dyDescent="0.25">
      <c r="A282" s="4" t="s">
        <v>1197</v>
      </c>
      <c r="B282" s="7" t="s">
        <v>612</v>
      </c>
      <c r="C282" s="2" t="s">
        <v>1198</v>
      </c>
      <c r="D282">
        <f>VLOOKUP(B282,'Model allocations'!$A$1:$L$319,4,FALSE)</f>
        <v>10156.714289587262</v>
      </c>
      <c r="E282" s="32">
        <f>VLOOKUP(B282,'Initial adjusted formula count'!$A$1:$P$319,12,FALSE)</f>
        <v>0.17171717171717199</v>
      </c>
      <c r="F282">
        <f>VLOOKUP(B282,'Model allocations'!$A$1:$L$319,9,FALSE)</f>
        <v>9141.0428606285368</v>
      </c>
      <c r="G282" s="31">
        <f t="shared" si="83"/>
        <v>0.9</v>
      </c>
      <c r="H282">
        <f t="shared" si="84"/>
        <v>9141.0428606285368</v>
      </c>
      <c r="I282">
        <f t="shared" si="76"/>
        <v>0</v>
      </c>
      <c r="J282">
        <f t="shared" si="77"/>
        <v>9141.0428606285368</v>
      </c>
      <c r="K282">
        <f t="shared" si="78"/>
        <v>9125.3498993511785</v>
      </c>
      <c r="L282">
        <f t="shared" si="85"/>
        <v>9125.3498993511785</v>
      </c>
      <c r="M282">
        <f t="shared" si="79"/>
        <v>9141.0428606285368</v>
      </c>
      <c r="N282" s="30">
        <f t="shared" si="86"/>
        <v>0</v>
      </c>
      <c r="O282" s="30">
        <f t="shared" si="80"/>
        <v>0</v>
      </c>
      <c r="P282" s="30">
        <f t="shared" si="87"/>
        <v>9141.0428606285368</v>
      </c>
      <c r="Q282">
        <f t="shared" si="88"/>
        <v>0</v>
      </c>
      <c r="R282" s="30">
        <f t="shared" si="89"/>
        <v>0</v>
      </c>
      <c r="S282" s="30">
        <f t="shared" si="81"/>
        <v>0</v>
      </c>
      <c r="T282" s="30">
        <f t="shared" si="90"/>
        <v>9141.0428606285368</v>
      </c>
      <c r="U282">
        <f t="shared" si="91"/>
        <v>0</v>
      </c>
      <c r="V282" s="30">
        <f t="shared" si="92"/>
        <v>0</v>
      </c>
      <c r="W282" s="30">
        <f t="shared" si="82"/>
        <v>0</v>
      </c>
      <c r="X282" s="30">
        <f t="shared" si="93"/>
        <v>9141.0428606285368</v>
      </c>
      <c r="Y282">
        <f t="shared" si="94"/>
        <v>0</v>
      </c>
    </row>
    <row r="283" spans="1:25" hidden="1" x14ac:dyDescent="0.25">
      <c r="A283" s="4" t="s">
        <v>46</v>
      </c>
      <c r="B283" s="7" t="s">
        <v>63</v>
      </c>
      <c r="C283" s="2" t="s">
        <v>1199</v>
      </c>
      <c r="D283">
        <f>VLOOKUP(B283,'Model allocations'!$A$1:$L$319,4,FALSE)</f>
        <v>114957.3127223343</v>
      </c>
      <c r="E283" s="32">
        <f>VLOOKUP(B283,'Initial adjusted formula count'!$A$1:$P$319,12,FALSE)</f>
        <v>0.20088474831565001</v>
      </c>
      <c r="F283">
        <f>VLOOKUP(B283,'Model allocations'!$A$1:$L$319,9,FALSE)</f>
        <v>104044.43430574227</v>
      </c>
      <c r="G283" s="31">
        <f t="shared" si="83"/>
        <v>0.9</v>
      </c>
      <c r="H283">
        <f t="shared" si="84"/>
        <v>103461.58145010087</v>
      </c>
      <c r="I283">
        <f t="shared" si="76"/>
        <v>0</v>
      </c>
      <c r="J283">
        <f t="shared" si="77"/>
        <v>104044.43430574227</v>
      </c>
      <c r="K283">
        <f t="shared" si="78"/>
        <v>103865.81515871723</v>
      </c>
      <c r="L283">
        <f t="shared" si="85"/>
        <v>103865.81515871723</v>
      </c>
      <c r="M283">
        <f t="shared" si="79"/>
        <v>0</v>
      </c>
      <c r="N283" s="30">
        <f t="shared" si="86"/>
        <v>103865.81515871723</v>
      </c>
      <c r="O283" s="30">
        <f t="shared" si="80"/>
        <v>103773.97098367648</v>
      </c>
      <c r="P283" s="30">
        <f t="shared" si="87"/>
        <v>103773.97098367648</v>
      </c>
      <c r="Q283">
        <f t="shared" si="88"/>
        <v>0</v>
      </c>
      <c r="R283" s="30">
        <f t="shared" si="89"/>
        <v>103773.97098367648</v>
      </c>
      <c r="S283" s="30">
        <f t="shared" si="81"/>
        <v>103773.9709836765</v>
      </c>
      <c r="T283" s="30">
        <f t="shared" si="90"/>
        <v>103773.9709836765</v>
      </c>
      <c r="U283">
        <f t="shared" si="91"/>
        <v>0</v>
      </c>
      <c r="V283" s="30">
        <f t="shared" si="92"/>
        <v>103773.9709836765</v>
      </c>
      <c r="W283" s="30">
        <f t="shared" si="82"/>
        <v>103773.9709836765</v>
      </c>
      <c r="X283" s="30">
        <f t="shared" si="93"/>
        <v>103773.9709836765</v>
      </c>
      <c r="Y283">
        <f t="shared" si="94"/>
        <v>0</v>
      </c>
    </row>
    <row r="284" spans="1:25" x14ac:dyDescent="0.25">
      <c r="A284" s="4" t="s">
        <v>1200</v>
      </c>
      <c r="B284" s="7" t="s">
        <v>251</v>
      </c>
      <c r="C284" s="2" t="s">
        <v>1201</v>
      </c>
      <c r="D284">
        <f>VLOOKUP(B284,'Model allocations'!$A$1:$L$319,4,FALSE)</f>
        <v>0</v>
      </c>
      <c r="E284" s="32">
        <f>VLOOKUP(B284,'Initial adjusted formula count'!$A$1:$P$319,12,FALSE)</f>
        <v>9.6971461852067606E-2</v>
      </c>
      <c r="F284">
        <f>VLOOKUP(B284,'Model allocations'!$A$1:$L$319,9,FALSE)</f>
        <v>0</v>
      </c>
      <c r="G284" s="31">
        <f t="shared" si="83"/>
        <v>0.85</v>
      </c>
      <c r="H284">
        <f t="shared" si="84"/>
        <v>0</v>
      </c>
      <c r="I284">
        <f t="shared" si="76"/>
        <v>0</v>
      </c>
      <c r="J284">
        <f t="shared" si="77"/>
        <v>0</v>
      </c>
      <c r="K284">
        <f t="shared" si="78"/>
        <v>0</v>
      </c>
      <c r="L284">
        <f t="shared" si="85"/>
        <v>0</v>
      </c>
      <c r="M284">
        <f t="shared" si="79"/>
        <v>0</v>
      </c>
      <c r="N284" s="30">
        <f t="shared" si="86"/>
        <v>0</v>
      </c>
      <c r="O284" s="30">
        <f t="shared" si="80"/>
        <v>0</v>
      </c>
      <c r="P284" s="30">
        <f t="shared" si="87"/>
        <v>0</v>
      </c>
      <c r="Q284">
        <f t="shared" si="88"/>
        <v>0</v>
      </c>
      <c r="R284" s="30">
        <f t="shared" si="89"/>
        <v>0</v>
      </c>
      <c r="S284" s="30">
        <f t="shared" si="81"/>
        <v>0</v>
      </c>
      <c r="T284" s="30">
        <f t="shared" si="90"/>
        <v>0</v>
      </c>
      <c r="U284">
        <f t="shared" si="91"/>
        <v>0</v>
      </c>
      <c r="V284" s="30">
        <f t="shared" si="92"/>
        <v>0</v>
      </c>
      <c r="W284" s="30">
        <f t="shared" si="82"/>
        <v>0</v>
      </c>
      <c r="X284" s="30">
        <f t="shared" si="93"/>
        <v>0</v>
      </c>
      <c r="Y284">
        <f t="shared" si="94"/>
        <v>0</v>
      </c>
    </row>
    <row r="285" spans="1:25" hidden="1" x14ac:dyDescent="0.25">
      <c r="A285" s="4" t="s">
        <v>1202</v>
      </c>
      <c r="B285" s="7" t="s">
        <v>614</v>
      </c>
      <c r="C285" s="2" t="s">
        <v>1203</v>
      </c>
      <c r="D285">
        <f>VLOOKUP(B285,'Model allocations'!$A$1:$L$319,4,FALSE)</f>
        <v>33432.517869891402</v>
      </c>
      <c r="E285" s="32">
        <f>VLOOKUP(B285,'Initial adjusted formula count'!$A$1:$P$319,12,FALSE)</f>
        <v>0.249382716049383</v>
      </c>
      <c r="F285">
        <f>VLOOKUP(B285,'Model allocations'!$A$1:$L$319,9,FALSE)</f>
        <v>45793.097273502404</v>
      </c>
      <c r="G285" s="31">
        <f t="shared" si="83"/>
        <v>0.9</v>
      </c>
      <c r="H285">
        <f t="shared" si="84"/>
        <v>30089.266082902264</v>
      </c>
      <c r="I285">
        <f t="shared" si="76"/>
        <v>0</v>
      </c>
      <c r="J285">
        <f t="shared" si="77"/>
        <v>45793.097273502404</v>
      </c>
      <c r="K285">
        <f t="shared" si="78"/>
        <v>45714.481593296085</v>
      </c>
      <c r="L285">
        <f t="shared" si="85"/>
        <v>45714.481593296085</v>
      </c>
      <c r="M285">
        <f t="shared" si="79"/>
        <v>0</v>
      </c>
      <c r="N285" s="30">
        <f t="shared" si="86"/>
        <v>45714.481593296085</v>
      </c>
      <c r="O285" s="30">
        <f t="shared" si="80"/>
        <v>45674.058198525287</v>
      </c>
      <c r="P285" s="30">
        <f t="shared" si="87"/>
        <v>45674.058198525287</v>
      </c>
      <c r="Q285">
        <f t="shared" si="88"/>
        <v>0</v>
      </c>
      <c r="R285" s="30">
        <f t="shared" si="89"/>
        <v>45674.058198525287</v>
      </c>
      <c r="S285" s="30">
        <f t="shared" si="81"/>
        <v>45674.058198525301</v>
      </c>
      <c r="T285" s="30">
        <f t="shared" si="90"/>
        <v>45674.058198525301</v>
      </c>
      <c r="U285">
        <f t="shared" si="91"/>
        <v>0</v>
      </c>
      <c r="V285" s="30">
        <f t="shared" si="92"/>
        <v>45674.058198525301</v>
      </c>
      <c r="W285" s="30">
        <f t="shared" si="82"/>
        <v>45674.058198525301</v>
      </c>
      <c r="X285" s="30">
        <f t="shared" si="93"/>
        <v>45674.058198525301</v>
      </c>
      <c r="Y285">
        <f t="shared" si="94"/>
        <v>0</v>
      </c>
    </row>
    <row r="286" spans="1:25" x14ac:dyDescent="0.25">
      <c r="A286" s="4" t="s">
        <v>1204</v>
      </c>
      <c r="B286" s="7" t="s">
        <v>253</v>
      </c>
      <c r="C286" s="2" t="s">
        <v>1205</v>
      </c>
      <c r="D286">
        <f>VLOOKUP(B286,'Model allocations'!$A$1:$L$319,4,FALSE)</f>
        <v>0</v>
      </c>
      <c r="E286" s="32">
        <f>VLOOKUP(B286,'Initial adjusted formula count'!$A$1:$P$319,12,FALSE)</f>
        <v>8.2145998240984994E-2</v>
      </c>
      <c r="F286">
        <f>VLOOKUP(B286,'Model allocations'!$A$1:$L$319,9,FALSE)</f>
        <v>0</v>
      </c>
      <c r="G286" s="31">
        <f t="shared" si="83"/>
        <v>0.85</v>
      </c>
      <c r="H286">
        <f t="shared" si="84"/>
        <v>0</v>
      </c>
      <c r="I286">
        <f t="shared" si="76"/>
        <v>0</v>
      </c>
      <c r="J286">
        <f t="shared" si="77"/>
        <v>0</v>
      </c>
      <c r="K286">
        <f t="shared" si="78"/>
        <v>0</v>
      </c>
      <c r="L286">
        <f t="shared" si="85"/>
        <v>0</v>
      </c>
      <c r="M286">
        <f t="shared" si="79"/>
        <v>0</v>
      </c>
      <c r="N286" s="30">
        <f t="shared" si="86"/>
        <v>0</v>
      </c>
      <c r="O286" s="30">
        <f t="shared" si="80"/>
        <v>0</v>
      </c>
      <c r="P286" s="30">
        <f t="shared" si="87"/>
        <v>0</v>
      </c>
      <c r="Q286">
        <f t="shared" si="88"/>
        <v>0</v>
      </c>
      <c r="R286" s="30">
        <f t="shared" si="89"/>
        <v>0</v>
      </c>
      <c r="S286" s="30">
        <f t="shared" si="81"/>
        <v>0</v>
      </c>
      <c r="T286" s="30">
        <f t="shared" si="90"/>
        <v>0</v>
      </c>
      <c r="U286">
        <f t="shared" si="91"/>
        <v>0</v>
      </c>
      <c r="V286" s="30">
        <f t="shared" si="92"/>
        <v>0</v>
      </c>
      <c r="W286" s="30">
        <f t="shared" si="82"/>
        <v>0</v>
      </c>
      <c r="X286" s="30">
        <f t="shared" si="93"/>
        <v>0</v>
      </c>
      <c r="Y286">
        <f t="shared" si="94"/>
        <v>0</v>
      </c>
    </row>
    <row r="287" spans="1:25" hidden="1" x14ac:dyDescent="0.25">
      <c r="A287" s="4" t="s">
        <v>1206</v>
      </c>
      <c r="B287" s="7" t="s">
        <v>616</v>
      </c>
      <c r="C287" s="2" t="s">
        <v>1207</v>
      </c>
      <c r="D287">
        <f>VLOOKUP(B287,'Model allocations'!$A$1:$L$319,4,FALSE)</f>
        <v>15235.071434380892</v>
      </c>
      <c r="E287" s="32">
        <f>VLOOKUP(B287,'Initial adjusted formula count'!$A$1:$P$319,12,FALSE)</f>
        <v>0.23263888888888901</v>
      </c>
      <c r="F287">
        <f>VLOOKUP(B287,'Model allocations'!$A$1:$L$319,9,FALSE)</f>
        <v>15188.799590716144</v>
      </c>
      <c r="G287" s="31">
        <f t="shared" si="83"/>
        <v>0.9</v>
      </c>
      <c r="H287">
        <f t="shared" si="84"/>
        <v>13711.564290942802</v>
      </c>
      <c r="I287">
        <f t="shared" si="76"/>
        <v>0</v>
      </c>
      <c r="J287">
        <f t="shared" si="77"/>
        <v>15188.799590716144</v>
      </c>
      <c r="K287">
        <f t="shared" si="78"/>
        <v>15162.724092825931</v>
      </c>
      <c r="L287">
        <f t="shared" si="85"/>
        <v>15162.724092825931</v>
      </c>
      <c r="M287">
        <f t="shared" si="79"/>
        <v>0</v>
      </c>
      <c r="N287" s="30">
        <f t="shared" si="86"/>
        <v>15162.724092825931</v>
      </c>
      <c r="O287" s="30">
        <f t="shared" si="80"/>
        <v>15149.316333174229</v>
      </c>
      <c r="P287" s="30">
        <f t="shared" si="87"/>
        <v>15149.316333174229</v>
      </c>
      <c r="Q287">
        <f t="shared" si="88"/>
        <v>0</v>
      </c>
      <c r="R287" s="30">
        <f t="shared" si="89"/>
        <v>15149.316333174229</v>
      </c>
      <c r="S287" s="30">
        <f t="shared" si="81"/>
        <v>15149.316333174231</v>
      </c>
      <c r="T287" s="30">
        <f t="shared" si="90"/>
        <v>15149.316333174231</v>
      </c>
      <c r="U287">
        <f t="shared" si="91"/>
        <v>0</v>
      </c>
      <c r="V287" s="30">
        <f t="shared" si="92"/>
        <v>15149.316333174231</v>
      </c>
      <c r="W287" s="30">
        <f t="shared" si="82"/>
        <v>15149.316333174231</v>
      </c>
      <c r="X287" s="30">
        <f t="shared" si="93"/>
        <v>15149.316333174231</v>
      </c>
      <c r="Y287">
        <f t="shared" si="94"/>
        <v>0</v>
      </c>
    </row>
    <row r="288" spans="1:25" hidden="1" x14ac:dyDescent="0.25">
      <c r="A288" s="4" t="s">
        <v>52</v>
      </c>
      <c r="B288" s="7" t="s">
        <v>66</v>
      </c>
      <c r="C288" s="2" t="s">
        <v>1208</v>
      </c>
      <c r="D288">
        <f>VLOOKUP(B288,'Model allocations'!$A$1:$L$319,4,FALSE)</f>
        <v>0</v>
      </c>
      <c r="E288" s="32">
        <f>VLOOKUP(B288,'Initial adjusted formula count'!$A$1:$P$319,12,FALSE)</f>
        <v>0.11467654976748599</v>
      </c>
      <c r="F288">
        <f>VLOOKUP(B288,'Model allocations'!$A$1:$L$319,9,FALSE)</f>
        <v>0</v>
      </c>
      <c r="G288" s="31">
        <f t="shared" si="83"/>
        <v>0.85</v>
      </c>
      <c r="H288">
        <f t="shared" si="84"/>
        <v>0</v>
      </c>
      <c r="I288">
        <f t="shared" si="76"/>
        <v>0</v>
      </c>
      <c r="J288">
        <f t="shared" si="77"/>
        <v>0</v>
      </c>
      <c r="K288">
        <f t="shared" si="78"/>
        <v>0</v>
      </c>
      <c r="L288">
        <f t="shared" si="85"/>
        <v>0</v>
      </c>
      <c r="M288">
        <f t="shared" si="79"/>
        <v>0</v>
      </c>
      <c r="N288" s="30">
        <f t="shared" si="86"/>
        <v>0</v>
      </c>
      <c r="O288" s="30">
        <f t="shared" si="80"/>
        <v>0</v>
      </c>
      <c r="P288" s="30">
        <f t="shared" si="87"/>
        <v>0</v>
      </c>
      <c r="Q288">
        <f t="shared" si="88"/>
        <v>0</v>
      </c>
      <c r="R288" s="30">
        <f t="shared" si="89"/>
        <v>0</v>
      </c>
      <c r="S288" s="30">
        <f t="shared" si="81"/>
        <v>0</v>
      </c>
      <c r="T288" s="30">
        <f t="shared" si="90"/>
        <v>0</v>
      </c>
      <c r="U288">
        <f t="shared" si="91"/>
        <v>0</v>
      </c>
      <c r="V288" s="30">
        <f t="shared" si="92"/>
        <v>0</v>
      </c>
      <c r="W288" s="30">
        <f t="shared" si="82"/>
        <v>0</v>
      </c>
      <c r="X288" s="30">
        <f t="shared" si="93"/>
        <v>0</v>
      </c>
      <c r="Y288">
        <f t="shared" si="94"/>
        <v>0</v>
      </c>
    </row>
    <row r="289" spans="1:25" x14ac:dyDescent="0.25">
      <c r="A289" s="4" t="s">
        <v>1209</v>
      </c>
      <c r="B289" s="7" t="s">
        <v>255</v>
      </c>
      <c r="C289" s="2" t="s">
        <v>1210</v>
      </c>
      <c r="D289">
        <f>VLOOKUP(B289,'Model allocations'!$A$1:$L$319,4,FALSE)</f>
        <v>0</v>
      </c>
      <c r="E289" s="32">
        <f>VLOOKUP(B289,'Initial adjusted formula count'!$A$1:$P$319,12,FALSE)</f>
        <v>8.29787234042553E-2</v>
      </c>
      <c r="F289">
        <f>VLOOKUP(B289,'Model allocations'!$A$1:$L$319,9,FALSE)</f>
        <v>0</v>
      </c>
      <c r="G289" s="31">
        <f t="shared" si="83"/>
        <v>0.85</v>
      </c>
      <c r="H289">
        <f t="shared" si="84"/>
        <v>0</v>
      </c>
      <c r="I289">
        <f t="shared" si="76"/>
        <v>0</v>
      </c>
      <c r="J289">
        <f t="shared" si="77"/>
        <v>0</v>
      </c>
      <c r="K289">
        <f t="shared" si="78"/>
        <v>0</v>
      </c>
      <c r="L289">
        <f t="shared" si="85"/>
        <v>0</v>
      </c>
      <c r="M289">
        <f t="shared" si="79"/>
        <v>0</v>
      </c>
      <c r="N289" s="30">
        <f t="shared" si="86"/>
        <v>0</v>
      </c>
      <c r="O289" s="30">
        <f t="shared" si="80"/>
        <v>0</v>
      </c>
      <c r="P289" s="30">
        <f t="shared" si="87"/>
        <v>0</v>
      </c>
      <c r="Q289">
        <f t="shared" si="88"/>
        <v>0</v>
      </c>
      <c r="R289" s="30">
        <f t="shared" si="89"/>
        <v>0</v>
      </c>
      <c r="S289" s="30">
        <f t="shared" si="81"/>
        <v>0</v>
      </c>
      <c r="T289" s="30">
        <f t="shared" si="90"/>
        <v>0</v>
      </c>
      <c r="U289">
        <f t="shared" si="91"/>
        <v>0</v>
      </c>
      <c r="V289" s="30">
        <f t="shared" si="92"/>
        <v>0</v>
      </c>
      <c r="W289" s="30">
        <f t="shared" si="82"/>
        <v>0</v>
      </c>
      <c r="X289" s="30">
        <f t="shared" si="93"/>
        <v>0</v>
      </c>
      <c r="Y289">
        <f t="shared" si="94"/>
        <v>0</v>
      </c>
    </row>
    <row r="290" spans="1:25" hidden="1" x14ac:dyDescent="0.25">
      <c r="A290" s="4" t="s">
        <v>1211</v>
      </c>
      <c r="B290" s="7" t="s">
        <v>618</v>
      </c>
      <c r="C290" s="2" t="s">
        <v>1212</v>
      </c>
      <c r="D290">
        <f>VLOOKUP(B290,'Model allocations'!$A$1:$L$319,4,FALSE)</f>
        <v>19467.035721708915</v>
      </c>
      <c r="E290" s="32">
        <f>VLOOKUP(B290,'Initial adjusted formula count'!$A$1:$P$319,12,FALSE)</f>
        <v>0.22424242424242399</v>
      </c>
      <c r="F290">
        <f>VLOOKUP(B290,'Model allocations'!$A$1:$L$319,9,FALSE)</f>
        <v>25163.533650290916</v>
      </c>
      <c r="G290" s="31">
        <f t="shared" si="83"/>
        <v>0.9</v>
      </c>
      <c r="H290">
        <f t="shared" si="84"/>
        <v>17520.332149538022</v>
      </c>
      <c r="I290">
        <f t="shared" si="76"/>
        <v>0</v>
      </c>
      <c r="J290">
        <f t="shared" si="77"/>
        <v>25163.533650290916</v>
      </c>
      <c r="K290">
        <f t="shared" si="78"/>
        <v>25120.333944831007</v>
      </c>
      <c r="L290">
        <f t="shared" si="85"/>
        <v>25120.333944831007</v>
      </c>
      <c r="M290">
        <f t="shared" si="79"/>
        <v>0</v>
      </c>
      <c r="N290" s="30">
        <f t="shared" si="86"/>
        <v>25120.333944831007</v>
      </c>
      <c r="O290" s="30">
        <f t="shared" si="80"/>
        <v>25098.121089288637</v>
      </c>
      <c r="P290" s="30">
        <f t="shared" si="87"/>
        <v>25098.121089288637</v>
      </c>
      <c r="Q290">
        <f t="shared" si="88"/>
        <v>0</v>
      </c>
      <c r="R290" s="30">
        <f t="shared" si="89"/>
        <v>25098.121089288637</v>
      </c>
      <c r="S290" s="30">
        <f t="shared" si="81"/>
        <v>25098.121089288641</v>
      </c>
      <c r="T290" s="30">
        <f t="shared" si="90"/>
        <v>25098.121089288641</v>
      </c>
      <c r="U290">
        <f t="shared" si="91"/>
        <v>0</v>
      </c>
      <c r="V290" s="30">
        <f t="shared" si="92"/>
        <v>25098.121089288641</v>
      </c>
      <c r="W290" s="30">
        <f t="shared" si="82"/>
        <v>25098.121089288641</v>
      </c>
      <c r="X290" s="30">
        <f t="shared" si="93"/>
        <v>25098.121089288641</v>
      </c>
      <c r="Y290">
        <f t="shared" si="94"/>
        <v>0</v>
      </c>
    </row>
    <row r="291" spans="1:25" hidden="1" x14ac:dyDescent="0.25">
      <c r="A291" s="4" t="s">
        <v>1213</v>
      </c>
      <c r="B291" s="7" t="s">
        <v>620</v>
      </c>
      <c r="C291" s="2" t="s">
        <v>1214</v>
      </c>
      <c r="D291">
        <f>VLOOKUP(B291,'Model allocations'!$A$1:$L$319,4,FALSE)</f>
        <v>70684.658762183215</v>
      </c>
      <c r="E291" s="32">
        <f>VLOOKUP(B291,'Initial adjusted formula count'!$A$1:$P$319,12,FALSE)</f>
        <v>0.17495029821073599</v>
      </c>
      <c r="F291">
        <f>VLOOKUP(B291,'Model allocations'!$A$1:$L$319,9,FALSE)</f>
        <v>79797.872476598233</v>
      </c>
      <c r="G291" s="31">
        <f t="shared" si="83"/>
        <v>0.9</v>
      </c>
      <c r="H291">
        <f t="shared" si="84"/>
        <v>63616.192885964898</v>
      </c>
      <c r="I291">
        <f t="shared" si="76"/>
        <v>0</v>
      </c>
      <c r="J291">
        <f t="shared" si="77"/>
        <v>79797.872476598233</v>
      </c>
      <c r="K291">
        <f t="shared" si="78"/>
        <v>79660.878816040684</v>
      </c>
      <c r="L291">
        <f t="shared" si="85"/>
        <v>79660.878816040684</v>
      </c>
      <c r="M291">
        <f t="shared" si="79"/>
        <v>0</v>
      </c>
      <c r="N291" s="30">
        <f t="shared" si="86"/>
        <v>79660.878816040684</v>
      </c>
      <c r="O291" s="30">
        <f t="shared" si="80"/>
        <v>79590.438048915326</v>
      </c>
      <c r="P291" s="30">
        <f t="shared" si="87"/>
        <v>79590.438048915326</v>
      </c>
      <c r="Q291">
        <f t="shared" si="88"/>
        <v>0</v>
      </c>
      <c r="R291" s="30">
        <f t="shared" si="89"/>
        <v>79590.438048915326</v>
      </c>
      <c r="S291" s="30">
        <f t="shared" si="81"/>
        <v>79590.438048915341</v>
      </c>
      <c r="T291" s="30">
        <f t="shared" si="90"/>
        <v>79590.438048915341</v>
      </c>
      <c r="U291">
        <f t="shared" si="91"/>
        <v>0</v>
      </c>
      <c r="V291" s="30">
        <f t="shared" si="92"/>
        <v>79590.438048915341</v>
      </c>
      <c r="W291" s="30">
        <f t="shared" si="82"/>
        <v>79590.438048915341</v>
      </c>
      <c r="X291" s="30">
        <f t="shared" si="93"/>
        <v>79590.438048915341</v>
      </c>
      <c r="Y291">
        <f t="shared" si="94"/>
        <v>0</v>
      </c>
    </row>
    <row r="292" spans="1:25" hidden="1" x14ac:dyDescent="0.25">
      <c r="A292" s="4" t="s">
        <v>1215</v>
      </c>
      <c r="B292" s="7" t="s">
        <v>622</v>
      </c>
      <c r="C292" s="2" t="s">
        <v>1216</v>
      </c>
      <c r="D292">
        <f>VLOOKUP(B292,'Model allocations'!$A$1:$L$319,4,FALSE)</f>
        <v>6414.0564797406378</v>
      </c>
      <c r="E292" s="32">
        <f>VLOOKUP(B292,'Initial adjusted formula count'!$A$1:$P$319,12,FALSE)</f>
        <v>0.102189781021898</v>
      </c>
      <c r="F292">
        <f>VLOOKUP(B292,'Model allocations'!$A$1:$L$319,9,FALSE)</f>
        <v>5451.9480077795415</v>
      </c>
      <c r="G292" s="31">
        <f t="shared" si="83"/>
        <v>0.85</v>
      </c>
      <c r="H292">
        <f t="shared" si="84"/>
        <v>5451.9480077795415</v>
      </c>
      <c r="I292">
        <f t="shared" si="76"/>
        <v>0</v>
      </c>
      <c r="J292">
        <f t="shared" si="77"/>
        <v>5451.9480077795415</v>
      </c>
      <c r="K292">
        <f t="shared" si="78"/>
        <v>5442.5883307408567</v>
      </c>
      <c r="L292">
        <f t="shared" si="85"/>
        <v>5442.5883307408567</v>
      </c>
      <c r="M292">
        <f t="shared" si="79"/>
        <v>5451.9480077795415</v>
      </c>
      <c r="N292" s="30">
        <f t="shared" si="86"/>
        <v>0</v>
      </c>
      <c r="O292" s="30">
        <f t="shared" si="80"/>
        <v>0</v>
      </c>
      <c r="P292" s="30">
        <f t="shared" si="87"/>
        <v>5451.9480077795415</v>
      </c>
      <c r="Q292">
        <f t="shared" si="88"/>
        <v>0</v>
      </c>
      <c r="R292" s="30">
        <f t="shared" si="89"/>
        <v>0</v>
      </c>
      <c r="S292" s="30">
        <f t="shared" si="81"/>
        <v>0</v>
      </c>
      <c r="T292" s="30">
        <f t="shared" si="90"/>
        <v>5451.9480077795415</v>
      </c>
      <c r="U292">
        <f t="shared" si="91"/>
        <v>0</v>
      </c>
      <c r="V292" s="30">
        <f t="shared" si="92"/>
        <v>0</v>
      </c>
      <c r="W292" s="30">
        <f t="shared" si="82"/>
        <v>0</v>
      </c>
      <c r="X292" s="30">
        <f t="shared" si="93"/>
        <v>5451.9480077795415</v>
      </c>
      <c r="Y292">
        <f t="shared" si="94"/>
        <v>0</v>
      </c>
    </row>
    <row r="293" spans="1:25" hidden="1" x14ac:dyDescent="0.25">
      <c r="A293" s="4" t="s">
        <v>1217</v>
      </c>
      <c r="B293" s="7" t="s">
        <v>624</v>
      </c>
      <c r="C293" s="2" t="s">
        <v>1218</v>
      </c>
      <c r="D293">
        <f>VLOOKUP(B293,'Model allocations'!$A$1:$L$319,4,FALSE)</f>
        <v>0</v>
      </c>
      <c r="E293" s="32">
        <f>VLOOKUP(B293,'Initial adjusted formula count'!$A$1:$P$319,12,FALSE)</f>
        <v>0.138222372423116</v>
      </c>
      <c r="F293">
        <f>VLOOKUP(B293,'Model allocations'!$A$1:$L$319,9,FALSE)</f>
        <v>0</v>
      </c>
      <c r="G293" s="31">
        <f t="shared" si="83"/>
        <v>0.85</v>
      </c>
      <c r="H293">
        <f t="shared" si="84"/>
        <v>0</v>
      </c>
      <c r="I293">
        <f t="shared" si="76"/>
        <v>0</v>
      </c>
      <c r="J293">
        <f t="shared" si="77"/>
        <v>0</v>
      </c>
      <c r="K293">
        <f t="shared" si="78"/>
        <v>0</v>
      </c>
      <c r="L293">
        <f t="shared" si="85"/>
        <v>0</v>
      </c>
      <c r="M293">
        <f t="shared" si="79"/>
        <v>0</v>
      </c>
      <c r="N293" s="30">
        <f t="shared" si="86"/>
        <v>0</v>
      </c>
      <c r="O293" s="30">
        <f t="shared" si="80"/>
        <v>0</v>
      </c>
      <c r="P293" s="30">
        <f t="shared" si="87"/>
        <v>0</v>
      </c>
      <c r="Q293">
        <f t="shared" si="88"/>
        <v>0</v>
      </c>
      <c r="R293" s="30">
        <f t="shared" si="89"/>
        <v>0</v>
      </c>
      <c r="S293" s="30">
        <f t="shared" si="81"/>
        <v>0</v>
      </c>
      <c r="T293" s="30">
        <f t="shared" si="90"/>
        <v>0</v>
      </c>
      <c r="U293">
        <f t="shared" si="91"/>
        <v>0</v>
      </c>
      <c r="V293" s="30">
        <f t="shared" si="92"/>
        <v>0</v>
      </c>
      <c r="W293" s="30">
        <f t="shared" si="82"/>
        <v>0</v>
      </c>
      <c r="X293" s="30">
        <f t="shared" si="93"/>
        <v>0</v>
      </c>
      <c r="Y293">
        <f t="shared" si="94"/>
        <v>0</v>
      </c>
    </row>
    <row r="294" spans="1:25" hidden="1" x14ac:dyDescent="0.25">
      <c r="A294" s="4" t="s">
        <v>1219</v>
      </c>
      <c r="B294" s="7" t="s">
        <v>625</v>
      </c>
      <c r="C294" s="2" t="s">
        <v>1220</v>
      </c>
      <c r="D294">
        <f>VLOOKUP(B294,'Model allocations'!$A$1:$L$319,4,FALSE)</f>
        <v>183878.84828440272</v>
      </c>
      <c r="E294" s="32">
        <f>VLOOKUP(B294,'Initial adjusted formula count'!$A$1:$P$319,12,FALSE)</f>
        <v>0.24441260744985699</v>
      </c>
      <c r="F294">
        <f>VLOOKUP(B294,'Model allocations'!$A$1:$L$319,9,FALSE)</f>
        <v>193373.82165493834</v>
      </c>
      <c r="G294" s="31">
        <f t="shared" si="83"/>
        <v>0.9</v>
      </c>
      <c r="H294">
        <f t="shared" si="84"/>
        <v>165490.96345596245</v>
      </c>
      <c r="I294">
        <f t="shared" si="76"/>
        <v>0</v>
      </c>
      <c r="J294">
        <f t="shared" si="77"/>
        <v>193373.82165493834</v>
      </c>
      <c r="K294">
        <f t="shared" si="78"/>
        <v>193041.84554000769</v>
      </c>
      <c r="L294">
        <f t="shared" si="85"/>
        <v>193041.84554000769</v>
      </c>
      <c r="M294">
        <f t="shared" si="79"/>
        <v>0</v>
      </c>
      <c r="N294" s="30">
        <f t="shared" si="86"/>
        <v>193041.84554000769</v>
      </c>
      <c r="O294" s="30">
        <f t="shared" si="80"/>
        <v>192871.14674921814</v>
      </c>
      <c r="P294" s="30">
        <f t="shared" si="87"/>
        <v>192871.14674921814</v>
      </c>
      <c r="Q294">
        <f t="shared" si="88"/>
        <v>0</v>
      </c>
      <c r="R294" s="30">
        <f t="shared" si="89"/>
        <v>192871.14674921814</v>
      </c>
      <c r="S294" s="30">
        <f t="shared" si="81"/>
        <v>192871.14674921817</v>
      </c>
      <c r="T294" s="30">
        <f t="shared" si="90"/>
        <v>192871.14674921817</v>
      </c>
      <c r="U294">
        <f t="shared" si="91"/>
        <v>0</v>
      </c>
      <c r="V294" s="30">
        <f t="shared" si="92"/>
        <v>192871.14674921817</v>
      </c>
      <c r="W294" s="30">
        <f t="shared" si="82"/>
        <v>192871.14674921817</v>
      </c>
      <c r="X294" s="30">
        <f t="shared" si="93"/>
        <v>192871.14674921817</v>
      </c>
      <c r="Y294">
        <f t="shared" si="94"/>
        <v>0</v>
      </c>
    </row>
    <row r="295" spans="1:25" hidden="1" x14ac:dyDescent="0.25">
      <c r="A295" s="4" t="s">
        <v>1221</v>
      </c>
      <c r="B295" s="7" t="s">
        <v>627</v>
      </c>
      <c r="C295" s="2" t="s">
        <v>1222</v>
      </c>
      <c r="D295">
        <f>VLOOKUP(B295,'Model allocations'!$A$1:$L$319,4,FALSE)</f>
        <v>38836.894137223666</v>
      </c>
      <c r="E295" s="32">
        <f>VLOOKUP(B295,'Initial adjusted formula count'!$A$1:$P$319,12,FALSE)</f>
        <v>0.20693641618497099</v>
      </c>
      <c r="F295">
        <f>VLOOKUP(B295,'Model allocations'!$A$1:$L$319,9,FALSE)</f>
        <v>40579.031742361025</v>
      </c>
      <c r="G295" s="31">
        <f t="shared" si="83"/>
        <v>0.9</v>
      </c>
      <c r="H295">
        <f t="shared" si="84"/>
        <v>34953.204723501301</v>
      </c>
      <c r="I295">
        <f t="shared" si="76"/>
        <v>0</v>
      </c>
      <c r="J295">
        <f t="shared" si="77"/>
        <v>40579.031742361025</v>
      </c>
      <c r="K295">
        <f t="shared" si="78"/>
        <v>40509.36735247523</v>
      </c>
      <c r="L295">
        <f t="shared" si="85"/>
        <v>40509.36735247523</v>
      </c>
      <c r="M295">
        <f t="shared" si="79"/>
        <v>0</v>
      </c>
      <c r="N295" s="30">
        <f t="shared" si="86"/>
        <v>40509.36735247523</v>
      </c>
      <c r="O295" s="30">
        <f t="shared" si="80"/>
        <v>40473.546621465459</v>
      </c>
      <c r="P295" s="30">
        <f t="shared" si="87"/>
        <v>40473.546621465459</v>
      </c>
      <c r="Q295">
        <f t="shared" si="88"/>
        <v>0</v>
      </c>
      <c r="R295" s="30">
        <f t="shared" si="89"/>
        <v>40473.546621465459</v>
      </c>
      <c r="S295" s="30">
        <f t="shared" si="81"/>
        <v>40473.546621465473</v>
      </c>
      <c r="T295" s="30">
        <f t="shared" si="90"/>
        <v>40473.546621465473</v>
      </c>
      <c r="U295">
        <f t="shared" si="91"/>
        <v>0</v>
      </c>
      <c r="V295" s="30">
        <f t="shared" si="92"/>
        <v>40473.546621465473</v>
      </c>
      <c r="W295" s="30">
        <f t="shared" si="82"/>
        <v>40473.546621465473</v>
      </c>
      <c r="X295" s="30">
        <f t="shared" si="93"/>
        <v>40473.546621465473</v>
      </c>
      <c r="Y295">
        <f t="shared" si="94"/>
        <v>0</v>
      </c>
    </row>
    <row r="296" spans="1:25" x14ac:dyDescent="0.25">
      <c r="A296" s="4" t="s">
        <v>1223</v>
      </c>
      <c r="B296" s="7" t="s">
        <v>257</v>
      </c>
      <c r="C296" s="2" t="s">
        <v>1224</v>
      </c>
      <c r="D296">
        <f>VLOOKUP(B296,'Model allocations'!$A$1:$L$319,4,FALSE)</f>
        <v>0</v>
      </c>
      <c r="E296" s="32">
        <f>VLOOKUP(B296,'Initial adjusted formula count'!$A$1:$P$319,12,FALSE)</f>
        <v>7.32816261032362E-2</v>
      </c>
      <c r="F296">
        <f>VLOOKUP(B296,'Model allocations'!$A$1:$L$319,9,FALSE)</f>
        <v>0</v>
      </c>
      <c r="G296" s="31">
        <f t="shared" si="83"/>
        <v>0.85</v>
      </c>
      <c r="H296">
        <f t="shared" si="84"/>
        <v>0</v>
      </c>
      <c r="I296">
        <f t="shared" si="76"/>
        <v>0</v>
      </c>
      <c r="J296">
        <f t="shared" si="77"/>
        <v>0</v>
      </c>
      <c r="K296">
        <f t="shared" si="78"/>
        <v>0</v>
      </c>
      <c r="L296">
        <f t="shared" si="85"/>
        <v>0</v>
      </c>
      <c r="M296">
        <f t="shared" si="79"/>
        <v>0</v>
      </c>
      <c r="N296" s="30">
        <f t="shared" si="86"/>
        <v>0</v>
      </c>
      <c r="O296" s="30">
        <f t="shared" si="80"/>
        <v>0</v>
      </c>
      <c r="P296" s="30">
        <f t="shared" si="87"/>
        <v>0</v>
      </c>
      <c r="Q296">
        <f t="shared" si="88"/>
        <v>0</v>
      </c>
      <c r="R296" s="30">
        <f t="shared" si="89"/>
        <v>0</v>
      </c>
      <c r="S296" s="30">
        <f t="shared" si="81"/>
        <v>0</v>
      </c>
      <c r="T296" s="30">
        <f t="shared" si="90"/>
        <v>0</v>
      </c>
      <c r="U296">
        <f t="shared" si="91"/>
        <v>0</v>
      </c>
      <c r="V296" s="30">
        <f t="shared" si="92"/>
        <v>0</v>
      </c>
      <c r="W296" s="30">
        <f t="shared" si="82"/>
        <v>0</v>
      </c>
      <c r="X296" s="30">
        <f t="shared" si="93"/>
        <v>0</v>
      </c>
      <c r="Y296">
        <f t="shared" si="94"/>
        <v>0</v>
      </c>
    </row>
    <row r="297" spans="1:25" hidden="1" x14ac:dyDescent="0.25">
      <c r="A297" s="4" t="s">
        <v>1225</v>
      </c>
      <c r="B297" s="7" t="s">
        <v>629</v>
      </c>
      <c r="C297" s="2" t="s">
        <v>1226</v>
      </c>
      <c r="D297">
        <f>VLOOKUP(B297,'Model allocations'!$A$1:$L$319,4,FALSE)</f>
        <v>2139.3204397623217</v>
      </c>
      <c r="E297" s="32">
        <f>VLOOKUP(B297,'Initial adjusted formula count'!$A$1:$P$319,12,FALSE)</f>
        <v>0.104477611940298</v>
      </c>
      <c r="F297">
        <f>VLOOKUP(B297,'Model allocations'!$A$1:$L$319,9,FALSE)</f>
        <v>1818.4223737979735</v>
      </c>
      <c r="G297" s="31">
        <f t="shared" si="83"/>
        <v>0.85</v>
      </c>
      <c r="H297">
        <f t="shared" si="84"/>
        <v>1818.4223737979735</v>
      </c>
      <c r="I297">
        <f t="shared" si="76"/>
        <v>0</v>
      </c>
      <c r="J297">
        <f t="shared" si="77"/>
        <v>1818.4223737979735</v>
      </c>
      <c r="K297">
        <f t="shared" si="78"/>
        <v>1815.3005820797871</v>
      </c>
      <c r="L297">
        <f t="shared" si="85"/>
        <v>1815.3005820797871</v>
      </c>
      <c r="M297">
        <f t="shared" si="79"/>
        <v>1818.4223737979735</v>
      </c>
      <c r="N297" s="30">
        <f t="shared" si="86"/>
        <v>0</v>
      </c>
      <c r="O297" s="30">
        <f t="shared" si="80"/>
        <v>0</v>
      </c>
      <c r="P297" s="30">
        <f t="shared" si="87"/>
        <v>1818.4223737979735</v>
      </c>
      <c r="Q297">
        <f t="shared" si="88"/>
        <v>0</v>
      </c>
      <c r="R297" s="30">
        <f t="shared" si="89"/>
        <v>0</v>
      </c>
      <c r="S297" s="30">
        <f t="shared" si="81"/>
        <v>0</v>
      </c>
      <c r="T297" s="30">
        <f t="shared" si="90"/>
        <v>1818.4223737979735</v>
      </c>
      <c r="U297">
        <f t="shared" si="91"/>
        <v>0</v>
      </c>
      <c r="V297" s="30">
        <f t="shared" si="92"/>
        <v>0</v>
      </c>
      <c r="W297" s="30">
        <f t="shared" si="82"/>
        <v>0</v>
      </c>
      <c r="X297" s="30">
        <f t="shared" si="93"/>
        <v>1818.4223737979735</v>
      </c>
      <c r="Y297">
        <f t="shared" si="94"/>
        <v>0</v>
      </c>
    </row>
    <row r="298" spans="1:25" hidden="1" x14ac:dyDescent="0.25">
      <c r="A298" s="4" t="s">
        <v>1227</v>
      </c>
      <c r="B298" s="7" t="s">
        <v>631</v>
      </c>
      <c r="C298" s="2" t="s">
        <v>1228</v>
      </c>
      <c r="D298">
        <f>VLOOKUP(B298,'Model allocations'!$A$1:$L$319,4,FALSE)</f>
        <v>11003.107147052866</v>
      </c>
      <c r="E298" s="32">
        <f>VLOOKUP(B298,'Initial adjusted formula count'!$A$1:$P$319,12,FALSE)</f>
        <v>0.12804878048780499</v>
      </c>
      <c r="F298">
        <f>VLOOKUP(B298,'Model allocations'!$A$1:$L$319,9,FALSE)</f>
        <v>9352.6410749949355</v>
      </c>
      <c r="G298" s="31">
        <f t="shared" si="83"/>
        <v>0.85</v>
      </c>
      <c r="H298">
        <f t="shared" si="84"/>
        <v>9352.6410749949355</v>
      </c>
      <c r="I298">
        <f t="shared" si="76"/>
        <v>0</v>
      </c>
      <c r="J298">
        <f t="shared" si="77"/>
        <v>9352.6410749949355</v>
      </c>
      <c r="K298">
        <f t="shared" si="78"/>
        <v>9336.5848507250448</v>
      </c>
      <c r="L298">
        <f t="shared" si="85"/>
        <v>9336.5848507250448</v>
      </c>
      <c r="M298">
        <f t="shared" si="79"/>
        <v>9352.6410749949355</v>
      </c>
      <c r="N298" s="30">
        <f t="shared" si="86"/>
        <v>0</v>
      </c>
      <c r="O298" s="30">
        <f t="shared" si="80"/>
        <v>0</v>
      </c>
      <c r="P298" s="30">
        <f t="shared" si="87"/>
        <v>9352.6410749949355</v>
      </c>
      <c r="Q298">
        <f t="shared" si="88"/>
        <v>0</v>
      </c>
      <c r="R298" s="30">
        <f t="shared" si="89"/>
        <v>0</v>
      </c>
      <c r="S298" s="30">
        <f t="shared" si="81"/>
        <v>0</v>
      </c>
      <c r="T298" s="30">
        <f t="shared" si="90"/>
        <v>9352.6410749949355</v>
      </c>
      <c r="U298">
        <f t="shared" si="91"/>
        <v>0</v>
      </c>
      <c r="V298" s="30">
        <f t="shared" si="92"/>
        <v>0</v>
      </c>
      <c r="W298" s="30">
        <f t="shared" si="82"/>
        <v>0</v>
      </c>
      <c r="X298" s="30">
        <f t="shared" si="93"/>
        <v>9352.6410749949355</v>
      </c>
      <c r="Y298">
        <f t="shared" si="94"/>
        <v>0</v>
      </c>
    </row>
    <row r="299" spans="1:25" hidden="1" x14ac:dyDescent="0.25">
      <c r="A299" s="4" t="s">
        <v>1229</v>
      </c>
      <c r="B299" s="7" t="s">
        <v>633</v>
      </c>
      <c r="C299" s="2" t="s">
        <v>1230</v>
      </c>
      <c r="D299">
        <f>VLOOKUP(B299,'Model allocations'!$A$1:$L$319,4,FALSE)</f>
        <v>17139.455363678495</v>
      </c>
      <c r="E299" s="32">
        <f>VLOOKUP(B299,'Initial adjusted formula count'!$A$1:$P$319,12,FALSE)</f>
        <v>0.238095238095238</v>
      </c>
      <c r="F299">
        <f>VLOOKUP(B299,'Model allocations'!$A$1:$L$319,9,FALSE)</f>
        <v>17002.387601547918</v>
      </c>
      <c r="G299" s="31">
        <f t="shared" si="83"/>
        <v>0.9</v>
      </c>
      <c r="H299">
        <f t="shared" si="84"/>
        <v>15425.509827310645</v>
      </c>
      <c r="I299">
        <f t="shared" si="76"/>
        <v>0</v>
      </c>
      <c r="J299">
        <f t="shared" si="77"/>
        <v>17002.387601547918</v>
      </c>
      <c r="K299">
        <f t="shared" si="78"/>
        <v>16973.198611372307</v>
      </c>
      <c r="L299">
        <f t="shared" si="85"/>
        <v>16973.198611372307</v>
      </c>
      <c r="M299">
        <f t="shared" si="79"/>
        <v>0</v>
      </c>
      <c r="N299" s="30">
        <f t="shared" si="86"/>
        <v>16973.198611372307</v>
      </c>
      <c r="O299" s="30">
        <f t="shared" si="80"/>
        <v>16958.189925195031</v>
      </c>
      <c r="P299" s="30">
        <f t="shared" si="87"/>
        <v>16958.189925195031</v>
      </c>
      <c r="Q299">
        <f t="shared" si="88"/>
        <v>0</v>
      </c>
      <c r="R299" s="30">
        <f t="shared" si="89"/>
        <v>16958.189925195031</v>
      </c>
      <c r="S299" s="30">
        <f t="shared" si="81"/>
        <v>16958.189925195034</v>
      </c>
      <c r="T299" s="30">
        <f t="shared" si="90"/>
        <v>16958.189925195034</v>
      </c>
      <c r="U299">
        <f t="shared" si="91"/>
        <v>0</v>
      </c>
      <c r="V299" s="30">
        <f t="shared" si="92"/>
        <v>16958.189925195034</v>
      </c>
      <c r="W299" s="30">
        <f t="shared" si="82"/>
        <v>16958.189925195034</v>
      </c>
      <c r="X299" s="30">
        <f t="shared" si="93"/>
        <v>16958.189925195034</v>
      </c>
      <c r="Y299">
        <f t="shared" si="94"/>
        <v>0</v>
      </c>
    </row>
    <row r="300" spans="1:25" hidden="1" x14ac:dyDescent="0.25">
      <c r="A300" s="4" t="s">
        <v>56</v>
      </c>
      <c r="B300" s="7" t="s">
        <v>67</v>
      </c>
      <c r="C300" s="2" t="s">
        <v>1231</v>
      </c>
      <c r="D300">
        <f>VLOOKUP(B300,'Model allocations'!$A$1:$L$319,4,FALSE)</f>
        <v>204734.93756714149</v>
      </c>
      <c r="E300" s="32">
        <f>VLOOKUP(B300,'Initial adjusted formula count'!$A$1:$P$319,12,FALSE)</f>
        <v>0.111852350241065</v>
      </c>
      <c r="F300">
        <f>VLOOKUP(B300,'Model allocations'!$A$1:$L$319,9,FALSE)</f>
        <v>173687.31340474205</v>
      </c>
      <c r="G300" s="31">
        <f t="shared" si="83"/>
        <v>0.85</v>
      </c>
      <c r="H300">
        <f t="shared" si="84"/>
        <v>174024.69693207025</v>
      </c>
      <c r="I300">
        <f t="shared" si="76"/>
        <v>174024.69693207025</v>
      </c>
      <c r="J300">
        <f t="shared" si="77"/>
        <v>0</v>
      </c>
      <c r="K300">
        <f t="shared" si="78"/>
        <v>0</v>
      </c>
      <c r="L300">
        <f t="shared" si="85"/>
        <v>174024.69693207025</v>
      </c>
      <c r="M300">
        <f t="shared" si="79"/>
        <v>0</v>
      </c>
      <c r="N300" s="30">
        <f t="shared" si="86"/>
        <v>0</v>
      </c>
      <c r="O300" s="30">
        <f t="shared" si="80"/>
        <v>0</v>
      </c>
      <c r="P300" s="30">
        <f t="shared" si="87"/>
        <v>174024.69693207025</v>
      </c>
      <c r="Q300">
        <f t="shared" si="88"/>
        <v>0</v>
      </c>
      <c r="R300" s="30">
        <f t="shared" si="89"/>
        <v>0</v>
      </c>
      <c r="S300" s="30">
        <f t="shared" si="81"/>
        <v>0</v>
      </c>
      <c r="T300" s="30">
        <f t="shared" si="90"/>
        <v>174024.69693207025</v>
      </c>
      <c r="U300">
        <f t="shared" si="91"/>
        <v>0</v>
      </c>
      <c r="V300" s="30">
        <f t="shared" si="92"/>
        <v>0</v>
      </c>
      <c r="W300" s="30">
        <f t="shared" si="82"/>
        <v>0</v>
      </c>
      <c r="X300" s="30">
        <f t="shared" si="93"/>
        <v>174024.69693207025</v>
      </c>
      <c r="Y300">
        <f t="shared" si="94"/>
        <v>0</v>
      </c>
    </row>
    <row r="301" spans="1:25" x14ac:dyDescent="0.25">
      <c r="A301" s="4" t="s">
        <v>1232</v>
      </c>
      <c r="B301" s="7" t="s">
        <v>310</v>
      </c>
      <c r="C301" s="2" t="s">
        <v>1233</v>
      </c>
      <c r="D301">
        <f>VLOOKUP(B301,'Model allocations'!$A$1:$L$319,4,FALSE)</f>
        <v>0</v>
      </c>
      <c r="E301" s="32">
        <f>VLOOKUP(B301,'Initial adjusted formula count'!$A$1:$P$319,12,FALSE)</f>
        <v>0.134081696289367</v>
      </c>
      <c r="F301">
        <f>VLOOKUP(B301,'Model allocations'!$A$1:$L$319,9,FALSE)</f>
        <v>0</v>
      </c>
      <c r="G301" s="31">
        <f t="shared" si="83"/>
        <v>0.85</v>
      </c>
      <c r="H301">
        <f t="shared" si="84"/>
        <v>0</v>
      </c>
      <c r="I301">
        <f t="shared" si="76"/>
        <v>0</v>
      </c>
      <c r="J301">
        <f t="shared" si="77"/>
        <v>0</v>
      </c>
      <c r="K301">
        <f t="shared" si="78"/>
        <v>0</v>
      </c>
      <c r="L301">
        <f t="shared" si="85"/>
        <v>0</v>
      </c>
      <c r="M301">
        <f t="shared" si="79"/>
        <v>0</v>
      </c>
      <c r="N301" s="30">
        <f t="shared" si="86"/>
        <v>0</v>
      </c>
      <c r="O301" s="30">
        <f t="shared" si="80"/>
        <v>0</v>
      </c>
      <c r="P301" s="30">
        <f t="shared" si="87"/>
        <v>0</v>
      </c>
      <c r="Q301">
        <f t="shared" si="88"/>
        <v>0</v>
      </c>
      <c r="R301" s="30">
        <f t="shared" si="89"/>
        <v>0</v>
      </c>
      <c r="S301" s="30">
        <f t="shared" si="81"/>
        <v>0</v>
      </c>
      <c r="T301" s="30">
        <f t="shared" si="90"/>
        <v>0</v>
      </c>
      <c r="U301">
        <f t="shared" si="91"/>
        <v>0</v>
      </c>
      <c r="V301" s="30">
        <f t="shared" si="92"/>
        <v>0</v>
      </c>
      <c r="W301" s="30">
        <f t="shared" si="82"/>
        <v>0</v>
      </c>
      <c r="X301" s="30">
        <f t="shared" si="93"/>
        <v>0</v>
      </c>
      <c r="Y301">
        <f t="shared" si="94"/>
        <v>0</v>
      </c>
    </row>
    <row r="302" spans="1:25" x14ac:dyDescent="0.25">
      <c r="A302" s="4" t="s">
        <v>1234</v>
      </c>
      <c r="B302" s="7" t="s">
        <v>259</v>
      </c>
      <c r="C302" s="2" t="s">
        <v>1235</v>
      </c>
      <c r="D302">
        <f>VLOOKUP(B302,'Model allocations'!$A$1:$L$319,4,FALSE)</f>
        <v>0</v>
      </c>
      <c r="E302" s="32">
        <f>VLOOKUP(B302,'Initial adjusted formula count'!$A$1:$P$319,12,FALSE)</f>
        <v>0.11784351145038199</v>
      </c>
      <c r="F302">
        <f>VLOOKUP(B302,'Model allocations'!$A$1:$L$319,9,FALSE)</f>
        <v>0</v>
      </c>
      <c r="G302" s="31">
        <f t="shared" si="83"/>
        <v>0.85</v>
      </c>
      <c r="H302">
        <f t="shared" si="84"/>
        <v>0</v>
      </c>
      <c r="I302">
        <f t="shared" si="76"/>
        <v>0</v>
      </c>
      <c r="J302">
        <f t="shared" si="77"/>
        <v>0</v>
      </c>
      <c r="K302">
        <f t="shared" si="78"/>
        <v>0</v>
      </c>
      <c r="L302">
        <f t="shared" si="85"/>
        <v>0</v>
      </c>
      <c r="M302">
        <f t="shared" si="79"/>
        <v>0</v>
      </c>
      <c r="N302" s="30">
        <f t="shared" si="86"/>
        <v>0</v>
      </c>
      <c r="O302" s="30">
        <f t="shared" si="80"/>
        <v>0</v>
      </c>
      <c r="P302" s="30">
        <f t="shared" si="87"/>
        <v>0</v>
      </c>
      <c r="Q302">
        <f t="shared" si="88"/>
        <v>0</v>
      </c>
      <c r="R302" s="30">
        <f t="shared" si="89"/>
        <v>0</v>
      </c>
      <c r="S302" s="30">
        <f t="shared" si="81"/>
        <v>0</v>
      </c>
      <c r="T302" s="30">
        <f t="shared" si="90"/>
        <v>0</v>
      </c>
      <c r="U302">
        <f t="shared" si="91"/>
        <v>0</v>
      </c>
      <c r="V302" s="30">
        <f t="shared" si="92"/>
        <v>0</v>
      </c>
      <c r="W302" s="30">
        <f t="shared" si="82"/>
        <v>0</v>
      </c>
      <c r="X302" s="30">
        <f t="shared" si="93"/>
        <v>0</v>
      </c>
      <c r="Y302">
        <f t="shared" si="94"/>
        <v>0</v>
      </c>
    </row>
    <row r="303" spans="1:25" x14ac:dyDescent="0.25">
      <c r="A303" s="4" t="s">
        <v>13</v>
      </c>
      <c r="B303" s="7" t="s">
        <v>71</v>
      </c>
      <c r="C303" s="2" t="s">
        <v>1236</v>
      </c>
      <c r="D303">
        <f>VLOOKUP(B303,'Model allocations'!$A$1:$L$319,4,FALSE)</f>
        <v>0</v>
      </c>
      <c r="E303" s="32">
        <f>VLOOKUP(B303,'Initial adjusted formula count'!$A$1:$P$319,12,FALSE)</f>
        <v>0.106617044908478</v>
      </c>
      <c r="F303">
        <f>VLOOKUP(B303,'Model allocations'!$A$1:$L$319,9,FALSE)</f>
        <v>0</v>
      </c>
      <c r="G303" s="31">
        <f t="shared" si="83"/>
        <v>0.85</v>
      </c>
      <c r="H303">
        <f t="shared" si="84"/>
        <v>0</v>
      </c>
      <c r="I303">
        <f t="shared" si="76"/>
        <v>0</v>
      </c>
      <c r="J303">
        <f t="shared" si="77"/>
        <v>0</v>
      </c>
      <c r="K303">
        <f t="shared" si="78"/>
        <v>0</v>
      </c>
      <c r="L303">
        <f t="shared" si="85"/>
        <v>0</v>
      </c>
      <c r="M303">
        <f t="shared" si="79"/>
        <v>0</v>
      </c>
      <c r="N303" s="30">
        <f t="shared" si="86"/>
        <v>0</v>
      </c>
      <c r="O303" s="30">
        <f t="shared" si="80"/>
        <v>0</v>
      </c>
      <c r="P303" s="30">
        <f t="shared" si="87"/>
        <v>0</v>
      </c>
      <c r="Q303">
        <f t="shared" si="88"/>
        <v>0</v>
      </c>
      <c r="R303" s="30">
        <f t="shared" si="89"/>
        <v>0</v>
      </c>
      <c r="S303" s="30">
        <f t="shared" si="81"/>
        <v>0</v>
      </c>
      <c r="T303" s="30">
        <f t="shared" si="90"/>
        <v>0</v>
      </c>
      <c r="U303">
        <f t="shared" si="91"/>
        <v>0</v>
      </c>
      <c r="V303" s="30">
        <f t="shared" si="92"/>
        <v>0</v>
      </c>
      <c r="W303" s="30">
        <f t="shared" si="82"/>
        <v>0</v>
      </c>
      <c r="X303" s="30">
        <f t="shared" si="93"/>
        <v>0</v>
      </c>
      <c r="Y303">
        <f t="shared" si="94"/>
        <v>0</v>
      </c>
    </row>
    <row r="304" spans="1:25" hidden="1" x14ac:dyDescent="0.25">
      <c r="A304" s="4" t="s">
        <v>1237</v>
      </c>
      <c r="B304" s="7" t="s">
        <v>635</v>
      </c>
      <c r="C304" s="2" t="s">
        <v>1238</v>
      </c>
      <c r="D304">
        <f>VLOOKUP(B304,'Model allocations'!$A$1:$L$319,4,FALSE)</f>
        <v>23699.000009036936</v>
      </c>
      <c r="E304" s="32">
        <f>VLOOKUP(B304,'Initial adjusted formula count'!$A$1:$P$319,12,FALSE)</f>
        <v>0.134615384615385</v>
      </c>
      <c r="F304">
        <f>VLOOKUP(B304,'Model allocations'!$A$1:$L$319,9,FALSE)</f>
        <v>20144.150007681394</v>
      </c>
      <c r="G304" s="31">
        <f t="shared" si="83"/>
        <v>0.85</v>
      </c>
      <c r="H304">
        <f t="shared" si="84"/>
        <v>20144.150007681394</v>
      </c>
      <c r="I304">
        <f t="shared" si="76"/>
        <v>0</v>
      </c>
      <c r="J304">
        <f t="shared" si="77"/>
        <v>20144.150007681394</v>
      </c>
      <c r="K304">
        <f t="shared" si="78"/>
        <v>20109.5673707924</v>
      </c>
      <c r="L304">
        <f t="shared" si="85"/>
        <v>20109.5673707924</v>
      </c>
      <c r="M304">
        <f t="shared" si="79"/>
        <v>20144.150007681394</v>
      </c>
      <c r="N304" s="30">
        <f t="shared" si="86"/>
        <v>0</v>
      </c>
      <c r="O304" s="30">
        <f t="shared" si="80"/>
        <v>0</v>
      </c>
      <c r="P304" s="30">
        <f t="shared" si="87"/>
        <v>20144.150007681394</v>
      </c>
      <c r="Q304">
        <f t="shared" si="88"/>
        <v>0</v>
      </c>
      <c r="R304" s="30">
        <f t="shared" si="89"/>
        <v>0</v>
      </c>
      <c r="S304" s="30">
        <f t="shared" si="81"/>
        <v>0</v>
      </c>
      <c r="T304" s="30">
        <f t="shared" si="90"/>
        <v>20144.150007681394</v>
      </c>
      <c r="U304">
        <f t="shared" si="91"/>
        <v>0</v>
      </c>
      <c r="V304" s="30">
        <f t="shared" si="92"/>
        <v>0</v>
      </c>
      <c r="W304" s="30">
        <f t="shared" si="82"/>
        <v>0</v>
      </c>
      <c r="X304" s="30">
        <f t="shared" si="93"/>
        <v>20144.150007681394</v>
      </c>
      <c r="Y304">
        <f t="shared" si="94"/>
        <v>0</v>
      </c>
    </row>
    <row r="305" spans="1:25" x14ac:dyDescent="0.25">
      <c r="A305" s="4" t="s">
        <v>1239</v>
      </c>
      <c r="B305" s="7" t="s">
        <v>260</v>
      </c>
      <c r="C305" s="2" t="s">
        <v>1240</v>
      </c>
      <c r="D305">
        <f>VLOOKUP(B305,'Model allocations'!$A$1:$L$319,4,FALSE)</f>
        <v>0</v>
      </c>
      <c r="E305" s="32">
        <f>VLOOKUP(B305,'Initial adjusted formula count'!$A$1:$P$319,12,FALSE)</f>
        <v>4.87752928647497E-2</v>
      </c>
      <c r="F305">
        <f>VLOOKUP(B305,'Model allocations'!$A$1:$L$319,9,FALSE)</f>
        <v>0</v>
      </c>
      <c r="G305" s="31">
        <f t="shared" si="83"/>
        <v>0.85</v>
      </c>
      <c r="H305">
        <f t="shared" si="84"/>
        <v>0</v>
      </c>
      <c r="I305">
        <f t="shared" si="76"/>
        <v>0</v>
      </c>
      <c r="J305">
        <f t="shared" si="77"/>
        <v>0</v>
      </c>
      <c r="K305">
        <f t="shared" si="78"/>
        <v>0</v>
      </c>
      <c r="L305">
        <f t="shared" si="85"/>
        <v>0</v>
      </c>
      <c r="M305">
        <f t="shared" si="79"/>
        <v>0</v>
      </c>
      <c r="N305" s="30">
        <f t="shared" si="86"/>
        <v>0</v>
      </c>
      <c r="O305" s="30">
        <f t="shared" si="80"/>
        <v>0</v>
      </c>
      <c r="P305" s="30">
        <f t="shared" si="87"/>
        <v>0</v>
      </c>
      <c r="Q305">
        <f t="shared" si="88"/>
        <v>0</v>
      </c>
      <c r="R305" s="30">
        <f t="shared" si="89"/>
        <v>0</v>
      </c>
      <c r="S305" s="30">
        <f t="shared" si="81"/>
        <v>0</v>
      </c>
      <c r="T305" s="30">
        <f t="shared" si="90"/>
        <v>0</v>
      </c>
      <c r="U305">
        <f t="shared" si="91"/>
        <v>0</v>
      </c>
      <c r="V305" s="30">
        <f t="shared" si="92"/>
        <v>0</v>
      </c>
      <c r="W305" s="30">
        <f t="shared" si="82"/>
        <v>0</v>
      </c>
      <c r="X305" s="30">
        <f t="shared" si="93"/>
        <v>0</v>
      </c>
      <c r="Y305">
        <f t="shared" si="94"/>
        <v>0</v>
      </c>
    </row>
    <row r="306" spans="1:25" x14ac:dyDescent="0.25">
      <c r="A306" s="4" t="s">
        <v>1241</v>
      </c>
      <c r="B306" s="7" t="s">
        <v>311</v>
      </c>
      <c r="C306" s="2" t="s">
        <v>1242</v>
      </c>
      <c r="D306">
        <f>VLOOKUP(B306,'Model allocations'!$A$1:$L$319,4,FALSE)</f>
        <v>0</v>
      </c>
      <c r="E306" s="32">
        <f>VLOOKUP(B306,'Initial adjusted formula count'!$A$1:$P$319,12,FALSE)</f>
        <v>0.122314049586777</v>
      </c>
      <c r="F306">
        <f>VLOOKUP(B306,'Model allocations'!$A$1:$L$319,9,FALSE)</f>
        <v>0</v>
      </c>
      <c r="G306" s="31">
        <f t="shared" si="83"/>
        <v>0.85</v>
      </c>
      <c r="H306">
        <f t="shared" si="84"/>
        <v>0</v>
      </c>
      <c r="I306">
        <f t="shared" si="76"/>
        <v>0</v>
      </c>
      <c r="J306">
        <f t="shared" si="77"/>
        <v>0</v>
      </c>
      <c r="K306">
        <f t="shared" si="78"/>
        <v>0</v>
      </c>
      <c r="L306">
        <f t="shared" si="85"/>
        <v>0</v>
      </c>
      <c r="M306">
        <f t="shared" si="79"/>
        <v>0</v>
      </c>
      <c r="N306" s="30">
        <f t="shared" si="86"/>
        <v>0</v>
      </c>
      <c r="O306" s="30">
        <f t="shared" si="80"/>
        <v>0</v>
      </c>
      <c r="P306" s="30">
        <f t="shared" si="87"/>
        <v>0</v>
      </c>
      <c r="Q306">
        <f t="shared" si="88"/>
        <v>0</v>
      </c>
      <c r="R306" s="30">
        <f t="shared" si="89"/>
        <v>0</v>
      </c>
      <c r="S306" s="30">
        <f t="shared" si="81"/>
        <v>0</v>
      </c>
      <c r="T306" s="30">
        <f t="shared" si="90"/>
        <v>0</v>
      </c>
      <c r="U306">
        <f t="shared" si="91"/>
        <v>0</v>
      </c>
      <c r="V306" s="30">
        <f t="shared" si="92"/>
        <v>0</v>
      </c>
      <c r="W306" s="30">
        <f t="shared" si="82"/>
        <v>0</v>
      </c>
      <c r="X306" s="30">
        <f t="shared" si="93"/>
        <v>0</v>
      </c>
      <c r="Y306">
        <f t="shared" si="94"/>
        <v>0</v>
      </c>
    </row>
    <row r="307" spans="1:25" x14ac:dyDescent="0.25">
      <c r="A307" s="4" t="s">
        <v>19</v>
      </c>
      <c r="B307" s="7" t="s">
        <v>73</v>
      </c>
      <c r="C307" s="2" t="s">
        <v>1243</v>
      </c>
      <c r="D307">
        <f>VLOOKUP(B307,'Model allocations'!$A$1:$L$319,4,FALSE)</f>
        <v>9536.3223088718059</v>
      </c>
      <c r="E307" s="32">
        <f>VLOOKUP(B307,'Initial adjusted formula count'!$A$1:$P$319,12,FALSE)</f>
        <v>0.162781972031498</v>
      </c>
      <c r="F307">
        <f>VLOOKUP(B307,'Model allocations'!$A$1:$L$319,9,FALSE)</f>
        <v>10349.212895849554</v>
      </c>
      <c r="G307" s="31">
        <f t="shared" si="83"/>
        <v>0.9</v>
      </c>
      <c r="H307">
        <f t="shared" si="84"/>
        <v>8582.6900779846255</v>
      </c>
      <c r="I307">
        <f t="shared" si="76"/>
        <v>0</v>
      </c>
      <c r="J307">
        <f t="shared" si="77"/>
        <v>10349.212895849554</v>
      </c>
      <c r="K307">
        <f t="shared" si="78"/>
        <v>10331.44579862641</v>
      </c>
      <c r="L307">
        <f t="shared" si="85"/>
        <v>10331.44579862641</v>
      </c>
      <c r="M307">
        <f t="shared" si="79"/>
        <v>0</v>
      </c>
      <c r="N307" s="30">
        <f t="shared" si="86"/>
        <v>10331.44579862641</v>
      </c>
      <c r="O307" s="30">
        <f t="shared" si="80"/>
        <v>10322.310135319834</v>
      </c>
      <c r="P307" s="30">
        <f t="shared" si="87"/>
        <v>10322.310135319834</v>
      </c>
      <c r="Q307">
        <f t="shared" si="88"/>
        <v>0</v>
      </c>
      <c r="R307" s="30">
        <f t="shared" si="89"/>
        <v>10322.310135319834</v>
      </c>
      <c r="S307" s="30">
        <f t="shared" si="81"/>
        <v>10322.310135319836</v>
      </c>
      <c r="T307" s="30">
        <f t="shared" si="90"/>
        <v>10322.310135319836</v>
      </c>
      <c r="U307">
        <f t="shared" si="91"/>
        <v>0</v>
      </c>
      <c r="V307" s="30">
        <f t="shared" si="92"/>
        <v>10322.310135319836</v>
      </c>
      <c r="W307" s="30">
        <f t="shared" si="82"/>
        <v>10322.310135319836</v>
      </c>
      <c r="X307" s="30">
        <f t="shared" si="93"/>
        <v>10322.310135319836</v>
      </c>
      <c r="Y307">
        <f t="shared" si="94"/>
        <v>0</v>
      </c>
    </row>
    <row r="308" spans="1:25" x14ac:dyDescent="0.25">
      <c r="A308" s="4" t="s">
        <v>1244</v>
      </c>
      <c r="B308" s="7" t="s">
        <v>262</v>
      </c>
      <c r="C308" s="2" t="s">
        <v>1245</v>
      </c>
      <c r="D308">
        <f>VLOOKUP(B308,'Model allocations'!$A$1:$L$319,4,FALSE)</f>
        <v>0</v>
      </c>
      <c r="E308" s="32">
        <f>VLOOKUP(B308,'Initial adjusted formula count'!$A$1:$P$319,12,FALSE)</f>
        <v>0.146017699115044</v>
      </c>
      <c r="F308">
        <f>VLOOKUP(B308,'Model allocations'!$A$1:$L$319,9,FALSE)</f>
        <v>0</v>
      </c>
      <c r="G308" s="31">
        <f t="shared" si="83"/>
        <v>0.85</v>
      </c>
      <c r="H308">
        <f t="shared" si="84"/>
        <v>0</v>
      </c>
      <c r="I308">
        <f t="shared" si="76"/>
        <v>0</v>
      </c>
      <c r="J308">
        <f t="shared" si="77"/>
        <v>0</v>
      </c>
      <c r="K308">
        <f t="shared" si="78"/>
        <v>0</v>
      </c>
      <c r="L308">
        <f t="shared" si="85"/>
        <v>0</v>
      </c>
      <c r="M308">
        <f t="shared" si="79"/>
        <v>0</v>
      </c>
      <c r="N308" s="30">
        <f t="shared" si="86"/>
        <v>0</v>
      </c>
      <c r="O308" s="30">
        <f t="shared" si="80"/>
        <v>0</v>
      </c>
      <c r="P308" s="30">
        <f t="shared" si="87"/>
        <v>0</v>
      </c>
      <c r="Q308">
        <f t="shared" si="88"/>
        <v>0</v>
      </c>
      <c r="R308" s="30">
        <f t="shared" si="89"/>
        <v>0</v>
      </c>
      <c r="S308" s="30">
        <f t="shared" si="81"/>
        <v>0</v>
      </c>
      <c r="T308" s="30">
        <f t="shared" si="90"/>
        <v>0</v>
      </c>
      <c r="U308">
        <f t="shared" si="91"/>
        <v>0</v>
      </c>
      <c r="V308" s="30">
        <f t="shared" si="92"/>
        <v>0</v>
      </c>
      <c r="W308" s="30">
        <f t="shared" si="82"/>
        <v>0</v>
      </c>
      <c r="X308" s="30">
        <f t="shared" si="93"/>
        <v>0</v>
      </c>
      <c r="Y308">
        <f t="shared" si="94"/>
        <v>0</v>
      </c>
    </row>
    <row r="309" spans="1:25" hidden="1" x14ac:dyDescent="0.25">
      <c r="A309" s="4" t="s">
        <v>1246</v>
      </c>
      <c r="B309" s="7" t="s">
        <v>637</v>
      </c>
      <c r="C309" s="2" t="s">
        <v>1247</v>
      </c>
      <c r="D309">
        <f>VLOOKUP(B309,'Model allocations'!$A$1:$L$319,4,FALSE)</f>
        <v>13319.442179514079</v>
      </c>
      <c r="E309" s="32">
        <f>VLOOKUP(B309,'Initial adjusted formula count'!$A$1:$P$319,12,FALSE)</f>
        <v>0.113149847094801</v>
      </c>
      <c r="F309">
        <f>VLOOKUP(B309,'Model allocations'!$A$1:$L$319,9,FALSE)</f>
        <v>11321.525852586967</v>
      </c>
      <c r="G309" s="31">
        <f t="shared" si="83"/>
        <v>0.85</v>
      </c>
      <c r="H309">
        <f t="shared" si="84"/>
        <v>11321.525852586967</v>
      </c>
      <c r="I309">
        <f t="shared" si="76"/>
        <v>0</v>
      </c>
      <c r="J309">
        <f t="shared" si="77"/>
        <v>11321.525852586967</v>
      </c>
      <c r="K309">
        <f t="shared" si="78"/>
        <v>11302.089529017092</v>
      </c>
      <c r="L309">
        <f t="shared" si="85"/>
        <v>11302.089529017092</v>
      </c>
      <c r="M309">
        <f t="shared" si="79"/>
        <v>11321.525852586967</v>
      </c>
      <c r="N309" s="30">
        <f t="shared" si="86"/>
        <v>0</v>
      </c>
      <c r="O309" s="30">
        <f t="shared" si="80"/>
        <v>0</v>
      </c>
      <c r="P309" s="30">
        <f t="shared" si="87"/>
        <v>11321.525852586967</v>
      </c>
      <c r="Q309">
        <f t="shared" si="88"/>
        <v>0</v>
      </c>
      <c r="R309" s="30">
        <f t="shared" si="89"/>
        <v>0</v>
      </c>
      <c r="S309" s="30">
        <f t="shared" si="81"/>
        <v>0</v>
      </c>
      <c r="T309" s="30">
        <f t="shared" si="90"/>
        <v>11321.525852586967</v>
      </c>
      <c r="U309">
        <f t="shared" si="91"/>
        <v>0</v>
      </c>
      <c r="V309" s="30">
        <f t="shared" si="92"/>
        <v>0</v>
      </c>
      <c r="W309" s="30">
        <f t="shared" si="82"/>
        <v>0</v>
      </c>
      <c r="X309" s="30">
        <f t="shared" si="93"/>
        <v>11321.525852586967</v>
      </c>
      <c r="Y309">
        <f t="shared" si="94"/>
        <v>0</v>
      </c>
    </row>
    <row r="310" spans="1:25" hidden="1" x14ac:dyDescent="0.25">
      <c r="A310" s="4" t="s">
        <v>1248</v>
      </c>
      <c r="B310" s="7" t="s">
        <v>639</v>
      </c>
      <c r="C310" s="2" t="s">
        <v>1249</v>
      </c>
      <c r="D310">
        <f>VLOOKUP(B310,'Model allocations'!$A$1:$L$319,4,FALSE)</f>
        <v>2952.9935984753406</v>
      </c>
      <c r="E310" s="32">
        <f>VLOOKUP(B310,'Initial adjusted formula count'!$A$1:$P$319,12,FALSE)</f>
        <v>0.13392857142857101</v>
      </c>
      <c r="F310">
        <f>VLOOKUP(B310,'Model allocations'!$A$1:$L$319,9,FALSE)</f>
        <v>2510.0445587040394</v>
      </c>
      <c r="G310" s="31">
        <f t="shared" si="83"/>
        <v>0.85</v>
      </c>
      <c r="H310">
        <f t="shared" si="84"/>
        <v>2510.0445587040394</v>
      </c>
      <c r="I310">
        <f t="shared" si="76"/>
        <v>0</v>
      </c>
      <c r="J310">
        <f t="shared" si="77"/>
        <v>2510.0445587040394</v>
      </c>
      <c r="K310">
        <f t="shared" si="78"/>
        <v>2505.7354188537229</v>
      </c>
      <c r="L310">
        <f t="shared" si="85"/>
        <v>2505.7354188537229</v>
      </c>
      <c r="M310">
        <f t="shared" si="79"/>
        <v>2510.0445587040394</v>
      </c>
      <c r="N310" s="30">
        <f t="shared" si="86"/>
        <v>0</v>
      </c>
      <c r="O310" s="30">
        <f t="shared" si="80"/>
        <v>0</v>
      </c>
      <c r="P310" s="30">
        <f t="shared" si="87"/>
        <v>2510.0445587040394</v>
      </c>
      <c r="Q310">
        <f t="shared" si="88"/>
        <v>0</v>
      </c>
      <c r="R310" s="30">
        <f t="shared" si="89"/>
        <v>0</v>
      </c>
      <c r="S310" s="30">
        <f t="shared" si="81"/>
        <v>0</v>
      </c>
      <c r="T310" s="30">
        <f t="shared" si="90"/>
        <v>2510.0445587040394</v>
      </c>
      <c r="U310">
        <f t="shared" si="91"/>
        <v>0</v>
      </c>
      <c r="V310" s="30">
        <f t="shared" si="92"/>
        <v>0</v>
      </c>
      <c r="W310" s="30">
        <f t="shared" si="82"/>
        <v>0</v>
      </c>
      <c r="X310" s="30">
        <f t="shared" si="93"/>
        <v>2510.0445587040394</v>
      </c>
      <c r="Y310">
        <f t="shared" si="94"/>
        <v>0</v>
      </c>
    </row>
    <row r="311" spans="1:25" hidden="1" x14ac:dyDescent="0.25">
      <c r="A311" s="4" t="s">
        <v>1250</v>
      </c>
      <c r="B311" s="7" t="s">
        <v>641</v>
      </c>
      <c r="C311" s="2" t="s">
        <v>1251</v>
      </c>
      <c r="D311">
        <f>VLOOKUP(B311,'Model allocations'!$A$1:$L$319,4,FALSE)</f>
        <v>25957.643048259361</v>
      </c>
      <c r="E311" s="32">
        <f>VLOOKUP(B311,'Initial adjusted formula count'!$A$1:$P$319,12,FALSE)</f>
        <v>0.125925925925926</v>
      </c>
      <c r="F311">
        <f>VLOOKUP(B311,'Model allocations'!$A$1:$L$319,9,FALSE)</f>
        <v>22063.996591020456</v>
      </c>
      <c r="G311" s="31">
        <f t="shared" si="83"/>
        <v>0.85</v>
      </c>
      <c r="H311">
        <f t="shared" si="84"/>
        <v>22063.996591020456</v>
      </c>
      <c r="I311">
        <f t="shared" si="76"/>
        <v>0</v>
      </c>
      <c r="J311">
        <f t="shared" si="77"/>
        <v>22063.996591020456</v>
      </c>
      <c r="K311">
        <f t="shared" si="78"/>
        <v>22026.118041558882</v>
      </c>
      <c r="L311">
        <f t="shared" si="85"/>
        <v>22026.118041558882</v>
      </c>
      <c r="M311">
        <f t="shared" si="79"/>
        <v>22063.996591020456</v>
      </c>
      <c r="N311" s="30">
        <f t="shared" si="86"/>
        <v>0</v>
      </c>
      <c r="O311" s="30">
        <f t="shared" si="80"/>
        <v>0</v>
      </c>
      <c r="P311" s="30">
        <f t="shared" si="87"/>
        <v>22063.996591020456</v>
      </c>
      <c r="Q311">
        <f t="shared" si="88"/>
        <v>0</v>
      </c>
      <c r="R311" s="30">
        <f t="shared" si="89"/>
        <v>0</v>
      </c>
      <c r="S311" s="30">
        <f t="shared" si="81"/>
        <v>0</v>
      </c>
      <c r="T311" s="30">
        <f t="shared" si="90"/>
        <v>22063.996591020456</v>
      </c>
      <c r="U311">
        <f t="shared" si="91"/>
        <v>0</v>
      </c>
      <c r="V311" s="30">
        <f t="shared" si="92"/>
        <v>0</v>
      </c>
      <c r="W311" s="30">
        <f t="shared" si="82"/>
        <v>0</v>
      </c>
      <c r="X311" s="30">
        <f t="shared" si="93"/>
        <v>22063.996591020456</v>
      </c>
      <c r="Y311">
        <f t="shared" si="94"/>
        <v>0</v>
      </c>
    </row>
    <row r="312" spans="1:25" hidden="1" x14ac:dyDescent="0.25">
      <c r="A312" s="4" t="s">
        <v>1252</v>
      </c>
      <c r="B312" s="7" t="s">
        <v>643</v>
      </c>
      <c r="C312" s="2" t="s">
        <v>1253</v>
      </c>
      <c r="D312">
        <f>VLOOKUP(B312,'Model allocations'!$A$1:$L$319,4,FALSE)</f>
        <v>2314.4821029367145</v>
      </c>
      <c r="E312" s="32">
        <f>VLOOKUP(B312,'Initial adjusted formula count'!$A$1:$P$319,12,FALSE)</f>
        <v>0.14383561643835599</v>
      </c>
      <c r="F312">
        <f>VLOOKUP(B312,'Model allocations'!$A$1:$L$319,9,FALSE)</f>
        <v>1967.3097874962073</v>
      </c>
      <c r="G312" s="31">
        <f t="shared" si="83"/>
        <v>0.85</v>
      </c>
      <c r="H312">
        <f t="shared" si="84"/>
        <v>1967.3097874962073</v>
      </c>
      <c r="I312">
        <f t="shared" si="76"/>
        <v>0</v>
      </c>
      <c r="J312">
        <f t="shared" si="77"/>
        <v>1967.3097874962073</v>
      </c>
      <c r="K312">
        <f t="shared" si="78"/>
        <v>1963.932392073556</v>
      </c>
      <c r="L312">
        <f t="shared" si="85"/>
        <v>1963.932392073556</v>
      </c>
      <c r="M312">
        <f t="shared" si="79"/>
        <v>1967.3097874962073</v>
      </c>
      <c r="N312" s="30">
        <f t="shared" si="86"/>
        <v>0</v>
      </c>
      <c r="O312" s="30">
        <f t="shared" si="80"/>
        <v>0</v>
      </c>
      <c r="P312" s="30">
        <f t="shared" si="87"/>
        <v>1967.3097874962073</v>
      </c>
      <c r="Q312">
        <f t="shared" si="88"/>
        <v>0</v>
      </c>
      <c r="R312" s="30">
        <f t="shared" si="89"/>
        <v>0</v>
      </c>
      <c r="S312" s="30">
        <f t="shared" si="81"/>
        <v>0</v>
      </c>
      <c r="T312" s="30">
        <f t="shared" si="90"/>
        <v>1967.3097874962073</v>
      </c>
      <c r="U312">
        <f t="shared" si="91"/>
        <v>0</v>
      </c>
      <c r="V312" s="30">
        <f t="shared" si="92"/>
        <v>0</v>
      </c>
      <c r="W312" s="30">
        <f t="shared" si="82"/>
        <v>0</v>
      </c>
      <c r="X312" s="30">
        <f t="shared" si="93"/>
        <v>1967.3097874962073</v>
      </c>
      <c r="Y312">
        <f t="shared" si="94"/>
        <v>0</v>
      </c>
    </row>
    <row r="313" spans="1:25" hidden="1" x14ac:dyDescent="0.25">
      <c r="A313" s="4" t="s">
        <v>1254</v>
      </c>
      <c r="B313" s="7" t="s">
        <v>645</v>
      </c>
      <c r="C313" s="2" t="s">
        <v>1255</v>
      </c>
      <c r="D313">
        <f>VLOOKUP(B313,'Model allocations'!$A$1:$L$319,4,FALSE)</f>
        <v>3173.9732154960188</v>
      </c>
      <c r="E313" s="32">
        <f>VLOOKUP(B313,'Initial adjusted formula count'!$A$1:$P$319,12,FALSE)</f>
        <v>0.372093023255814</v>
      </c>
      <c r="F313">
        <f>VLOOKUP(B313,'Model allocations'!$A$1:$L$319,9,FALSE)</f>
        <v>3627.1760216635562</v>
      </c>
      <c r="G313" s="31">
        <f t="shared" si="83"/>
        <v>0.95</v>
      </c>
      <c r="H313">
        <f t="shared" si="84"/>
        <v>3015.2745547212176</v>
      </c>
      <c r="I313">
        <f t="shared" si="76"/>
        <v>0</v>
      </c>
      <c r="J313">
        <f t="shared" si="77"/>
        <v>3627.1760216635562</v>
      </c>
      <c r="K313">
        <f t="shared" si="78"/>
        <v>3620.9490370927588</v>
      </c>
      <c r="L313">
        <f t="shared" si="85"/>
        <v>3620.9490370927588</v>
      </c>
      <c r="M313">
        <f t="shared" si="79"/>
        <v>0</v>
      </c>
      <c r="N313" s="30">
        <f t="shared" si="86"/>
        <v>3620.9490370927588</v>
      </c>
      <c r="O313" s="30">
        <f t="shared" si="80"/>
        <v>3617.7471840416065</v>
      </c>
      <c r="P313" s="30">
        <f t="shared" si="87"/>
        <v>3617.7471840416065</v>
      </c>
      <c r="Q313">
        <f t="shared" si="88"/>
        <v>0</v>
      </c>
      <c r="R313" s="30">
        <f t="shared" si="89"/>
        <v>3617.7471840416065</v>
      </c>
      <c r="S313" s="30">
        <f t="shared" si="81"/>
        <v>3617.7471840416069</v>
      </c>
      <c r="T313" s="30">
        <f t="shared" si="90"/>
        <v>3617.7471840416069</v>
      </c>
      <c r="U313">
        <f t="shared" si="91"/>
        <v>0</v>
      </c>
      <c r="V313" s="30">
        <f t="shared" si="92"/>
        <v>3617.7471840416069</v>
      </c>
      <c r="W313" s="30">
        <f t="shared" si="82"/>
        <v>3617.7471840416069</v>
      </c>
      <c r="X313" s="30">
        <f t="shared" si="93"/>
        <v>3617.7471840416069</v>
      </c>
      <c r="Y313">
        <f t="shared" si="94"/>
        <v>0</v>
      </c>
    </row>
    <row r="314" spans="1:25" x14ac:dyDescent="0.25">
      <c r="A314" s="4" t="s">
        <v>1256</v>
      </c>
      <c r="B314" s="7" t="s">
        <v>647</v>
      </c>
      <c r="C314" s="2" t="s">
        <v>1257</v>
      </c>
      <c r="D314">
        <f>VLOOKUP(B314,'Model allocations'!$A$1:$L$319,4,FALSE)</f>
        <v>0</v>
      </c>
      <c r="E314" s="32">
        <f>VLOOKUP(B314,'Initial adjusted formula count'!$A$1:$P$319,12,FALSE)</f>
        <v>9.2865232163080402E-2</v>
      </c>
      <c r="F314">
        <f>VLOOKUP(B314,'Model allocations'!$A$1:$L$319,9,FALSE)</f>
        <v>0</v>
      </c>
      <c r="G314" s="31">
        <f t="shared" si="83"/>
        <v>0.85</v>
      </c>
      <c r="H314">
        <f t="shared" si="84"/>
        <v>0</v>
      </c>
      <c r="I314">
        <f t="shared" si="76"/>
        <v>0</v>
      </c>
      <c r="J314">
        <f t="shared" si="77"/>
        <v>0</v>
      </c>
      <c r="K314">
        <f t="shared" si="78"/>
        <v>0</v>
      </c>
      <c r="L314">
        <f t="shared" si="85"/>
        <v>0</v>
      </c>
      <c r="M314">
        <f t="shared" si="79"/>
        <v>0</v>
      </c>
      <c r="N314" s="30">
        <f t="shared" si="86"/>
        <v>0</v>
      </c>
      <c r="O314" s="30">
        <f t="shared" si="80"/>
        <v>0</v>
      </c>
      <c r="P314" s="30">
        <f t="shared" si="87"/>
        <v>0</v>
      </c>
      <c r="Q314">
        <f t="shared" si="88"/>
        <v>0</v>
      </c>
      <c r="R314" s="30">
        <f t="shared" si="89"/>
        <v>0</v>
      </c>
      <c r="S314" s="30">
        <f t="shared" si="81"/>
        <v>0</v>
      </c>
      <c r="T314" s="30">
        <f t="shared" si="90"/>
        <v>0</v>
      </c>
      <c r="U314">
        <f t="shared" si="91"/>
        <v>0</v>
      </c>
      <c r="V314" s="30">
        <f t="shared" si="92"/>
        <v>0</v>
      </c>
      <c r="W314" s="30">
        <f t="shared" si="82"/>
        <v>0</v>
      </c>
      <c r="X314" s="30">
        <f t="shared" si="93"/>
        <v>0</v>
      </c>
      <c r="Y314">
        <f t="shared" si="94"/>
        <v>0</v>
      </c>
    </row>
    <row r="315" spans="1:25" hidden="1" x14ac:dyDescent="0.25">
      <c r="A315" s="4" t="s">
        <v>1258</v>
      </c>
      <c r="B315" s="7" t="s">
        <v>649</v>
      </c>
      <c r="C315" s="2" t="s">
        <v>1259</v>
      </c>
      <c r="D315">
        <f>VLOOKUP(B315,'Model allocations'!$A$1:$L$319,4,FALSE)</f>
        <v>830269.29465345829</v>
      </c>
      <c r="E315" s="32">
        <f>VLOOKUP(B315,'Initial adjusted formula count'!$A$1:$P$319,12,FALSE)</f>
        <v>0.26003268567277998</v>
      </c>
      <c r="F315">
        <f>VLOOKUP(B315,'Model allocations'!$A$1:$L$319,9,FALSE)</f>
        <v>973896.7618166646</v>
      </c>
      <c r="G315" s="31">
        <f t="shared" si="83"/>
        <v>0.9</v>
      </c>
      <c r="H315">
        <f t="shared" si="84"/>
        <v>747242.36518811248</v>
      </c>
      <c r="I315">
        <f t="shared" si="76"/>
        <v>0</v>
      </c>
      <c r="J315">
        <f t="shared" si="77"/>
        <v>973896.7618166646</v>
      </c>
      <c r="K315">
        <f t="shared" si="78"/>
        <v>972224.81645940535</v>
      </c>
      <c r="L315">
        <f t="shared" si="85"/>
        <v>972224.81645940535</v>
      </c>
      <c r="M315">
        <f t="shared" si="79"/>
        <v>0</v>
      </c>
      <c r="N315" s="30">
        <f t="shared" si="86"/>
        <v>972224.81645940535</v>
      </c>
      <c r="O315" s="30">
        <f t="shared" si="80"/>
        <v>971365.11891517101</v>
      </c>
      <c r="P315" s="30">
        <f t="shared" si="87"/>
        <v>971365.11891517101</v>
      </c>
      <c r="Q315">
        <f t="shared" si="88"/>
        <v>0</v>
      </c>
      <c r="R315" s="30">
        <f t="shared" si="89"/>
        <v>971365.11891517101</v>
      </c>
      <c r="S315" s="30">
        <f t="shared" si="81"/>
        <v>971365.11891517125</v>
      </c>
      <c r="T315" s="30">
        <f t="shared" si="90"/>
        <v>971365.11891517125</v>
      </c>
      <c r="U315">
        <f t="shared" si="91"/>
        <v>0</v>
      </c>
      <c r="V315" s="30">
        <f t="shared" si="92"/>
        <v>971365.11891517125</v>
      </c>
      <c r="W315" s="30">
        <f t="shared" si="82"/>
        <v>971365.11891517125</v>
      </c>
      <c r="X315" s="30">
        <f t="shared" si="93"/>
        <v>971365.11891517125</v>
      </c>
      <c r="Y315">
        <f t="shared" si="94"/>
        <v>0</v>
      </c>
    </row>
    <row r="316" spans="1:25" x14ac:dyDescent="0.25">
      <c r="A316" s="4" t="s">
        <v>1260</v>
      </c>
      <c r="B316" s="7" t="s">
        <v>651</v>
      </c>
      <c r="C316" s="2" t="s">
        <v>1261</v>
      </c>
      <c r="D316">
        <f>VLOOKUP(B316,'Model allocations'!$A$1:$L$319,4,FALSE)</f>
        <v>0</v>
      </c>
      <c r="E316" s="32">
        <f>VLOOKUP(B316,'Initial adjusted formula count'!$A$1:$P$319,12,FALSE)</f>
        <v>9.2218137254901994E-2</v>
      </c>
      <c r="F316">
        <f>VLOOKUP(B316,'Model allocations'!$A$1:$L$319,9,FALSE)</f>
        <v>0</v>
      </c>
      <c r="G316" s="31">
        <f t="shared" si="83"/>
        <v>0.85</v>
      </c>
      <c r="H316">
        <f t="shared" si="84"/>
        <v>0</v>
      </c>
      <c r="I316">
        <f t="shared" si="76"/>
        <v>0</v>
      </c>
      <c r="J316">
        <f t="shared" si="77"/>
        <v>0</v>
      </c>
      <c r="K316">
        <f t="shared" si="78"/>
        <v>0</v>
      </c>
      <c r="L316">
        <f t="shared" si="85"/>
        <v>0</v>
      </c>
      <c r="M316">
        <f t="shared" si="79"/>
        <v>0</v>
      </c>
      <c r="N316" s="30">
        <f t="shared" si="86"/>
        <v>0</v>
      </c>
      <c r="O316" s="30">
        <f t="shared" si="80"/>
        <v>0</v>
      </c>
      <c r="P316" s="30">
        <f t="shared" si="87"/>
        <v>0</v>
      </c>
      <c r="Q316">
        <f t="shared" si="88"/>
        <v>0</v>
      </c>
      <c r="R316" s="30">
        <f t="shared" si="89"/>
        <v>0</v>
      </c>
      <c r="S316" s="30">
        <f t="shared" si="81"/>
        <v>0</v>
      </c>
      <c r="T316" s="30">
        <f t="shared" si="90"/>
        <v>0</v>
      </c>
      <c r="U316">
        <f t="shared" si="91"/>
        <v>0</v>
      </c>
      <c r="V316" s="30">
        <f t="shared" si="92"/>
        <v>0</v>
      </c>
      <c r="W316" s="30">
        <f t="shared" si="82"/>
        <v>0</v>
      </c>
      <c r="X316" s="30">
        <f t="shared" si="93"/>
        <v>0</v>
      </c>
      <c r="Y316">
        <f t="shared" si="94"/>
        <v>0</v>
      </c>
    </row>
    <row r="317" spans="1:25" hidden="1" x14ac:dyDescent="0.25">
      <c r="A317" s="4" t="s">
        <v>1262</v>
      </c>
      <c r="B317" s="7" t="s">
        <v>653</v>
      </c>
      <c r="C317" s="2" t="s">
        <v>1263</v>
      </c>
      <c r="D317">
        <f>VLOOKUP(B317,'Model allocations'!$A$1:$L$319,4,FALSE)</f>
        <v>33726.295308902583</v>
      </c>
      <c r="E317" s="32">
        <f>VLOOKUP(B317,'Initial adjusted formula count'!$A$1:$P$319,12,FALSE)</f>
        <v>0.123857024106401</v>
      </c>
      <c r="F317">
        <f>VLOOKUP(B317,'Model allocations'!$A$1:$L$319,9,FALSE)</f>
        <v>28667.351012567196</v>
      </c>
      <c r="G317" s="31">
        <f t="shared" si="83"/>
        <v>0.85</v>
      </c>
      <c r="H317">
        <f t="shared" si="84"/>
        <v>28667.351012567196</v>
      </c>
      <c r="I317">
        <f t="shared" si="76"/>
        <v>0</v>
      </c>
      <c r="J317">
        <f t="shared" si="77"/>
        <v>28667.351012567196</v>
      </c>
      <c r="K317">
        <f t="shared" si="78"/>
        <v>28618.13609953989</v>
      </c>
      <c r="L317">
        <f t="shared" si="85"/>
        <v>28618.13609953989</v>
      </c>
      <c r="M317">
        <f t="shared" si="79"/>
        <v>28667.351012567196</v>
      </c>
      <c r="N317" s="30">
        <f t="shared" si="86"/>
        <v>0</v>
      </c>
      <c r="O317" s="30">
        <f t="shared" si="80"/>
        <v>0</v>
      </c>
      <c r="P317" s="30">
        <f t="shared" si="87"/>
        <v>28667.351012567196</v>
      </c>
      <c r="Q317">
        <f t="shared" si="88"/>
        <v>0</v>
      </c>
      <c r="R317" s="30">
        <f t="shared" si="89"/>
        <v>0</v>
      </c>
      <c r="S317" s="30">
        <f t="shared" si="81"/>
        <v>0</v>
      </c>
      <c r="T317" s="30">
        <f t="shared" si="90"/>
        <v>28667.351012567196</v>
      </c>
      <c r="U317">
        <f t="shared" si="91"/>
        <v>0</v>
      </c>
      <c r="V317" s="30">
        <f t="shared" si="92"/>
        <v>0</v>
      </c>
      <c r="W317" s="30">
        <f t="shared" si="82"/>
        <v>0</v>
      </c>
      <c r="X317" s="30">
        <f t="shared" si="93"/>
        <v>28667.351012567196</v>
      </c>
      <c r="Y317">
        <f t="shared" si="94"/>
        <v>0</v>
      </c>
    </row>
    <row r="318" spans="1:25" hidden="1" x14ac:dyDescent="0.25">
      <c r="A318" s="1"/>
      <c r="B318" s="7" t="s">
        <v>655</v>
      </c>
      <c r="C318" s="2" t="s">
        <v>656</v>
      </c>
      <c r="D318">
        <f>VLOOKUP(B318,'Model allocations'!$A$1:$L$319,4,FALSE)</f>
        <v>225593.40680315011</v>
      </c>
      <c r="E318" s="32">
        <f>VLOOKUP(B318,'Initial adjusted formula count'!$A$1:$P$319,12,FALSE)</f>
        <v>1</v>
      </c>
      <c r="F318">
        <f>VLOOKUP(B318,'Model allocations'!$A$1:$L$319,9,FALSE)</f>
        <v>214313.73646299259</v>
      </c>
      <c r="G318" s="31">
        <f t="shared" si="83"/>
        <v>0.95</v>
      </c>
      <c r="H318">
        <f t="shared" si="84"/>
        <v>214313.73646299259</v>
      </c>
      <c r="I318">
        <f t="shared" si="76"/>
        <v>0</v>
      </c>
      <c r="J318">
        <f t="shared" si="77"/>
        <v>214313.73646299259</v>
      </c>
      <c r="K318">
        <f t="shared" si="78"/>
        <v>213945.81157534049</v>
      </c>
      <c r="L318">
        <f t="shared" si="85"/>
        <v>213945.81157534049</v>
      </c>
      <c r="M318">
        <f t="shared" si="79"/>
        <v>214313.73646299259</v>
      </c>
      <c r="N318" s="30">
        <f t="shared" si="86"/>
        <v>0</v>
      </c>
      <c r="O318" s="30">
        <f t="shared" si="80"/>
        <v>0</v>
      </c>
      <c r="P318" s="30">
        <f t="shared" si="87"/>
        <v>214313.73646299259</v>
      </c>
      <c r="Q318">
        <f t="shared" si="88"/>
        <v>0</v>
      </c>
      <c r="R318" s="30">
        <f t="shared" si="89"/>
        <v>0</v>
      </c>
      <c r="S318" s="30">
        <f t="shared" si="81"/>
        <v>0</v>
      </c>
      <c r="T318" s="30">
        <f t="shared" si="90"/>
        <v>214313.73646299259</v>
      </c>
      <c r="U318">
        <f t="shared" si="91"/>
        <v>0</v>
      </c>
      <c r="V318" s="30">
        <f t="shared" si="92"/>
        <v>0</v>
      </c>
      <c r="W318" s="30">
        <f t="shared" si="82"/>
        <v>0</v>
      </c>
      <c r="X318" s="30">
        <f t="shared" si="93"/>
        <v>214313.73646299259</v>
      </c>
      <c r="Y318">
        <f t="shared" si="94"/>
        <v>0</v>
      </c>
    </row>
    <row r="319" spans="1:25" x14ac:dyDescent="0.25">
      <c r="B319" t="s">
        <v>1409</v>
      </c>
      <c r="C319" t="s">
        <v>1415</v>
      </c>
      <c r="D319">
        <f>VLOOKUP(B319,'Model allocations'!$A$1:$L$319,4,FALSE)</f>
        <v>0</v>
      </c>
      <c r="E319" s="32">
        <f>VLOOKUP(B319,'Initial adjusted formula count'!$A$1:$P$319,12,FALSE)</f>
        <v>0.14981174476863399</v>
      </c>
      <c r="F319">
        <f>VLOOKUP(B319,'Model allocations'!$A$1:$L$319,9,FALSE)</f>
        <v>0</v>
      </c>
      <c r="G319" s="31">
        <f t="shared" ref="G319:G320" si="95">IF(E319&lt;0.15,0.85,IF(AND(E319&gt;=0.15,E319&lt;0.3),0.9,0.95))</f>
        <v>0.85</v>
      </c>
      <c r="H319">
        <f t="shared" ref="H319:H320" si="96">IF(F319 = 0, 0, D319*G319)</f>
        <v>0</v>
      </c>
      <c r="I319">
        <f t="shared" ref="I319:I320" si="97">IF(F319&lt;H319,H319,0)</f>
        <v>0</v>
      </c>
      <c r="J319">
        <f t="shared" ref="J319:J320" si="98">IF(I319=0,F319,0)</f>
        <v>0</v>
      </c>
      <c r="K319">
        <f t="shared" ref="K319:K320" si="99">(J319/$J$3)*($F$3-$I$3)</f>
        <v>0</v>
      </c>
      <c r="L319">
        <f t="shared" ref="L319:L320" si="100">I319+K319</f>
        <v>0</v>
      </c>
      <c r="M319">
        <f t="shared" ref="M319:M320" si="101">IF(L319&lt;H319,H319,0)</f>
        <v>0</v>
      </c>
      <c r="N319" s="30">
        <f t="shared" ref="N319:N320" si="102">IF(I319+M319=0,L319,0)</f>
        <v>0</v>
      </c>
      <c r="O319" s="30">
        <f t="shared" ref="O319:O320" si="103">((N319/$N$3)*($F$3-$I$3-$M$3))</f>
        <v>0</v>
      </c>
      <c r="P319" s="30">
        <f t="shared" ref="P319:P320" si="104">$I319+$M319+O319</f>
        <v>0</v>
      </c>
      <c r="Q319">
        <f t="shared" ref="Q319:Q320" si="105">IF(P319&lt;H319,H319,0)</f>
        <v>0</v>
      </c>
      <c r="R319" s="30">
        <f t="shared" ref="R319:R320" si="106">IF($I319+$M319+$Q319=0,P319,0)</f>
        <v>0</v>
      </c>
      <c r="S319" s="30">
        <f t="shared" ref="S319:S320" si="107">((R319/$R$3)*($F$3-$I$3-$M$3-$Q$3))</f>
        <v>0</v>
      </c>
      <c r="T319" s="30">
        <f t="shared" ref="T319:T320" si="108">$I319+$M319+$Q319+S319</f>
        <v>0</v>
      </c>
      <c r="U319">
        <f t="shared" ref="U319:U320" si="109">IF(T319&lt;H319,H319,0)</f>
        <v>0</v>
      </c>
      <c r="V319" s="30">
        <f t="shared" ref="V319:V320" si="110">IF($I319+$M319+$Q319+U319=0,T319,0)</f>
        <v>0</v>
      </c>
      <c r="W319" s="30">
        <f t="shared" ref="W319:W320" si="111">((V319/$V$3)*($F$3-$I$3-$M$3-$Q$3-$U$3))</f>
        <v>0</v>
      </c>
      <c r="X319" s="30">
        <f t="shared" ref="X319:X320" si="112">$I319+$M319+$Q319+$U319+W319</f>
        <v>0</v>
      </c>
      <c r="Y319">
        <f t="shared" ref="Y319:Y320" si="113">IF(X319&lt;H319,H319,0)</f>
        <v>0</v>
      </c>
    </row>
    <row r="320" spans="1:25" x14ac:dyDescent="0.25">
      <c r="B320" t="s">
        <v>1411</v>
      </c>
      <c r="C320" t="s">
        <v>1416</v>
      </c>
      <c r="D320">
        <f>VLOOKUP(B320,'Model allocations'!$A$1:$L$319,4,FALSE)</f>
        <v>0</v>
      </c>
      <c r="E320" s="32">
        <f>VLOOKUP(B320,'Initial adjusted formula count'!$A$1:$P$319,12,FALSE)</f>
        <v>0.13058419145015701</v>
      </c>
      <c r="F320">
        <f>VLOOKUP(B320,'Model allocations'!$A$1:$L$319,9,FALSE)</f>
        <v>0</v>
      </c>
      <c r="G320" s="31">
        <f t="shared" si="95"/>
        <v>0.85</v>
      </c>
      <c r="H320">
        <f t="shared" si="96"/>
        <v>0</v>
      </c>
      <c r="I320">
        <f t="shared" si="97"/>
        <v>0</v>
      </c>
      <c r="J320">
        <f t="shared" si="98"/>
        <v>0</v>
      </c>
      <c r="K320">
        <f t="shared" si="99"/>
        <v>0</v>
      </c>
      <c r="L320">
        <f t="shared" si="100"/>
        <v>0</v>
      </c>
      <c r="M320">
        <f t="shared" si="101"/>
        <v>0</v>
      </c>
      <c r="N320" s="30">
        <f t="shared" si="102"/>
        <v>0</v>
      </c>
      <c r="O320" s="30">
        <f t="shared" si="103"/>
        <v>0</v>
      </c>
      <c r="P320" s="30">
        <f t="shared" si="104"/>
        <v>0</v>
      </c>
      <c r="Q320">
        <f t="shared" si="105"/>
        <v>0</v>
      </c>
      <c r="R320" s="30">
        <f t="shared" si="106"/>
        <v>0</v>
      </c>
      <c r="S320" s="30">
        <f t="shared" si="107"/>
        <v>0</v>
      </c>
      <c r="T320" s="30">
        <f t="shared" si="108"/>
        <v>0</v>
      </c>
      <c r="U320">
        <f t="shared" si="109"/>
        <v>0</v>
      </c>
      <c r="V320" s="30">
        <f t="shared" si="110"/>
        <v>0</v>
      </c>
      <c r="W320" s="30">
        <f t="shared" si="111"/>
        <v>0</v>
      </c>
      <c r="X320" s="30">
        <f t="shared" si="112"/>
        <v>0</v>
      </c>
      <c r="Y320">
        <f t="shared" si="113"/>
        <v>0</v>
      </c>
    </row>
  </sheetData>
  <sheetProtection algorithmName="SHA-512" hashValue="u1ebItRiT2ZdpFXinBgnPr94IUseu8nw95Ej2eRMtGD3sBn6xIXH1NHg7ksSTUUTUAnda3RyTT7Wofwl9xIjbw==" saltValue="h3fyhbU+6eCiVjXNt6HKew==" spinCount="100000" sheet="1" objects="1" scenarios="1"/>
  <autoFilter ref="A3:Y320" xr:uid="{960B0794-1783-4202-AA7F-A166F63BFA92}">
    <filterColumn colId="3">
      <filters>
        <filter val="0"/>
      </filters>
    </filterColumn>
  </autoFilter>
  <conditionalFormatting sqref="B1:B318">
    <cfRule type="duplicateValues" dxfId="2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CECE1-CFB0-4124-B246-34444E47CF8A}">
  <dimension ref="A1:Z330"/>
  <sheetViews>
    <sheetView workbookViewId="0"/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14.7109375" customWidth="1"/>
    <col min="7" max="7" width="12.85546875" customWidth="1"/>
    <col min="8" max="8" width="11.28515625" bestFit="1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1.28515625" bestFit="1" customWidth="1"/>
    <col min="14" max="14" width="13.28515625" customWidth="1"/>
    <col min="15" max="15" width="16.42578125" customWidth="1"/>
    <col min="16" max="16" width="14.28515625" customWidth="1"/>
    <col min="18" max="18" width="11.140625" customWidth="1"/>
    <col min="19" max="19" width="11.28515625" bestFit="1" customWidth="1"/>
    <col min="20" max="20" width="12.7109375" customWidth="1"/>
    <col min="22" max="22" width="13.85546875" customWidth="1"/>
    <col min="23" max="23" width="11.85546875" customWidth="1"/>
    <col min="24" max="24" width="12" customWidth="1"/>
  </cols>
  <sheetData>
    <row r="1" spans="1:26" x14ac:dyDescent="0.25">
      <c r="A1" s="1"/>
      <c r="B1" s="5"/>
      <c r="C1" s="4"/>
      <c r="Y1" t="str" cm="1">
        <f t="array" ref="Y1">Assumptions[TARGETED GRANTS]</f>
        <v>72841469</v>
      </c>
      <c r="Z1" s="47">
        <f>X3-Y1</f>
        <v>-44363.489893317223</v>
      </c>
    </row>
    <row r="2" spans="1:26" ht="76.5" x14ac:dyDescent="0.25">
      <c r="A2" s="1" t="s">
        <v>0</v>
      </c>
      <c r="B2" s="5" t="s">
        <v>4</v>
      </c>
      <c r="C2" s="3" t="s">
        <v>1284</v>
      </c>
      <c r="D2" s="34" t="s">
        <v>1381</v>
      </c>
      <c r="E2" s="37" t="s">
        <v>1301</v>
      </c>
      <c r="F2" s="34" t="s">
        <v>1302</v>
      </c>
      <c r="G2" s="36" t="s">
        <v>658</v>
      </c>
      <c r="H2" s="35" t="s">
        <v>1382</v>
      </c>
      <c r="I2" s="35" t="s">
        <v>1373</v>
      </c>
      <c r="J2" s="35" t="s">
        <v>1374</v>
      </c>
      <c r="K2" s="35" t="s">
        <v>1375</v>
      </c>
      <c r="L2" s="35" t="s">
        <v>1376</v>
      </c>
      <c r="M2" s="33" t="s">
        <v>1298</v>
      </c>
      <c r="N2" s="35" t="s">
        <v>1374</v>
      </c>
      <c r="O2" s="33" t="s">
        <v>1375</v>
      </c>
      <c r="P2" s="33" t="s">
        <v>1376</v>
      </c>
      <c r="Q2" s="33" t="s">
        <v>1377</v>
      </c>
      <c r="R2" s="33" t="s">
        <v>1374</v>
      </c>
      <c r="S2" s="33" t="s">
        <v>1375</v>
      </c>
      <c r="T2" s="33" t="s">
        <v>1376</v>
      </c>
      <c r="U2" s="33" t="s">
        <v>1378</v>
      </c>
      <c r="V2" s="33" t="s">
        <v>1374</v>
      </c>
      <c r="W2" s="33" t="s">
        <v>1375</v>
      </c>
      <c r="X2" s="33" t="s">
        <v>1376</v>
      </c>
      <c r="Y2" s="33" t="s">
        <v>1379</v>
      </c>
      <c r="Z2" s="33"/>
    </row>
    <row r="3" spans="1:26" x14ac:dyDescent="0.25">
      <c r="A3" s="1"/>
      <c r="B3" s="5"/>
      <c r="C3" s="6"/>
      <c r="D3" s="34">
        <f>SUM(D4:D318)</f>
        <v>71652528.845297858</v>
      </c>
      <c r="E3" s="34"/>
      <c r="F3" s="34" cm="1">
        <f t="array" ref="F3">SUM(IF(ISERROR($F$4:$F$318),"",$F$4:$F$318))</f>
        <v>72797105.510106638</v>
      </c>
      <c r="G3" s="34"/>
      <c r="H3" s="34" cm="1">
        <f t="array" ref="H3">SUM(IF(ISERROR($H$4:$H$318),"",$H$4:$H$318))</f>
        <v>61464247.612282723</v>
      </c>
      <c r="I3" s="34" cm="1">
        <f t="array" ref="I3">SUM(IF(ISERROR($I$4:$I$318),"",$I$4:$I$318))</f>
        <v>2439319.9482644098</v>
      </c>
      <c r="J3" s="34" cm="1">
        <f t="array" ref="J3">SUM(IF(ISERROR($J$4:$J$318),"",$J$4:$J$318))</f>
        <v>70372677.672310516</v>
      </c>
      <c r="K3" s="34" cm="1">
        <f t="array" ref="K3">SUM(IF(ISERROR($K$4:$K$318),"",$K$4:$K$318))</f>
        <v>70357785.561842218</v>
      </c>
      <c r="L3" s="34" cm="1">
        <f t="array" ref="L3">SUM(IF(ISERROR($L$4:$L$318),0,$L$4:$L$318))</f>
        <v>72797105.510106623</v>
      </c>
      <c r="M3" s="34" cm="1">
        <f t="array" ref="M3">SUM(IF(ISERROR($M$4:$M$318),0,$M$4:$M$318))</f>
        <v>8159990.3211002294</v>
      </c>
      <c r="N3" s="34" cm="1">
        <f t="array" ref="N3">SUM(IF(ISERROR($N$4:$N$318),0,$N$4:$N$318))</f>
        <v>62199522.03985355</v>
      </c>
      <c r="O3" s="34" cm="1">
        <f t="array" ref="O3">SUM(IF(ISERROR($O$4:$O$318),0,$O$4:$O$318))</f>
        <v>62197795.24074202</v>
      </c>
      <c r="P3" s="34" cm="1">
        <f t="array" ref="P3">SUM(IF(ISERROR($P$4:$P$318),0,$P$4:$P$318))</f>
        <v>72797105.510106698</v>
      </c>
      <c r="Q3" s="34" cm="1">
        <f t="array" ref="Q3">SUM(IF(ISERROR($Q$4:$Q$318),0,$Q$4:$Q$318))</f>
        <v>0</v>
      </c>
      <c r="R3" s="34" cm="1">
        <f t="array" ref="R3">SUM(IF(ISERROR($R$4:$R$318),0,$R$4:$R$318))</f>
        <v>62197795.24074202</v>
      </c>
      <c r="S3" s="34" cm="1">
        <f t="array" ref="S3">SUM(IF(ISERROR($S$4:$S$318),0,$S$4:$S$318))</f>
        <v>62197795.240741998</v>
      </c>
      <c r="T3" s="34" cm="1">
        <f t="array" ref="T3">SUM(IF(ISERROR($T$4:$T$318),0,$T$4:$T$318))</f>
        <v>72797105.510106668</v>
      </c>
      <c r="U3" s="34" cm="1">
        <f t="array" ref="U3">SUM(IF(ISERROR($U$4:$U$318),0,$U$4:$U$318))</f>
        <v>0</v>
      </c>
      <c r="V3" s="34" cm="1">
        <f t="array" ref="V3">SUM(IF(ISERROR($V$4:$V$318),0,$V$4:$V$318))</f>
        <v>62197795.240741998</v>
      </c>
      <c r="W3" s="34" cm="1">
        <f t="array" ref="W3">SUM(IF(ISERROR($W$4:$W$318),0,$W$4:$W$318))</f>
        <v>62197795.240741998</v>
      </c>
      <c r="X3" s="34" cm="1">
        <f t="array" ref="X3">SUM(IF(ISERROR($X$4:$X$318),0,$X$4:$X$318))</f>
        <v>72797105.510106683</v>
      </c>
      <c r="Y3" s="34" cm="1">
        <f t="array" ref="Y3">SUM(IF(ISERROR($Y$4:$Y$318),0,$Y$4:$Y$318))</f>
        <v>0</v>
      </c>
      <c r="Z3" s="33"/>
    </row>
    <row r="4" spans="1:26" x14ac:dyDescent="0.25">
      <c r="A4" s="4" t="s">
        <v>665</v>
      </c>
      <c r="B4" s="7" t="s">
        <v>313</v>
      </c>
      <c r="C4" s="2" t="s">
        <v>666</v>
      </c>
      <c r="D4">
        <f>VLOOKUP(B4,'Model allocations'!$A$1:$L$319,5,FALSE)</f>
        <v>355016.67821700493</v>
      </c>
      <c r="E4" s="32">
        <f>VLOOKUP(B4,'Initial adjusted formula count'!$A$1:$P$319,12,FALSE)</f>
        <v>0.237263880938752</v>
      </c>
      <c r="F4">
        <f>VLOOKUP(B4,'Model allocations'!$A$1:$L$319,10,FALSE)</f>
        <v>446620.38579443697</v>
      </c>
      <c r="G4" s="31">
        <f>IF(E4&lt;0.15,0.85,IF(AND(E4&gt;=0.15,E4&lt;0.3),0.9,0.95))</f>
        <v>0.9</v>
      </c>
      <c r="H4">
        <f>IF(F4 = 0, 0, D4*G4)</f>
        <v>319515.01039530442</v>
      </c>
      <c r="I4">
        <f t="shared" ref="I4:I67" si="0">IF(F4&lt;H4,H4,0)</f>
        <v>0</v>
      </c>
      <c r="J4">
        <f t="shared" ref="J4:J67" si="1">IF(I4=0,F4,0)</f>
        <v>446620.38579443697</v>
      </c>
      <c r="K4">
        <f t="shared" ref="K4:K67" si="2">(J4/$J$3)*($F$3-$I$3)</f>
        <v>446525.87297578866</v>
      </c>
      <c r="L4">
        <f>I4+K4</f>
        <v>446525.87297578866</v>
      </c>
      <c r="M4">
        <f t="shared" ref="M4:M67" si="3">IF(L4&lt;H4,H4,0)</f>
        <v>0</v>
      </c>
      <c r="N4" s="30">
        <f>IF($I4+$M4=0,L4,0)</f>
        <v>446525.87297578866</v>
      </c>
      <c r="O4" s="30">
        <f t="shared" ref="O4:O67" si="4">((N4/$N$3)*($F$3-$I$3-$M$3))</f>
        <v>446513.47640977899</v>
      </c>
      <c r="P4" s="30">
        <f>$I4+$M4+O4</f>
        <v>446513.47640977899</v>
      </c>
      <c r="Q4">
        <f>IF(P4&lt;H4,H4,0)</f>
        <v>0</v>
      </c>
      <c r="R4" s="30">
        <f>IF($I4+$M4+$Q4=0,P4,0)</f>
        <v>446513.47640977899</v>
      </c>
      <c r="S4" s="30">
        <f t="shared" ref="S4:S67" si="5">((R4/$R$3)*($F$3-$I$3-$M$3-$Q$3))</f>
        <v>446513.47640977887</v>
      </c>
      <c r="T4" s="30">
        <f>$I4+$M4+$Q4+S4</f>
        <v>446513.47640977887</v>
      </c>
      <c r="U4">
        <f>IF(T4&lt;H4,H4,0)</f>
        <v>0</v>
      </c>
      <c r="V4" s="30">
        <f>IF($I4+$M4+$Q4+U4=0,T4,0)</f>
        <v>446513.47640977887</v>
      </c>
      <c r="W4" s="30">
        <f t="shared" ref="W4:W67" si="6">((V4/$V$3)*($F$3-$I$3-$M$3-$Q$3-$U$3))</f>
        <v>446513.47640977893</v>
      </c>
      <c r="X4" s="30">
        <f>$I4+$M4+$Q4+$U4+W4</f>
        <v>446513.47640977893</v>
      </c>
      <c r="Y4">
        <f>IF(X4&lt;H4,H4,0)</f>
        <v>0</v>
      </c>
    </row>
    <row r="5" spans="1:26" x14ac:dyDescent="0.25">
      <c r="A5" s="4" t="s">
        <v>667</v>
      </c>
      <c r="B5" s="7" t="s">
        <v>264</v>
      </c>
      <c r="C5" s="2" t="s">
        <v>668</v>
      </c>
      <c r="D5">
        <f>VLOOKUP(B5,'Model allocations'!$A$1:$L$319,5,FALSE)</f>
        <v>17279.875804844825</v>
      </c>
      <c r="E5" s="32">
        <f>VLOOKUP(B5,'Initial adjusted formula count'!$A$1:$P$319,12,FALSE)</f>
        <v>5.2917232021709601E-2</v>
      </c>
      <c r="F5">
        <f>VLOOKUP(B5,'Model allocations'!$A$1:$L$319,10,FALSE)</f>
        <v>16056.099155472324</v>
      </c>
      <c r="G5" s="31">
        <f t="shared" ref="G5:G68" si="7">IF(E5&lt;0.15,0.85,IF(AND(E5&gt;=0.15,E5&lt;0.3),0.9,0.95))</f>
        <v>0.85</v>
      </c>
      <c r="H5">
        <f t="shared" ref="H5:H68" si="8">IF(F5 = 0, 0, D5*G5)</f>
        <v>14687.894434118101</v>
      </c>
      <c r="I5">
        <f t="shared" si="0"/>
        <v>0</v>
      </c>
      <c r="J5">
        <f t="shared" si="1"/>
        <v>16056.099155472324</v>
      </c>
      <c r="K5">
        <f t="shared" si="2"/>
        <v>16052.701399266054</v>
      </c>
      <c r="L5">
        <f t="shared" ref="L5:L68" si="9">I5+K5</f>
        <v>16052.701399266054</v>
      </c>
      <c r="M5">
        <f t="shared" si="3"/>
        <v>0</v>
      </c>
      <c r="N5" s="30">
        <f t="shared" ref="N5:N68" si="10">IF($I5+$M5=0,L5,0)</f>
        <v>16052.701399266054</v>
      </c>
      <c r="O5" s="30">
        <f t="shared" si="4"/>
        <v>16052.255740045452</v>
      </c>
      <c r="P5" s="30">
        <f t="shared" ref="P5:P68" si="11">$I5+$M5+O5</f>
        <v>16052.255740045452</v>
      </c>
      <c r="Q5">
        <f t="shared" ref="Q5:Q68" si="12">IF(P5&lt;H5,H5,0)</f>
        <v>0</v>
      </c>
      <c r="R5" s="30">
        <f t="shared" ref="R5:R68" si="13">IF($I5+$M5+$Q5=0,P5,0)</f>
        <v>16052.255740045452</v>
      </c>
      <c r="S5" s="30">
        <f t="shared" si="5"/>
        <v>16052.255740045448</v>
      </c>
      <c r="T5" s="30">
        <f t="shared" ref="T5:T68" si="14">$I5+$M5+$Q5+S5</f>
        <v>16052.255740045448</v>
      </c>
      <c r="U5">
        <f t="shared" ref="U5:U68" si="15">IF(T5&lt;H5,H5,0)</f>
        <v>0</v>
      </c>
      <c r="V5" s="30">
        <f t="shared" ref="V5:V68" si="16">IF($I5+$M5+$Q5+U5=0,T5,0)</f>
        <v>16052.255740045448</v>
      </c>
      <c r="W5" s="30">
        <f t="shared" si="6"/>
        <v>16052.255740045452</v>
      </c>
      <c r="X5" s="30">
        <f t="shared" ref="X5:X68" si="17">$I5+$M5+$Q5+$U5+W5</f>
        <v>16052.255740045452</v>
      </c>
      <c r="Y5">
        <f t="shared" ref="Y5:Y68" si="18">IF(X5&lt;H5,H5,0)</f>
        <v>0</v>
      </c>
    </row>
    <row r="6" spans="1:26" x14ac:dyDescent="0.25">
      <c r="A6" s="4" t="s">
        <v>669</v>
      </c>
      <c r="B6" s="7" t="s">
        <v>266</v>
      </c>
      <c r="C6" s="2" t="s">
        <v>670</v>
      </c>
      <c r="D6">
        <f>VLOOKUP(B6,'Model allocations'!$A$1:$L$319,5,FALSE)</f>
        <v>0</v>
      </c>
      <c r="E6" s="32">
        <f>VLOOKUP(B6,'Initial adjusted formula count'!$A$1:$P$319,12,FALSE)</f>
        <v>6.1224489795918401E-2</v>
      </c>
      <c r="F6">
        <f>VLOOKUP(B6,'Model allocations'!$A$1:$L$319,10,FALSE)</f>
        <v>0</v>
      </c>
      <c r="G6" s="31">
        <f t="shared" si="7"/>
        <v>0.85</v>
      </c>
      <c r="H6">
        <f t="shared" si="8"/>
        <v>0</v>
      </c>
      <c r="I6">
        <f t="shared" si="0"/>
        <v>0</v>
      </c>
      <c r="J6">
        <f t="shared" si="1"/>
        <v>0</v>
      </c>
      <c r="K6">
        <f t="shared" si="2"/>
        <v>0</v>
      </c>
      <c r="L6">
        <f t="shared" si="9"/>
        <v>0</v>
      </c>
      <c r="M6">
        <f t="shared" si="3"/>
        <v>0</v>
      </c>
      <c r="N6" s="30">
        <f t="shared" si="10"/>
        <v>0</v>
      </c>
      <c r="O6" s="30">
        <f t="shared" si="4"/>
        <v>0</v>
      </c>
      <c r="P6" s="30">
        <f t="shared" si="11"/>
        <v>0</v>
      </c>
      <c r="Q6">
        <f t="shared" si="12"/>
        <v>0</v>
      </c>
      <c r="R6" s="30">
        <f t="shared" si="13"/>
        <v>0</v>
      </c>
      <c r="S6" s="30">
        <f t="shared" si="5"/>
        <v>0</v>
      </c>
      <c r="T6" s="30">
        <f t="shared" si="14"/>
        <v>0</v>
      </c>
      <c r="U6">
        <f t="shared" si="15"/>
        <v>0</v>
      </c>
      <c r="V6" s="30">
        <f t="shared" si="16"/>
        <v>0</v>
      </c>
      <c r="W6" s="30">
        <f t="shared" si="6"/>
        <v>0</v>
      </c>
      <c r="X6" s="30">
        <f t="shared" si="17"/>
        <v>0</v>
      </c>
      <c r="Y6">
        <f t="shared" si="18"/>
        <v>0</v>
      </c>
    </row>
    <row r="7" spans="1:26" x14ac:dyDescent="0.25">
      <c r="A7" s="4" t="s">
        <v>671</v>
      </c>
      <c r="B7" s="7" t="s">
        <v>93</v>
      </c>
      <c r="C7" s="2" t="s">
        <v>672</v>
      </c>
      <c r="D7">
        <f>VLOOKUP(B7,'Model allocations'!$A$1:$L$319,5,FALSE)</f>
        <v>113104.64163171158</v>
      </c>
      <c r="E7" s="32">
        <f>VLOOKUP(B7,'Initial adjusted formula count'!$A$1:$P$319,12,FALSE)</f>
        <v>9.2644978783592596E-2</v>
      </c>
      <c r="F7">
        <f>VLOOKUP(B7,'Model allocations'!$A$1:$L$319,10,FALSE)</f>
        <v>107864.05073676282</v>
      </c>
      <c r="G7" s="31">
        <f t="shared" si="7"/>
        <v>0.85</v>
      </c>
      <c r="H7">
        <f t="shared" si="8"/>
        <v>96138.945386954845</v>
      </c>
      <c r="I7">
        <f t="shared" si="0"/>
        <v>0</v>
      </c>
      <c r="J7">
        <f t="shared" si="1"/>
        <v>107864.05073676282</v>
      </c>
      <c r="K7">
        <f t="shared" si="2"/>
        <v>107841.22478481299</v>
      </c>
      <c r="L7">
        <f t="shared" si="9"/>
        <v>107841.22478481299</v>
      </c>
      <c r="M7">
        <f t="shared" si="3"/>
        <v>0</v>
      </c>
      <c r="N7" s="30">
        <f t="shared" si="10"/>
        <v>107841.22478481299</v>
      </c>
      <c r="O7" s="30">
        <f t="shared" si="4"/>
        <v>107838.23086902329</v>
      </c>
      <c r="P7" s="30">
        <f t="shared" si="11"/>
        <v>107838.23086902329</v>
      </c>
      <c r="Q7">
        <f t="shared" si="12"/>
        <v>0</v>
      </c>
      <c r="R7" s="30">
        <f t="shared" si="13"/>
        <v>107838.23086902329</v>
      </c>
      <c r="S7" s="30">
        <f t="shared" si="5"/>
        <v>107838.23086902327</v>
      </c>
      <c r="T7" s="30">
        <f t="shared" si="14"/>
        <v>107838.23086902327</v>
      </c>
      <c r="U7">
        <f t="shared" si="15"/>
        <v>0</v>
      </c>
      <c r="V7" s="30">
        <f t="shared" si="16"/>
        <v>107838.23086902327</v>
      </c>
      <c r="W7" s="30">
        <f t="shared" si="6"/>
        <v>107838.23086902329</v>
      </c>
      <c r="X7" s="30">
        <f t="shared" si="17"/>
        <v>107838.23086902329</v>
      </c>
      <c r="Y7">
        <f t="shared" si="18"/>
        <v>0</v>
      </c>
    </row>
    <row r="8" spans="1:26" x14ac:dyDescent="0.25">
      <c r="A8" s="4" t="s">
        <v>673</v>
      </c>
      <c r="B8" s="7" t="s">
        <v>95</v>
      </c>
      <c r="C8" s="2" t="s">
        <v>674</v>
      </c>
      <c r="D8">
        <f>VLOOKUP(B8,'Model allocations'!$A$1:$L$319,5,FALSE)</f>
        <v>190864.08275351327</v>
      </c>
      <c r="E8" s="32">
        <f>VLOOKUP(B8,'Initial adjusted formula count'!$A$1:$P$319,12,FALSE)</f>
        <v>9.7210481825866404E-2</v>
      </c>
      <c r="F8">
        <f>VLOOKUP(B8,'Model allocations'!$A$1:$L$319,10,FALSE)</f>
        <v>236724.53883068167</v>
      </c>
      <c r="G8" s="31">
        <f t="shared" si="7"/>
        <v>0.85</v>
      </c>
      <c r="H8">
        <f t="shared" si="8"/>
        <v>162234.47034048627</v>
      </c>
      <c r="I8">
        <f t="shared" si="0"/>
        <v>0</v>
      </c>
      <c r="J8">
        <f t="shared" si="1"/>
        <v>236724.53883068167</v>
      </c>
      <c r="K8">
        <f t="shared" si="2"/>
        <v>236674.44370712768</v>
      </c>
      <c r="L8">
        <f t="shared" si="9"/>
        <v>236674.44370712768</v>
      </c>
      <c r="M8">
        <f t="shared" si="3"/>
        <v>0</v>
      </c>
      <c r="N8" s="30">
        <f t="shared" si="10"/>
        <v>236674.44370712768</v>
      </c>
      <c r="O8" s="30">
        <f t="shared" si="4"/>
        <v>236667.87309041366</v>
      </c>
      <c r="P8" s="30">
        <f t="shared" si="11"/>
        <v>236667.87309041366</v>
      </c>
      <c r="Q8">
        <f t="shared" si="12"/>
        <v>0</v>
      </c>
      <c r="R8" s="30">
        <f t="shared" si="13"/>
        <v>236667.87309041366</v>
      </c>
      <c r="S8" s="30">
        <f t="shared" si="5"/>
        <v>236667.8730904136</v>
      </c>
      <c r="T8" s="30">
        <f t="shared" si="14"/>
        <v>236667.8730904136</v>
      </c>
      <c r="U8">
        <f t="shared" si="15"/>
        <v>0</v>
      </c>
      <c r="V8" s="30">
        <f t="shared" si="16"/>
        <v>236667.8730904136</v>
      </c>
      <c r="W8" s="30">
        <f t="shared" si="6"/>
        <v>236667.87309041363</v>
      </c>
      <c r="X8" s="30">
        <f t="shared" si="17"/>
        <v>236667.87309041363</v>
      </c>
      <c r="Y8">
        <f t="shared" si="18"/>
        <v>0</v>
      </c>
    </row>
    <row r="9" spans="1:26" x14ac:dyDescent="0.25">
      <c r="A9" s="4" t="s">
        <v>675</v>
      </c>
      <c r="B9" s="7" t="s">
        <v>314</v>
      </c>
      <c r="C9" s="2" t="s">
        <v>676</v>
      </c>
      <c r="D9">
        <f>VLOOKUP(B9,'Model allocations'!$A$1:$L$319,5,FALSE)</f>
        <v>25134.364807047019</v>
      </c>
      <c r="E9" s="32">
        <f>VLOOKUP(B9,'Initial adjusted formula count'!$A$1:$P$319,12,FALSE)</f>
        <v>9.7363083164300201E-2</v>
      </c>
      <c r="F9">
        <f>VLOOKUP(B9,'Model allocations'!$A$1:$L$319,10,FALSE)</f>
        <v>21364.210085989966</v>
      </c>
      <c r="G9" s="31">
        <f t="shared" si="7"/>
        <v>0.85</v>
      </c>
      <c r="H9">
        <f t="shared" si="8"/>
        <v>21364.210085989966</v>
      </c>
      <c r="I9">
        <f t="shared" si="0"/>
        <v>0</v>
      </c>
      <c r="J9">
        <f t="shared" si="1"/>
        <v>21364.210085989966</v>
      </c>
      <c r="K9">
        <f t="shared" si="2"/>
        <v>21359.689039083813</v>
      </c>
      <c r="L9">
        <f t="shared" si="9"/>
        <v>21359.689039083813</v>
      </c>
      <c r="M9">
        <f t="shared" si="3"/>
        <v>21364.210085989966</v>
      </c>
      <c r="N9" s="30">
        <f t="shared" si="10"/>
        <v>0</v>
      </c>
      <c r="O9" s="30">
        <f t="shared" si="4"/>
        <v>0</v>
      </c>
      <c r="P9" s="30">
        <f t="shared" si="11"/>
        <v>21364.210085989966</v>
      </c>
      <c r="Q9">
        <f t="shared" si="12"/>
        <v>0</v>
      </c>
      <c r="R9" s="30">
        <f t="shared" si="13"/>
        <v>0</v>
      </c>
      <c r="S9" s="30">
        <f t="shared" si="5"/>
        <v>0</v>
      </c>
      <c r="T9" s="30">
        <f t="shared" si="14"/>
        <v>21364.210085989966</v>
      </c>
      <c r="U9">
        <f t="shared" si="15"/>
        <v>0</v>
      </c>
      <c r="V9" s="30">
        <f t="shared" si="16"/>
        <v>0</v>
      </c>
      <c r="W9" s="30">
        <f t="shared" si="6"/>
        <v>0</v>
      </c>
      <c r="X9" s="30">
        <f t="shared" si="17"/>
        <v>21364.210085989966</v>
      </c>
      <c r="Y9">
        <f t="shared" si="18"/>
        <v>0</v>
      </c>
    </row>
    <row r="10" spans="1:26" x14ac:dyDescent="0.25">
      <c r="A10" s="4" t="s">
        <v>677</v>
      </c>
      <c r="B10" s="7" t="s">
        <v>316</v>
      </c>
      <c r="C10" s="2" t="s">
        <v>678</v>
      </c>
      <c r="D10">
        <f>VLOOKUP(B10,'Model allocations'!$A$1:$L$319,5,FALSE)</f>
        <v>1648460.8793371848</v>
      </c>
      <c r="E10" s="32">
        <f>VLOOKUP(B10,'Initial adjusted formula count'!$A$1:$P$319,12,FALSE)</f>
        <v>0.16230252008965201</v>
      </c>
      <c r="F10">
        <f>VLOOKUP(B10,'Model allocations'!$A$1:$L$319,10,FALSE)</f>
        <v>1836776.5739010198</v>
      </c>
      <c r="G10" s="31">
        <f t="shared" si="7"/>
        <v>0.9</v>
      </c>
      <c r="H10">
        <f t="shared" si="8"/>
        <v>1483614.7914034664</v>
      </c>
      <c r="I10">
        <f t="shared" si="0"/>
        <v>0</v>
      </c>
      <c r="J10">
        <f t="shared" si="1"/>
        <v>1836776.5739010198</v>
      </c>
      <c r="K10">
        <f t="shared" si="2"/>
        <v>1836387.8793032179</v>
      </c>
      <c r="L10">
        <f t="shared" si="9"/>
        <v>1836387.8793032179</v>
      </c>
      <c r="M10">
        <f t="shared" si="3"/>
        <v>0</v>
      </c>
      <c r="N10" s="30">
        <f t="shared" si="10"/>
        <v>1836387.8793032179</v>
      </c>
      <c r="O10" s="30">
        <f t="shared" si="4"/>
        <v>1836336.897031097</v>
      </c>
      <c r="P10" s="30">
        <f t="shared" si="11"/>
        <v>1836336.897031097</v>
      </c>
      <c r="Q10">
        <f t="shared" si="12"/>
        <v>0</v>
      </c>
      <c r="R10" s="30">
        <f t="shared" si="13"/>
        <v>1836336.897031097</v>
      </c>
      <c r="S10" s="30">
        <f t="shared" si="5"/>
        <v>1836336.8970310965</v>
      </c>
      <c r="T10" s="30">
        <f t="shared" si="14"/>
        <v>1836336.8970310965</v>
      </c>
      <c r="U10">
        <f t="shared" si="15"/>
        <v>0</v>
      </c>
      <c r="V10" s="30">
        <f t="shared" si="16"/>
        <v>1836336.8970310965</v>
      </c>
      <c r="W10" s="30">
        <f t="shared" si="6"/>
        <v>1836336.8970310967</v>
      </c>
      <c r="X10" s="30">
        <f t="shared" si="17"/>
        <v>1836336.8970310967</v>
      </c>
      <c r="Y10">
        <f t="shared" si="18"/>
        <v>0</v>
      </c>
    </row>
    <row r="11" spans="1:26" x14ac:dyDescent="0.25">
      <c r="A11" s="4" t="s">
        <v>679</v>
      </c>
      <c r="B11" s="7" t="s">
        <v>97</v>
      </c>
      <c r="C11" s="2" t="s">
        <v>680</v>
      </c>
      <c r="D11">
        <f>VLOOKUP(B11,'Model allocations'!$A$1:$L$319,5,FALSE)</f>
        <v>0</v>
      </c>
      <c r="E11" s="32">
        <f>VLOOKUP(B11,'Initial adjusted formula count'!$A$1:$P$319,12,FALSE)</f>
        <v>3.57232704402516E-2</v>
      </c>
      <c r="F11">
        <f>VLOOKUP(B11,'Model allocations'!$A$1:$L$319,10,FALSE)</f>
        <v>0</v>
      </c>
      <c r="G11" s="31">
        <f t="shared" si="7"/>
        <v>0.85</v>
      </c>
      <c r="H11">
        <f t="shared" si="8"/>
        <v>0</v>
      </c>
      <c r="I11">
        <f t="shared" si="0"/>
        <v>0</v>
      </c>
      <c r="J11">
        <f t="shared" si="1"/>
        <v>0</v>
      </c>
      <c r="K11">
        <f t="shared" si="2"/>
        <v>0</v>
      </c>
      <c r="L11">
        <f t="shared" si="9"/>
        <v>0</v>
      </c>
      <c r="M11">
        <f t="shared" si="3"/>
        <v>0</v>
      </c>
      <c r="N11" s="30">
        <f t="shared" si="10"/>
        <v>0</v>
      </c>
      <c r="O11" s="30">
        <f t="shared" si="4"/>
        <v>0</v>
      </c>
      <c r="P11" s="30">
        <f t="shared" si="11"/>
        <v>0</v>
      </c>
      <c r="Q11">
        <f t="shared" si="12"/>
        <v>0</v>
      </c>
      <c r="R11" s="30">
        <f t="shared" si="13"/>
        <v>0</v>
      </c>
      <c r="S11" s="30">
        <f t="shared" si="5"/>
        <v>0</v>
      </c>
      <c r="T11" s="30">
        <f t="shared" si="14"/>
        <v>0</v>
      </c>
      <c r="U11">
        <f t="shared" si="15"/>
        <v>0</v>
      </c>
      <c r="V11" s="30">
        <f t="shared" si="16"/>
        <v>0</v>
      </c>
      <c r="W11" s="30">
        <f t="shared" si="6"/>
        <v>0</v>
      </c>
      <c r="X11" s="30">
        <f t="shared" si="17"/>
        <v>0</v>
      </c>
      <c r="Y11">
        <f t="shared" si="18"/>
        <v>0</v>
      </c>
    </row>
    <row r="12" spans="1:26" x14ac:dyDescent="0.25">
      <c r="A12" s="4" t="s">
        <v>681</v>
      </c>
      <c r="B12" s="7" t="s">
        <v>99</v>
      </c>
      <c r="C12" s="2" t="s">
        <v>682</v>
      </c>
      <c r="D12">
        <f>VLOOKUP(B12,'Model allocations'!$A$1:$L$319,5,FALSE)</f>
        <v>528803.47207326267</v>
      </c>
      <c r="E12" s="32">
        <f>VLOOKUP(B12,'Initial adjusted formula count'!$A$1:$P$319,12,FALSE)</f>
        <v>5.1700164328150701E-2</v>
      </c>
      <c r="F12">
        <f>VLOOKUP(B12,'Model allocations'!$A$1:$L$319,10,FALSE)</f>
        <v>449482.95126227324</v>
      </c>
      <c r="G12" s="31">
        <f t="shared" si="7"/>
        <v>0.85</v>
      </c>
      <c r="H12">
        <f t="shared" si="8"/>
        <v>449482.95126227324</v>
      </c>
      <c r="I12">
        <f t="shared" si="0"/>
        <v>0</v>
      </c>
      <c r="J12">
        <f t="shared" si="1"/>
        <v>449482.95126227324</v>
      </c>
      <c r="K12">
        <f t="shared" si="2"/>
        <v>449387.83267384925</v>
      </c>
      <c r="L12">
        <f t="shared" si="9"/>
        <v>449387.83267384925</v>
      </c>
      <c r="M12">
        <f t="shared" si="3"/>
        <v>449482.95126227324</v>
      </c>
      <c r="N12" s="30">
        <f t="shared" si="10"/>
        <v>0</v>
      </c>
      <c r="O12" s="30">
        <f t="shared" si="4"/>
        <v>0</v>
      </c>
      <c r="P12" s="30">
        <f t="shared" si="11"/>
        <v>449482.95126227324</v>
      </c>
      <c r="Q12">
        <f t="shared" si="12"/>
        <v>0</v>
      </c>
      <c r="R12" s="30">
        <f t="shared" si="13"/>
        <v>0</v>
      </c>
      <c r="S12" s="30">
        <f t="shared" si="5"/>
        <v>0</v>
      </c>
      <c r="T12" s="30">
        <f t="shared" si="14"/>
        <v>449482.95126227324</v>
      </c>
      <c r="U12">
        <f t="shared" si="15"/>
        <v>0</v>
      </c>
      <c r="V12" s="30">
        <f t="shared" si="16"/>
        <v>0</v>
      </c>
      <c r="W12" s="30">
        <f t="shared" si="6"/>
        <v>0</v>
      </c>
      <c r="X12" s="30">
        <f t="shared" si="17"/>
        <v>449482.95126227324</v>
      </c>
      <c r="Y12">
        <f t="shared" si="18"/>
        <v>0</v>
      </c>
    </row>
    <row r="13" spans="1:26" x14ac:dyDescent="0.25">
      <c r="A13" s="4" t="s">
        <v>683</v>
      </c>
      <c r="B13" s="7" t="s">
        <v>101</v>
      </c>
      <c r="C13" s="2" t="s">
        <v>684</v>
      </c>
      <c r="D13">
        <f>VLOOKUP(B13,'Model allocations'!$A$1:$L$319,5,FALSE)</f>
        <v>812154.16282770666</v>
      </c>
      <c r="E13" s="32">
        <f>VLOOKUP(B13,'Initial adjusted formula count'!$A$1:$P$319,12,FALSE)</f>
        <v>6.0331353547983801E-2</v>
      </c>
      <c r="F13">
        <f>VLOOKUP(B13,'Model allocations'!$A$1:$L$319,10,FALSE)</f>
        <v>692059.04308587138</v>
      </c>
      <c r="G13" s="31">
        <f t="shared" si="7"/>
        <v>0.85</v>
      </c>
      <c r="H13">
        <f t="shared" si="8"/>
        <v>690331.03840355063</v>
      </c>
      <c r="I13">
        <f t="shared" si="0"/>
        <v>0</v>
      </c>
      <c r="J13">
        <f t="shared" si="1"/>
        <v>692059.04308587138</v>
      </c>
      <c r="K13">
        <f t="shared" si="2"/>
        <v>691912.59108118573</v>
      </c>
      <c r="L13">
        <f t="shared" si="9"/>
        <v>691912.59108118573</v>
      </c>
      <c r="M13">
        <f t="shared" si="3"/>
        <v>0</v>
      </c>
      <c r="N13" s="30">
        <f t="shared" si="10"/>
        <v>691912.59108118573</v>
      </c>
      <c r="O13" s="30">
        <f t="shared" si="4"/>
        <v>691893.38202606176</v>
      </c>
      <c r="P13" s="30">
        <f t="shared" si="11"/>
        <v>691893.38202606176</v>
      </c>
      <c r="Q13">
        <f t="shared" si="12"/>
        <v>0</v>
      </c>
      <c r="R13" s="30">
        <f t="shared" si="13"/>
        <v>691893.38202606176</v>
      </c>
      <c r="S13" s="30">
        <f t="shared" si="5"/>
        <v>691893.38202606165</v>
      </c>
      <c r="T13" s="30">
        <f t="shared" si="14"/>
        <v>691893.38202606165</v>
      </c>
      <c r="U13">
        <f t="shared" si="15"/>
        <v>0</v>
      </c>
      <c r="V13" s="30">
        <f t="shared" si="16"/>
        <v>691893.38202606165</v>
      </c>
      <c r="W13" s="30">
        <f t="shared" si="6"/>
        <v>691893.38202606176</v>
      </c>
      <c r="X13" s="30">
        <f t="shared" si="17"/>
        <v>691893.38202606176</v>
      </c>
      <c r="Y13">
        <f t="shared" si="18"/>
        <v>0</v>
      </c>
    </row>
    <row r="14" spans="1:26" x14ac:dyDescent="0.25">
      <c r="A14" s="4" t="s">
        <v>14</v>
      </c>
      <c r="B14" s="7" t="s">
        <v>59</v>
      </c>
      <c r="C14" s="2" t="s">
        <v>685</v>
      </c>
      <c r="D14">
        <f>VLOOKUP(B14,'Model allocations'!$A$1:$L$319,5,FALSE)</f>
        <v>924442.29565083107</v>
      </c>
      <c r="E14" s="32">
        <f>VLOOKUP(B14,'Initial adjusted formula count'!$A$1:$P$319,12,FALSE)</f>
        <v>0.109426670225929</v>
      </c>
      <c r="F14">
        <f>VLOOKUP(B14,'Model allocations'!$A$1:$L$319,10,FALSE)</f>
        <v>786372.60031292262</v>
      </c>
      <c r="G14" s="31">
        <f t="shared" si="7"/>
        <v>0.85</v>
      </c>
      <c r="H14">
        <f t="shared" si="8"/>
        <v>785775.95130320638</v>
      </c>
      <c r="I14">
        <f t="shared" si="0"/>
        <v>0</v>
      </c>
      <c r="J14">
        <f t="shared" si="1"/>
        <v>786372.60031292262</v>
      </c>
      <c r="K14">
        <f t="shared" si="2"/>
        <v>786206.18988176598</v>
      </c>
      <c r="L14">
        <f t="shared" si="9"/>
        <v>786206.18988176598</v>
      </c>
      <c r="M14">
        <f t="shared" si="3"/>
        <v>0</v>
      </c>
      <c r="N14" s="30">
        <f t="shared" si="10"/>
        <v>786206.18988176598</v>
      </c>
      <c r="O14" s="30">
        <f t="shared" si="4"/>
        <v>786184.36302352569</v>
      </c>
      <c r="P14" s="30">
        <f t="shared" si="11"/>
        <v>786184.36302352569</v>
      </c>
      <c r="Q14">
        <f t="shared" si="12"/>
        <v>0</v>
      </c>
      <c r="R14" s="30">
        <f t="shared" si="13"/>
        <v>786184.36302352569</v>
      </c>
      <c r="S14" s="30">
        <f t="shared" si="5"/>
        <v>786184.36302352545</v>
      </c>
      <c r="T14" s="30">
        <f t="shared" si="14"/>
        <v>786184.36302352545</v>
      </c>
      <c r="U14">
        <f t="shared" si="15"/>
        <v>0</v>
      </c>
      <c r="V14" s="30">
        <f t="shared" si="16"/>
        <v>786184.36302352545</v>
      </c>
      <c r="W14" s="30">
        <f t="shared" si="6"/>
        <v>786184.36302352557</v>
      </c>
      <c r="X14" s="30">
        <f t="shared" si="17"/>
        <v>786184.36302352557</v>
      </c>
      <c r="Y14">
        <f t="shared" si="18"/>
        <v>0</v>
      </c>
    </row>
    <row r="15" spans="1:26" x14ac:dyDescent="0.25">
      <c r="A15" s="4" t="s">
        <v>686</v>
      </c>
      <c r="B15" s="7" t="s">
        <v>103</v>
      </c>
      <c r="C15" s="2" t="s">
        <v>687</v>
      </c>
      <c r="D15">
        <f>VLOOKUP(B15,'Model allocations'!$A$1:$L$319,5,FALSE)</f>
        <v>0</v>
      </c>
      <c r="E15" s="32">
        <f>VLOOKUP(B15,'Initial adjusted formula count'!$A$1:$P$319,12,FALSE)</f>
        <v>6.25E-2</v>
      </c>
      <c r="F15">
        <f>VLOOKUP(B15,'Model allocations'!$A$1:$L$319,10,FALSE)</f>
        <v>0</v>
      </c>
      <c r="G15" s="31">
        <f t="shared" si="7"/>
        <v>0.85</v>
      </c>
      <c r="H15">
        <f t="shared" si="8"/>
        <v>0</v>
      </c>
      <c r="I15">
        <f t="shared" si="0"/>
        <v>0</v>
      </c>
      <c r="J15">
        <f t="shared" si="1"/>
        <v>0</v>
      </c>
      <c r="K15">
        <f t="shared" si="2"/>
        <v>0</v>
      </c>
      <c r="L15">
        <f t="shared" si="9"/>
        <v>0</v>
      </c>
      <c r="M15">
        <f t="shared" si="3"/>
        <v>0</v>
      </c>
      <c r="N15" s="30">
        <f t="shared" si="10"/>
        <v>0</v>
      </c>
      <c r="O15" s="30">
        <f t="shared" si="4"/>
        <v>0</v>
      </c>
      <c r="P15" s="30">
        <f t="shared" si="11"/>
        <v>0</v>
      </c>
      <c r="Q15">
        <f t="shared" si="12"/>
        <v>0</v>
      </c>
      <c r="R15" s="30">
        <f t="shared" si="13"/>
        <v>0</v>
      </c>
      <c r="S15" s="30">
        <f t="shared" si="5"/>
        <v>0</v>
      </c>
      <c r="T15" s="30">
        <f t="shared" si="14"/>
        <v>0</v>
      </c>
      <c r="U15">
        <f t="shared" si="15"/>
        <v>0</v>
      </c>
      <c r="V15" s="30">
        <f t="shared" si="16"/>
        <v>0</v>
      </c>
      <c r="W15" s="30">
        <f t="shared" si="6"/>
        <v>0</v>
      </c>
      <c r="X15" s="30">
        <f t="shared" si="17"/>
        <v>0</v>
      </c>
      <c r="Y15">
        <f t="shared" si="18"/>
        <v>0</v>
      </c>
    </row>
    <row r="16" spans="1:26" x14ac:dyDescent="0.25">
      <c r="A16" s="4" t="s">
        <v>688</v>
      </c>
      <c r="B16" s="7" t="s">
        <v>268</v>
      </c>
      <c r="C16" s="2" t="s">
        <v>689</v>
      </c>
      <c r="D16">
        <f>VLOOKUP(B16,'Model allocations'!$A$1:$L$319,5,FALSE)</f>
        <v>1259663.6737281769</v>
      </c>
      <c r="E16" s="32">
        <f>VLOOKUP(B16,'Initial adjusted formula count'!$A$1:$P$319,12,FALSE)</f>
        <v>9.6088505842380004E-2</v>
      </c>
      <c r="F16">
        <f>VLOOKUP(B16,'Model allocations'!$A$1:$L$319,10,FALSE)</f>
        <v>1301573.2687186098</v>
      </c>
      <c r="G16" s="31">
        <f t="shared" si="7"/>
        <v>0.85</v>
      </c>
      <c r="H16">
        <f t="shared" si="8"/>
        <v>1070714.1226689504</v>
      </c>
      <c r="I16">
        <f t="shared" si="0"/>
        <v>0</v>
      </c>
      <c r="J16">
        <f t="shared" si="1"/>
        <v>1301573.2687186098</v>
      </c>
      <c r="K16">
        <f t="shared" si="2"/>
        <v>1301297.8326610168</v>
      </c>
      <c r="L16">
        <f t="shared" si="9"/>
        <v>1301297.8326610168</v>
      </c>
      <c r="M16">
        <f t="shared" si="3"/>
        <v>0</v>
      </c>
      <c r="N16" s="30">
        <f t="shared" si="10"/>
        <v>1301297.8326610168</v>
      </c>
      <c r="O16" s="30">
        <f t="shared" si="4"/>
        <v>1301261.7056962491</v>
      </c>
      <c r="P16" s="30">
        <f t="shared" si="11"/>
        <v>1301261.7056962491</v>
      </c>
      <c r="Q16">
        <f t="shared" si="12"/>
        <v>0</v>
      </c>
      <c r="R16" s="30">
        <f t="shared" si="13"/>
        <v>1301261.7056962491</v>
      </c>
      <c r="S16" s="30">
        <f t="shared" si="5"/>
        <v>1301261.7056962487</v>
      </c>
      <c r="T16" s="30">
        <f t="shared" si="14"/>
        <v>1301261.7056962487</v>
      </c>
      <c r="U16">
        <f t="shared" si="15"/>
        <v>0</v>
      </c>
      <c r="V16" s="30">
        <f t="shared" si="16"/>
        <v>1301261.7056962487</v>
      </c>
      <c r="W16" s="30">
        <f t="shared" si="6"/>
        <v>1301261.7056962487</v>
      </c>
      <c r="X16" s="30">
        <f t="shared" si="17"/>
        <v>1301261.7056962487</v>
      </c>
      <c r="Y16">
        <f t="shared" si="18"/>
        <v>0</v>
      </c>
    </row>
    <row r="17" spans="1:25" x14ac:dyDescent="0.25">
      <c r="A17" s="4" t="s">
        <v>690</v>
      </c>
      <c r="B17" s="7" t="s">
        <v>318</v>
      </c>
      <c r="C17" s="2" t="s">
        <v>691</v>
      </c>
      <c r="D17">
        <f>VLOOKUP(B17,'Model allocations'!$A$1:$L$319,5,FALSE)</f>
        <v>6683.7185077564372</v>
      </c>
      <c r="E17" s="32">
        <f>VLOOKUP(B17,'Initial adjusted formula count'!$A$1:$P$319,12,FALSE)</f>
        <v>0.15384615384615399</v>
      </c>
      <c r="F17">
        <f>VLOOKUP(B17,'Model allocations'!$A$1:$L$319,10,FALSE)</f>
        <v>6015.3466569807933</v>
      </c>
      <c r="G17" s="31">
        <f t="shared" si="7"/>
        <v>0.9</v>
      </c>
      <c r="H17">
        <f t="shared" si="8"/>
        <v>6015.3466569807933</v>
      </c>
      <c r="I17">
        <f t="shared" si="0"/>
        <v>0</v>
      </c>
      <c r="J17">
        <f t="shared" si="1"/>
        <v>6015.3466569807933</v>
      </c>
      <c r="K17">
        <f t="shared" si="2"/>
        <v>6014.0737026200413</v>
      </c>
      <c r="L17">
        <f t="shared" si="9"/>
        <v>6014.0737026200413</v>
      </c>
      <c r="M17">
        <f t="shared" si="3"/>
        <v>6015.3466569807933</v>
      </c>
      <c r="N17" s="30">
        <f t="shared" si="10"/>
        <v>0</v>
      </c>
      <c r="O17" s="30">
        <f t="shared" si="4"/>
        <v>0</v>
      </c>
      <c r="P17" s="30">
        <f t="shared" si="11"/>
        <v>6015.3466569807933</v>
      </c>
      <c r="Q17">
        <f t="shared" si="12"/>
        <v>0</v>
      </c>
      <c r="R17" s="30">
        <f t="shared" si="13"/>
        <v>0</v>
      </c>
      <c r="S17" s="30">
        <f t="shared" si="5"/>
        <v>0</v>
      </c>
      <c r="T17" s="30">
        <f t="shared" si="14"/>
        <v>6015.3466569807933</v>
      </c>
      <c r="U17">
        <f t="shared" si="15"/>
        <v>0</v>
      </c>
      <c r="V17" s="30">
        <f t="shared" si="16"/>
        <v>0</v>
      </c>
      <c r="W17" s="30">
        <f t="shared" si="6"/>
        <v>0</v>
      </c>
      <c r="X17" s="30">
        <f t="shared" si="17"/>
        <v>6015.3466569807933</v>
      </c>
      <c r="Y17">
        <f t="shared" si="18"/>
        <v>0</v>
      </c>
    </row>
    <row r="18" spans="1:25" x14ac:dyDescent="0.25">
      <c r="A18" s="4" t="s">
        <v>692</v>
      </c>
      <c r="B18" s="7" t="s">
        <v>320</v>
      </c>
      <c r="C18" s="2" t="s">
        <v>693</v>
      </c>
      <c r="D18">
        <f>VLOOKUP(B18,'Model allocations'!$A$1:$L$319,5,FALSE)</f>
        <v>152769.81109283265</v>
      </c>
      <c r="E18" s="32">
        <f>VLOOKUP(B18,'Initial adjusted formula count'!$A$1:$P$319,12,FALSE)</f>
        <v>0.10877476748888</v>
      </c>
      <c r="F18">
        <f>VLOOKUP(B18,'Model allocations'!$A$1:$L$319,10,FALSE)</f>
        <v>129854.33942890776</v>
      </c>
      <c r="G18" s="31">
        <f t="shared" si="7"/>
        <v>0.85</v>
      </c>
      <c r="H18">
        <f t="shared" si="8"/>
        <v>129854.33942890776</v>
      </c>
      <c r="I18">
        <f t="shared" si="0"/>
        <v>0</v>
      </c>
      <c r="J18">
        <f t="shared" si="1"/>
        <v>129854.33942890776</v>
      </c>
      <c r="K18">
        <f t="shared" si="2"/>
        <v>129826.85994068129</v>
      </c>
      <c r="L18">
        <f t="shared" si="9"/>
        <v>129826.85994068129</v>
      </c>
      <c r="M18">
        <f t="shared" si="3"/>
        <v>129854.33942890776</v>
      </c>
      <c r="N18" s="30">
        <f t="shared" si="10"/>
        <v>0</v>
      </c>
      <c r="O18" s="30">
        <f t="shared" si="4"/>
        <v>0</v>
      </c>
      <c r="P18" s="30">
        <f t="shared" si="11"/>
        <v>129854.33942890776</v>
      </c>
      <c r="Q18">
        <f t="shared" si="12"/>
        <v>0</v>
      </c>
      <c r="R18" s="30">
        <f t="shared" si="13"/>
        <v>0</v>
      </c>
      <c r="S18" s="30">
        <f t="shared" si="5"/>
        <v>0</v>
      </c>
      <c r="T18" s="30">
        <f t="shared" si="14"/>
        <v>129854.33942890776</v>
      </c>
      <c r="U18">
        <f t="shared" si="15"/>
        <v>0</v>
      </c>
      <c r="V18" s="30">
        <f t="shared" si="16"/>
        <v>0</v>
      </c>
      <c r="W18" s="30">
        <f t="shared" si="6"/>
        <v>0</v>
      </c>
      <c r="X18" s="30">
        <f t="shared" si="17"/>
        <v>129854.33942890776</v>
      </c>
      <c r="Y18">
        <f t="shared" si="18"/>
        <v>0</v>
      </c>
    </row>
    <row r="19" spans="1:25" x14ac:dyDescent="0.25">
      <c r="A19" s="4" t="s">
        <v>694</v>
      </c>
      <c r="B19" s="7" t="s">
        <v>322</v>
      </c>
      <c r="C19" s="2" t="s">
        <v>695</v>
      </c>
      <c r="D19">
        <f>VLOOKUP(B19,'Model allocations'!$A$1:$L$319,5,FALSE)</f>
        <v>11389.009053193182</v>
      </c>
      <c r="E19" s="32">
        <f>VLOOKUP(B19,'Initial adjusted formula count'!$A$1:$P$319,12,FALSE)</f>
        <v>0.13953488372093001</v>
      </c>
      <c r="F19">
        <f>VLOOKUP(B19,'Model allocations'!$A$1:$L$319,10,FALSE)</f>
        <v>12350.845504209479</v>
      </c>
      <c r="G19" s="31">
        <f t="shared" si="7"/>
        <v>0.85</v>
      </c>
      <c r="H19">
        <f t="shared" si="8"/>
        <v>9680.6576952142041</v>
      </c>
      <c r="I19">
        <f t="shared" si="0"/>
        <v>0</v>
      </c>
      <c r="J19">
        <f t="shared" si="1"/>
        <v>12350.845504209479</v>
      </c>
      <c r="K19">
        <f t="shared" si="2"/>
        <v>12348.231845589271</v>
      </c>
      <c r="L19">
        <f t="shared" si="9"/>
        <v>12348.231845589271</v>
      </c>
      <c r="M19">
        <f t="shared" si="3"/>
        <v>0</v>
      </c>
      <c r="N19" s="30">
        <f t="shared" si="10"/>
        <v>12348.231845589271</v>
      </c>
      <c r="O19" s="30">
        <f t="shared" si="4"/>
        <v>12347.889030804192</v>
      </c>
      <c r="P19" s="30">
        <f t="shared" si="11"/>
        <v>12347.889030804192</v>
      </c>
      <c r="Q19">
        <f t="shared" si="12"/>
        <v>0</v>
      </c>
      <c r="R19" s="30">
        <f t="shared" si="13"/>
        <v>12347.889030804192</v>
      </c>
      <c r="S19" s="30">
        <f t="shared" si="5"/>
        <v>12347.889030804188</v>
      </c>
      <c r="T19" s="30">
        <f t="shared" si="14"/>
        <v>12347.889030804188</v>
      </c>
      <c r="U19">
        <f t="shared" si="15"/>
        <v>0</v>
      </c>
      <c r="V19" s="30">
        <f t="shared" si="16"/>
        <v>12347.889030804188</v>
      </c>
      <c r="W19" s="30">
        <f t="shared" si="6"/>
        <v>12347.889030804188</v>
      </c>
      <c r="X19" s="30">
        <f t="shared" si="17"/>
        <v>12347.889030804188</v>
      </c>
      <c r="Y19">
        <f t="shared" si="18"/>
        <v>0</v>
      </c>
    </row>
    <row r="20" spans="1:25" x14ac:dyDescent="0.25">
      <c r="A20" s="4" t="s">
        <v>10</v>
      </c>
      <c r="B20" s="7" t="s">
        <v>58</v>
      </c>
      <c r="C20" s="2" t="s">
        <v>696</v>
      </c>
      <c r="D20">
        <f>VLOOKUP(B20,'Model allocations'!$A$1:$L$319,5,FALSE)</f>
        <v>367957.27557733277</v>
      </c>
      <c r="E20" s="32">
        <f>VLOOKUP(B20,'Initial adjusted formula count'!$A$1:$P$319,12,FALSE)</f>
        <v>0.19495978101349801</v>
      </c>
      <c r="F20">
        <f>VLOOKUP(B20,'Model allocations'!$A$1:$L$319,10,FALSE)</f>
        <v>457693.50986171741</v>
      </c>
      <c r="G20" s="31">
        <f t="shared" si="7"/>
        <v>0.9</v>
      </c>
      <c r="H20">
        <f t="shared" si="8"/>
        <v>331161.54801959952</v>
      </c>
      <c r="I20">
        <f t="shared" si="0"/>
        <v>0</v>
      </c>
      <c r="J20">
        <f t="shared" si="1"/>
        <v>457693.50986171741</v>
      </c>
      <c r="K20">
        <f t="shared" si="2"/>
        <v>457596.65377303457</v>
      </c>
      <c r="L20">
        <f t="shared" si="9"/>
        <v>457596.65377303457</v>
      </c>
      <c r="M20">
        <f t="shared" si="3"/>
        <v>0</v>
      </c>
      <c r="N20" s="30">
        <f t="shared" si="10"/>
        <v>457596.65377303457</v>
      </c>
      <c r="O20" s="30">
        <f t="shared" si="4"/>
        <v>457583.949857164</v>
      </c>
      <c r="P20" s="30">
        <f t="shared" si="11"/>
        <v>457583.949857164</v>
      </c>
      <c r="Q20">
        <f t="shared" si="12"/>
        <v>0</v>
      </c>
      <c r="R20" s="30">
        <f t="shared" si="13"/>
        <v>457583.949857164</v>
      </c>
      <c r="S20" s="30">
        <f t="shared" si="5"/>
        <v>457583.94985716388</v>
      </c>
      <c r="T20" s="30">
        <f t="shared" si="14"/>
        <v>457583.94985716388</v>
      </c>
      <c r="U20">
        <f t="shared" si="15"/>
        <v>0</v>
      </c>
      <c r="V20" s="30">
        <f t="shared" si="16"/>
        <v>457583.94985716388</v>
      </c>
      <c r="W20" s="30">
        <f t="shared" si="6"/>
        <v>457583.94985716394</v>
      </c>
      <c r="X20" s="30">
        <f t="shared" si="17"/>
        <v>457583.94985716394</v>
      </c>
      <c r="Y20">
        <f t="shared" si="18"/>
        <v>0</v>
      </c>
    </row>
    <row r="21" spans="1:25" x14ac:dyDescent="0.25">
      <c r="A21" s="4" t="s">
        <v>697</v>
      </c>
      <c r="B21" s="7" t="s">
        <v>324</v>
      </c>
      <c r="C21" s="2" t="s">
        <v>698</v>
      </c>
      <c r="D21">
        <f>VLOOKUP(B21,'Model allocations'!$A$1:$L$319,5,FALSE)</f>
        <v>151751.60030420637</v>
      </c>
      <c r="E21" s="32">
        <f>VLOOKUP(B21,'Initial adjusted formula count'!$A$1:$P$319,12,FALSE)</f>
        <v>0.19628099173553701</v>
      </c>
      <c r="F21">
        <f>VLOOKUP(B21,'Model allocations'!$A$1:$L$319,10,FALSE)</f>
        <v>136576.44027378573</v>
      </c>
      <c r="G21" s="31">
        <f t="shared" si="7"/>
        <v>0.9</v>
      </c>
      <c r="H21">
        <f t="shared" si="8"/>
        <v>136576.44027378573</v>
      </c>
      <c r="I21">
        <f t="shared" si="0"/>
        <v>0</v>
      </c>
      <c r="J21">
        <f t="shared" si="1"/>
        <v>136576.44027378573</v>
      </c>
      <c r="K21">
        <f t="shared" si="2"/>
        <v>136547.53826943977</v>
      </c>
      <c r="L21">
        <f t="shared" si="9"/>
        <v>136547.53826943977</v>
      </c>
      <c r="M21">
        <f t="shared" si="3"/>
        <v>136576.44027378573</v>
      </c>
      <c r="N21" s="30">
        <f t="shared" si="10"/>
        <v>0</v>
      </c>
      <c r="O21" s="30">
        <f t="shared" si="4"/>
        <v>0</v>
      </c>
      <c r="P21" s="30">
        <f t="shared" si="11"/>
        <v>136576.44027378573</v>
      </c>
      <c r="Q21">
        <f t="shared" si="12"/>
        <v>0</v>
      </c>
      <c r="R21" s="30">
        <f t="shared" si="13"/>
        <v>0</v>
      </c>
      <c r="S21" s="30">
        <f t="shared" si="5"/>
        <v>0</v>
      </c>
      <c r="T21" s="30">
        <f t="shared" si="14"/>
        <v>136576.44027378573</v>
      </c>
      <c r="U21">
        <f t="shared" si="15"/>
        <v>0</v>
      </c>
      <c r="V21" s="30">
        <f t="shared" si="16"/>
        <v>0</v>
      </c>
      <c r="W21" s="30">
        <f t="shared" si="6"/>
        <v>0</v>
      </c>
      <c r="X21" s="30">
        <f t="shared" si="17"/>
        <v>136576.44027378573</v>
      </c>
      <c r="Y21">
        <f t="shared" si="18"/>
        <v>0</v>
      </c>
    </row>
    <row r="22" spans="1:25" x14ac:dyDescent="0.25">
      <c r="A22" s="4" t="s">
        <v>699</v>
      </c>
      <c r="B22" s="7" t="s">
        <v>326</v>
      </c>
      <c r="C22" s="2" t="s">
        <v>700</v>
      </c>
      <c r="D22">
        <f>VLOOKUP(B22,'Model allocations'!$A$1:$L$319,5,FALSE)</f>
        <v>122580.10080174322</v>
      </c>
      <c r="E22" s="32">
        <f>VLOOKUP(B22,'Initial adjusted formula count'!$A$1:$P$319,12,FALSE)</f>
        <v>0.24076809453471201</v>
      </c>
      <c r="F22">
        <f>VLOOKUP(B22,'Model allocations'!$A$1:$L$319,10,FALSE)</f>
        <v>110322.09072156889</v>
      </c>
      <c r="G22" s="31">
        <f t="shared" si="7"/>
        <v>0.9</v>
      </c>
      <c r="H22">
        <f t="shared" si="8"/>
        <v>110322.09072156889</v>
      </c>
      <c r="I22">
        <f t="shared" si="0"/>
        <v>0</v>
      </c>
      <c r="J22">
        <f t="shared" si="1"/>
        <v>110322.09072156889</v>
      </c>
      <c r="K22">
        <f t="shared" si="2"/>
        <v>110298.74460463175</v>
      </c>
      <c r="L22">
        <f t="shared" si="9"/>
        <v>110298.74460463175</v>
      </c>
      <c r="M22">
        <f t="shared" si="3"/>
        <v>110322.09072156889</v>
      </c>
      <c r="N22" s="30">
        <f t="shared" si="10"/>
        <v>0</v>
      </c>
      <c r="O22" s="30">
        <f t="shared" si="4"/>
        <v>0</v>
      </c>
      <c r="P22" s="30">
        <f t="shared" si="11"/>
        <v>110322.09072156889</v>
      </c>
      <c r="Q22">
        <f t="shared" si="12"/>
        <v>0</v>
      </c>
      <c r="R22" s="30">
        <f t="shared" si="13"/>
        <v>0</v>
      </c>
      <c r="S22" s="30">
        <f t="shared" si="5"/>
        <v>0</v>
      </c>
      <c r="T22" s="30">
        <f t="shared" si="14"/>
        <v>110322.09072156889</v>
      </c>
      <c r="U22">
        <f t="shared" si="15"/>
        <v>0</v>
      </c>
      <c r="V22" s="30">
        <f t="shared" si="16"/>
        <v>0</v>
      </c>
      <c r="W22" s="30">
        <f t="shared" si="6"/>
        <v>0</v>
      </c>
      <c r="X22" s="30">
        <f t="shared" si="17"/>
        <v>110322.09072156889</v>
      </c>
      <c r="Y22">
        <f t="shared" si="18"/>
        <v>0</v>
      </c>
    </row>
    <row r="23" spans="1:25" x14ac:dyDescent="0.25">
      <c r="A23" s="4" t="s">
        <v>701</v>
      </c>
      <c r="B23" s="7" t="s">
        <v>328</v>
      </c>
      <c r="C23" s="2" t="s">
        <v>702</v>
      </c>
      <c r="D23">
        <f>VLOOKUP(B23,'Model allocations'!$A$1:$L$319,5,FALSE)</f>
        <v>18318.376704493487</v>
      </c>
      <c r="E23" s="32">
        <f>VLOOKUP(B23,'Initial adjusted formula count'!$A$1:$P$319,12,FALSE)</f>
        <v>0.232758620689655</v>
      </c>
      <c r="F23">
        <f>VLOOKUP(B23,'Model allocations'!$A$1:$L$319,10,FALSE)</f>
        <v>16486.539034044137</v>
      </c>
      <c r="G23" s="31">
        <f t="shared" si="7"/>
        <v>0.9</v>
      </c>
      <c r="H23">
        <f t="shared" si="8"/>
        <v>16486.539034044137</v>
      </c>
      <c r="I23">
        <f t="shared" si="0"/>
        <v>0</v>
      </c>
      <c r="J23">
        <f t="shared" si="1"/>
        <v>16486.539034044137</v>
      </c>
      <c r="K23">
        <f t="shared" si="2"/>
        <v>16483.050189102385</v>
      </c>
      <c r="L23">
        <f t="shared" si="9"/>
        <v>16483.050189102385</v>
      </c>
      <c r="M23">
        <f t="shared" si="3"/>
        <v>16486.539034044137</v>
      </c>
      <c r="N23" s="30">
        <f t="shared" si="10"/>
        <v>0</v>
      </c>
      <c r="O23" s="30">
        <f t="shared" si="4"/>
        <v>0</v>
      </c>
      <c r="P23" s="30">
        <f t="shared" si="11"/>
        <v>16486.539034044137</v>
      </c>
      <c r="Q23">
        <f t="shared" si="12"/>
        <v>0</v>
      </c>
      <c r="R23" s="30">
        <f t="shared" si="13"/>
        <v>0</v>
      </c>
      <c r="S23" s="30">
        <f t="shared" si="5"/>
        <v>0</v>
      </c>
      <c r="T23" s="30">
        <f t="shared" si="14"/>
        <v>16486.539034044137</v>
      </c>
      <c r="U23">
        <f t="shared" si="15"/>
        <v>0</v>
      </c>
      <c r="V23" s="30">
        <f t="shared" si="16"/>
        <v>0</v>
      </c>
      <c r="W23" s="30">
        <f t="shared" si="6"/>
        <v>0</v>
      </c>
      <c r="X23" s="30">
        <f t="shared" si="17"/>
        <v>16486.539034044137</v>
      </c>
      <c r="Y23">
        <f t="shared" si="18"/>
        <v>0</v>
      </c>
    </row>
    <row r="24" spans="1:25" x14ac:dyDescent="0.25">
      <c r="A24" s="4" t="s">
        <v>703</v>
      </c>
      <c r="B24" s="7" t="s">
        <v>330</v>
      </c>
      <c r="C24" s="2" t="s">
        <v>704</v>
      </c>
      <c r="D24">
        <f>VLOOKUP(B24,'Model allocations'!$A$1:$L$319,5,FALSE)</f>
        <v>203403.42161655519</v>
      </c>
      <c r="E24" s="32">
        <f>VLOOKUP(B24,'Initial adjusted formula count'!$A$1:$P$319,12,FALSE)</f>
        <v>0.107497984412792</v>
      </c>
      <c r="F24">
        <f>VLOOKUP(B24,'Model allocations'!$A$1:$L$319,10,FALSE)</f>
        <v>172892.90837407191</v>
      </c>
      <c r="G24" s="31">
        <f t="shared" si="7"/>
        <v>0.85</v>
      </c>
      <c r="H24">
        <f t="shared" si="8"/>
        <v>172892.90837407191</v>
      </c>
      <c r="I24">
        <f t="shared" si="0"/>
        <v>0</v>
      </c>
      <c r="J24">
        <f t="shared" si="1"/>
        <v>172892.90837407191</v>
      </c>
      <c r="K24">
        <f t="shared" si="2"/>
        <v>172856.3211590354</v>
      </c>
      <c r="L24">
        <f t="shared" si="9"/>
        <v>172856.3211590354</v>
      </c>
      <c r="M24">
        <f t="shared" si="3"/>
        <v>172892.90837407191</v>
      </c>
      <c r="N24" s="30">
        <f t="shared" si="10"/>
        <v>0</v>
      </c>
      <c r="O24" s="30">
        <f t="shared" si="4"/>
        <v>0</v>
      </c>
      <c r="P24" s="30">
        <f t="shared" si="11"/>
        <v>172892.90837407191</v>
      </c>
      <c r="Q24">
        <f t="shared" si="12"/>
        <v>0</v>
      </c>
      <c r="R24" s="30">
        <f t="shared" si="13"/>
        <v>0</v>
      </c>
      <c r="S24" s="30">
        <f t="shared" si="5"/>
        <v>0</v>
      </c>
      <c r="T24" s="30">
        <f t="shared" si="14"/>
        <v>172892.90837407191</v>
      </c>
      <c r="U24">
        <f t="shared" si="15"/>
        <v>0</v>
      </c>
      <c r="V24" s="30">
        <f t="shared" si="16"/>
        <v>0</v>
      </c>
      <c r="W24" s="30">
        <f t="shared" si="6"/>
        <v>0</v>
      </c>
      <c r="X24" s="30">
        <f t="shared" si="17"/>
        <v>172892.90837407191</v>
      </c>
      <c r="Y24">
        <f t="shared" si="18"/>
        <v>0</v>
      </c>
    </row>
    <row r="25" spans="1:25" x14ac:dyDescent="0.25">
      <c r="A25" s="4" t="s">
        <v>705</v>
      </c>
      <c r="B25" s="7" t="s">
        <v>105</v>
      </c>
      <c r="C25" s="2" t="s">
        <v>706</v>
      </c>
      <c r="D25">
        <f>VLOOKUP(B25,'Model allocations'!$A$1:$L$319,5,FALSE)</f>
        <v>0</v>
      </c>
      <c r="E25" s="32">
        <f>VLOOKUP(B25,'Initial adjusted formula count'!$A$1:$P$319,12,FALSE)</f>
        <v>3.4287257019438397E-2</v>
      </c>
      <c r="F25">
        <f>VLOOKUP(B25,'Model allocations'!$A$1:$L$319,10,FALSE)</f>
        <v>0</v>
      </c>
      <c r="G25" s="31">
        <f t="shared" si="7"/>
        <v>0.85</v>
      </c>
      <c r="H25">
        <f t="shared" si="8"/>
        <v>0</v>
      </c>
      <c r="I25">
        <f t="shared" si="0"/>
        <v>0</v>
      </c>
      <c r="J25">
        <f t="shared" si="1"/>
        <v>0</v>
      </c>
      <c r="K25">
        <f t="shared" si="2"/>
        <v>0</v>
      </c>
      <c r="L25">
        <f t="shared" si="9"/>
        <v>0</v>
      </c>
      <c r="M25">
        <f t="shared" si="3"/>
        <v>0</v>
      </c>
      <c r="N25" s="30">
        <f t="shared" si="10"/>
        <v>0</v>
      </c>
      <c r="O25" s="30">
        <f t="shared" si="4"/>
        <v>0</v>
      </c>
      <c r="P25" s="30">
        <f t="shared" si="11"/>
        <v>0</v>
      </c>
      <c r="Q25">
        <f t="shared" si="12"/>
        <v>0</v>
      </c>
      <c r="R25" s="30">
        <f t="shared" si="13"/>
        <v>0</v>
      </c>
      <c r="S25" s="30">
        <f t="shared" si="5"/>
        <v>0</v>
      </c>
      <c r="T25" s="30">
        <f t="shared" si="14"/>
        <v>0</v>
      </c>
      <c r="U25">
        <f t="shared" si="15"/>
        <v>0</v>
      </c>
      <c r="V25" s="30">
        <f t="shared" si="16"/>
        <v>0</v>
      </c>
      <c r="W25" s="30">
        <f t="shared" si="6"/>
        <v>0</v>
      </c>
      <c r="X25" s="30">
        <f t="shared" si="17"/>
        <v>0</v>
      </c>
      <c r="Y25">
        <f t="shared" si="18"/>
        <v>0</v>
      </c>
    </row>
    <row r="26" spans="1:25" x14ac:dyDescent="0.25">
      <c r="A26" s="4" t="s">
        <v>707</v>
      </c>
      <c r="B26" s="7" t="s">
        <v>332</v>
      </c>
      <c r="C26" s="2" t="s">
        <v>708</v>
      </c>
      <c r="D26">
        <f>VLOOKUP(B26,'Model allocations'!$A$1:$L$319,5,FALSE)</f>
        <v>66432.453077392129</v>
      </c>
      <c r="E26" s="32">
        <f>VLOOKUP(B26,'Initial adjusted formula count'!$A$1:$P$319,12,FALSE)</f>
        <v>0.20909090909090899</v>
      </c>
      <c r="F26">
        <f>VLOOKUP(B26,'Model allocations'!$A$1:$L$319,10,FALSE)</f>
        <v>59789.207769652916</v>
      </c>
      <c r="G26" s="31">
        <f t="shared" si="7"/>
        <v>0.9</v>
      </c>
      <c r="H26">
        <f t="shared" si="8"/>
        <v>59789.207769652916</v>
      </c>
      <c r="I26">
        <f t="shared" si="0"/>
        <v>0</v>
      </c>
      <c r="J26">
        <f t="shared" si="1"/>
        <v>59789.207769652916</v>
      </c>
      <c r="K26">
        <f t="shared" si="2"/>
        <v>59776.555309687377</v>
      </c>
      <c r="L26">
        <f t="shared" si="9"/>
        <v>59776.555309687377</v>
      </c>
      <c r="M26">
        <f t="shared" si="3"/>
        <v>59789.207769652916</v>
      </c>
      <c r="N26" s="30">
        <f t="shared" si="10"/>
        <v>0</v>
      </c>
      <c r="O26" s="30">
        <f t="shared" si="4"/>
        <v>0</v>
      </c>
      <c r="P26" s="30">
        <f t="shared" si="11"/>
        <v>59789.207769652916</v>
      </c>
      <c r="Q26">
        <f t="shared" si="12"/>
        <v>0</v>
      </c>
      <c r="R26" s="30">
        <f t="shared" si="13"/>
        <v>0</v>
      </c>
      <c r="S26" s="30">
        <f t="shared" si="5"/>
        <v>0</v>
      </c>
      <c r="T26" s="30">
        <f t="shared" si="14"/>
        <v>59789.207769652916</v>
      </c>
      <c r="U26">
        <f t="shared" si="15"/>
        <v>0</v>
      </c>
      <c r="V26" s="30">
        <f t="shared" si="16"/>
        <v>0</v>
      </c>
      <c r="W26" s="30">
        <f t="shared" si="6"/>
        <v>0</v>
      </c>
      <c r="X26" s="30">
        <f t="shared" si="17"/>
        <v>59789.207769652916</v>
      </c>
      <c r="Y26">
        <f t="shared" si="18"/>
        <v>0</v>
      </c>
    </row>
    <row r="27" spans="1:25" x14ac:dyDescent="0.25">
      <c r="A27" s="4" t="s">
        <v>709</v>
      </c>
      <c r="B27" s="7" t="s">
        <v>107</v>
      </c>
      <c r="C27" s="2" t="s">
        <v>710</v>
      </c>
      <c r="D27">
        <f>VLOOKUP(B27,'Model allocations'!$A$1:$L$319,5,FALSE)</f>
        <v>7461.7645520920814</v>
      </c>
      <c r="E27" s="32">
        <f>VLOOKUP(B27,'Initial adjusted formula count'!$A$1:$P$319,12,FALSE)</f>
        <v>3.3653846153846201E-2</v>
      </c>
      <c r="F27">
        <f>VLOOKUP(B27,'Model allocations'!$A$1:$L$319,10,FALSE)</f>
        <v>0</v>
      </c>
      <c r="G27" s="31">
        <f t="shared" si="7"/>
        <v>0.85</v>
      </c>
      <c r="H27">
        <f t="shared" si="8"/>
        <v>0</v>
      </c>
      <c r="I27">
        <f t="shared" si="0"/>
        <v>0</v>
      </c>
      <c r="J27">
        <f t="shared" si="1"/>
        <v>0</v>
      </c>
      <c r="K27">
        <f t="shared" si="2"/>
        <v>0</v>
      </c>
      <c r="L27">
        <f t="shared" si="9"/>
        <v>0</v>
      </c>
      <c r="M27">
        <f t="shared" si="3"/>
        <v>0</v>
      </c>
      <c r="N27" s="30">
        <f t="shared" si="10"/>
        <v>0</v>
      </c>
      <c r="O27" s="30">
        <f t="shared" si="4"/>
        <v>0</v>
      </c>
      <c r="P27" s="30">
        <f t="shared" si="11"/>
        <v>0</v>
      </c>
      <c r="Q27">
        <f t="shared" si="12"/>
        <v>0</v>
      </c>
      <c r="R27" s="30">
        <f t="shared" si="13"/>
        <v>0</v>
      </c>
      <c r="S27" s="30">
        <f t="shared" si="5"/>
        <v>0</v>
      </c>
      <c r="T27" s="30">
        <f t="shared" si="14"/>
        <v>0</v>
      </c>
      <c r="U27">
        <f t="shared" si="15"/>
        <v>0</v>
      </c>
      <c r="V27" s="30">
        <f t="shared" si="16"/>
        <v>0</v>
      </c>
      <c r="W27" s="30">
        <f t="shared" si="6"/>
        <v>0</v>
      </c>
      <c r="X27" s="30">
        <f t="shared" si="17"/>
        <v>0</v>
      </c>
      <c r="Y27">
        <f t="shared" si="18"/>
        <v>0</v>
      </c>
    </row>
    <row r="28" spans="1:25" x14ac:dyDescent="0.25">
      <c r="A28" s="4" t="s">
        <v>711</v>
      </c>
      <c r="B28" s="7" t="s">
        <v>334</v>
      </c>
      <c r="C28" s="2" t="s">
        <v>712</v>
      </c>
      <c r="D28">
        <f>VLOOKUP(B28,'Model allocations'!$A$1:$L$319,5,FALSE)</f>
        <v>69119.503219379301</v>
      </c>
      <c r="E28" s="32">
        <f>VLOOKUP(B28,'Initial adjusted formula count'!$A$1:$P$319,12,FALSE)</f>
        <v>0.11389961389961401</v>
      </c>
      <c r="F28">
        <f>VLOOKUP(B28,'Model allocations'!$A$1:$L$319,10,FALSE)</f>
        <v>72869.988474835933</v>
      </c>
      <c r="G28" s="31">
        <f t="shared" si="7"/>
        <v>0.85</v>
      </c>
      <c r="H28">
        <f t="shared" si="8"/>
        <v>58751.577736472405</v>
      </c>
      <c r="I28">
        <f t="shared" si="0"/>
        <v>0</v>
      </c>
      <c r="J28">
        <f t="shared" si="1"/>
        <v>72869.988474835933</v>
      </c>
      <c r="K28">
        <f t="shared" si="2"/>
        <v>72854.5678889767</v>
      </c>
      <c r="L28">
        <f t="shared" si="9"/>
        <v>72854.5678889767</v>
      </c>
      <c r="M28">
        <f t="shared" si="3"/>
        <v>0</v>
      </c>
      <c r="N28" s="30">
        <f t="shared" si="10"/>
        <v>72854.5678889767</v>
      </c>
      <c r="O28" s="30">
        <f t="shared" si="4"/>
        <v>72852.545281744722</v>
      </c>
      <c r="P28" s="30">
        <f t="shared" si="11"/>
        <v>72852.545281744722</v>
      </c>
      <c r="Q28">
        <f t="shared" si="12"/>
        <v>0</v>
      </c>
      <c r="R28" s="30">
        <f t="shared" si="13"/>
        <v>72852.545281744722</v>
      </c>
      <c r="S28" s="30">
        <f t="shared" si="5"/>
        <v>72852.545281744708</v>
      </c>
      <c r="T28" s="30">
        <f t="shared" si="14"/>
        <v>72852.545281744708</v>
      </c>
      <c r="U28">
        <f t="shared" si="15"/>
        <v>0</v>
      </c>
      <c r="V28" s="30">
        <f t="shared" si="16"/>
        <v>72852.545281744708</v>
      </c>
      <c r="W28" s="30">
        <f t="shared" si="6"/>
        <v>72852.545281744722</v>
      </c>
      <c r="X28" s="30">
        <f t="shared" si="17"/>
        <v>72852.545281744722</v>
      </c>
      <c r="Y28">
        <f t="shared" si="18"/>
        <v>0</v>
      </c>
    </row>
    <row r="29" spans="1:25" x14ac:dyDescent="0.25">
      <c r="A29" s="4" t="s">
        <v>713</v>
      </c>
      <c r="B29" s="7" t="s">
        <v>336</v>
      </c>
      <c r="C29" s="2" t="s">
        <v>714</v>
      </c>
      <c r="D29">
        <f>VLOOKUP(B29,'Model allocations'!$A$1:$L$319,5,FALSE)</f>
        <v>78937.614472132016</v>
      </c>
      <c r="E29" s="32">
        <f>VLOOKUP(B29,'Initial adjusted formula count'!$A$1:$P$319,12,FALSE)</f>
        <v>0.112967914438503</v>
      </c>
      <c r="F29">
        <f>VLOOKUP(B29,'Model allocations'!$A$1:$L$319,10,FALSE)</f>
        <v>69576.429673713414</v>
      </c>
      <c r="G29" s="31">
        <f t="shared" si="7"/>
        <v>0.85</v>
      </c>
      <c r="H29">
        <f t="shared" si="8"/>
        <v>67096.972301312213</v>
      </c>
      <c r="I29">
        <f t="shared" si="0"/>
        <v>0</v>
      </c>
      <c r="J29">
        <f t="shared" si="1"/>
        <v>69576.429673713414</v>
      </c>
      <c r="K29">
        <f t="shared" si="2"/>
        <v>69561.706063486228</v>
      </c>
      <c r="L29">
        <f t="shared" si="9"/>
        <v>69561.706063486228</v>
      </c>
      <c r="M29">
        <f t="shared" si="3"/>
        <v>0</v>
      </c>
      <c r="N29" s="30">
        <f t="shared" si="10"/>
        <v>69561.706063486228</v>
      </c>
      <c r="O29" s="30">
        <f t="shared" si="4"/>
        <v>69559.774873530288</v>
      </c>
      <c r="P29" s="30">
        <f t="shared" si="11"/>
        <v>69559.774873530288</v>
      </c>
      <c r="Q29">
        <f t="shared" si="12"/>
        <v>0</v>
      </c>
      <c r="R29" s="30">
        <f t="shared" si="13"/>
        <v>69559.774873530288</v>
      </c>
      <c r="S29" s="30">
        <f t="shared" si="5"/>
        <v>69559.774873530274</v>
      </c>
      <c r="T29" s="30">
        <f t="shared" si="14"/>
        <v>69559.774873530274</v>
      </c>
      <c r="U29">
        <f t="shared" si="15"/>
        <v>0</v>
      </c>
      <c r="V29" s="30">
        <f t="shared" si="16"/>
        <v>69559.774873530274</v>
      </c>
      <c r="W29" s="30">
        <f t="shared" si="6"/>
        <v>69559.774873530288</v>
      </c>
      <c r="X29" s="30">
        <f t="shared" si="17"/>
        <v>69559.774873530288</v>
      </c>
      <c r="Y29">
        <f t="shared" si="18"/>
        <v>0</v>
      </c>
    </row>
    <row r="30" spans="1:25" x14ac:dyDescent="0.25">
      <c r="A30" s="4" t="s">
        <v>715</v>
      </c>
      <c r="B30" s="7" t="s">
        <v>109</v>
      </c>
      <c r="C30" s="2" t="s">
        <v>716</v>
      </c>
      <c r="D30">
        <f>VLOOKUP(B30,'Model allocations'!$A$1:$L$319,5,FALSE)</f>
        <v>77366.716671691611</v>
      </c>
      <c r="E30" s="32">
        <f>VLOOKUP(B30,'Initial adjusted formula count'!$A$1:$P$319,12,FALSE)</f>
        <v>0.111858190709046</v>
      </c>
      <c r="F30">
        <f>VLOOKUP(B30,'Model allocations'!$A$1:$L$319,10,FALSE)</f>
        <v>75340.157575677833</v>
      </c>
      <c r="G30" s="31">
        <f t="shared" si="7"/>
        <v>0.85</v>
      </c>
      <c r="H30">
        <f t="shared" si="8"/>
        <v>65761.709170937873</v>
      </c>
      <c r="I30">
        <f t="shared" si="0"/>
        <v>0</v>
      </c>
      <c r="J30">
        <f t="shared" si="1"/>
        <v>75340.157575677833</v>
      </c>
      <c r="K30">
        <f t="shared" si="2"/>
        <v>75324.214258094566</v>
      </c>
      <c r="L30">
        <f t="shared" si="9"/>
        <v>75324.214258094566</v>
      </c>
      <c r="M30">
        <f t="shared" si="3"/>
        <v>0</v>
      </c>
      <c r="N30" s="30">
        <f t="shared" si="10"/>
        <v>75324.214258094566</v>
      </c>
      <c r="O30" s="30">
        <f t="shared" si="4"/>
        <v>75322.12308790558</v>
      </c>
      <c r="P30" s="30">
        <f t="shared" si="11"/>
        <v>75322.12308790558</v>
      </c>
      <c r="Q30">
        <f t="shared" si="12"/>
        <v>0</v>
      </c>
      <c r="R30" s="30">
        <f t="shared" si="13"/>
        <v>75322.12308790558</v>
      </c>
      <c r="S30" s="30">
        <f t="shared" si="5"/>
        <v>75322.123087905566</v>
      </c>
      <c r="T30" s="30">
        <f t="shared" si="14"/>
        <v>75322.123087905566</v>
      </c>
      <c r="U30">
        <f t="shared" si="15"/>
        <v>0</v>
      </c>
      <c r="V30" s="30">
        <f t="shared" si="16"/>
        <v>75322.123087905566</v>
      </c>
      <c r="W30" s="30">
        <f t="shared" si="6"/>
        <v>75322.123087905566</v>
      </c>
      <c r="X30" s="30">
        <f t="shared" si="17"/>
        <v>75322.123087905566</v>
      </c>
      <c r="Y30">
        <f t="shared" si="18"/>
        <v>0</v>
      </c>
    </row>
    <row r="31" spans="1:25" x14ac:dyDescent="0.25">
      <c r="A31" s="4" t="s">
        <v>8</v>
      </c>
      <c r="B31" s="7" t="s">
        <v>69</v>
      </c>
      <c r="C31" s="2" t="s">
        <v>717</v>
      </c>
      <c r="D31">
        <f>VLOOKUP(B31,'Model allocations'!$A$1:$L$319,5,FALSE)</f>
        <v>37699.297236030499</v>
      </c>
      <c r="E31" s="32">
        <f>VLOOKUP(B31,'Initial adjusted formula count'!$A$1:$P$319,12,FALSE)</f>
        <v>0.13928522931482101</v>
      </c>
      <c r="F31">
        <f>VLOOKUP(B31,'Model allocations'!$A$1:$L$319,10,FALSE)</f>
        <v>41033.186735469535</v>
      </c>
      <c r="G31" s="31">
        <f t="shared" si="7"/>
        <v>0.85</v>
      </c>
      <c r="H31">
        <f t="shared" si="8"/>
        <v>32044.402650625925</v>
      </c>
      <c r="I31">
        <f t="shared" si="0"/>
        <v>0</v>
      </c>
      <c r="J31">
        <f t="shared" si="1"/>
        <v>41033.186735469535</v>
      </c>
      <c r="K31">
        <f t="shared" si="2"/>
        <v>41024.503383209223</v>
      </c>
      <c r="L31">
        <f t="shared" si="9"/>
        <v>41024.503383209223</v>
      </c>
      <c r="M31">
        <f t="shared" si="3"/>
        <v>0</v>
      </c>
      <c r="N31" s="30">
        <f t="shared" si="10"/>
        <v>41024.503383209223</v>
      </c>
      <c r="O31" s="30">
        <f t="shared" si="4"/>
        <v>41023.364450406036</v>
      </c>
      <c r="P31" s="30">
        <f t="shared" si="11"/>
        <v>41023.364450406036</v>
      </c>
      <c r="Q31">
        <f t="shared" si="12"/>
        <v>0</v>
      </c>
      <c r="R31" s="30">
        <f t="shared" si="13"/>
        <v>41023.364450406036</v>
      </c>
      <c r="S31" s="30">
        <f t="shared" si="5"/>
        <v>41023.364450406028</v>
      </c>
      <c r="T31" s="30">
        <f t="shared" si="14"/>
        <v>41023.364450406028</v>
      </c>
      <c r="U31">
        <f t="shared" si="15"/>
        <v>0</v>
      </c>
      <c r="V31" s="30">
        <f t="shared" si="16"/>
        <v>41023.364450406028</v>
      </c>
      <c r="W31" s="30">
        <f t="shared" si="6"/>
        <v>41023.364450406036</v>
      </c>
      <c r="X31" s="30">
        <f t="shared" si="17"/>
        <v>41023.364450406036</v>
      </c>
      <c r="Y31">
        <f t="shared" si="18"/>
        <v>0</v>
      </c>
    </row>
    <row r="32" spans="1:25" x14ac:dyDescent="0.25">
      <c r="A32" s="4" t="s">
        <v>718</v>
      </c>
      <c r="B32" s="7" t="s">
        <v>338</v>
      </c>
      <c r="C32" s="2" t="s">
        <v>719</v>
      </c>
      <c r="D32">
        <f>VLOOKUP(B32,'Model allocations'!$A$1:$L$319,5,FALSE)</f>
        <v>5105.4178514314262</v>
      </c>
      <c r="E32" s="32">
        <f>VLOOKUP(B32,'Initial adjusted formula count'!$A$1:$P$319,12,FALSE)</f>
        <v>0.29032258064516098</v>
      </c>
      <c r="F32">
        <f>VLOOKUP(B32,'Model allocations'!$A$1:$L$319,10,FALSE)</f>
        <v>16966.449100473848</v>
      </c>
      <c r="G32" s="31">
        <f t="shared" si="7"/>
        <v>0.9</v>
      </c>
      <c r="H32">
        <f t="shared" si="8"/>
        <v>4594.8760662882842</v>
      </c>
      <c r="I32">
        <f t="shared" si="0"/>
        <v>0</v>
      </c>
      <c r="J32">
        <f t="shared" si="1"/>
        <v>16966.449100473848</v>
      </c>
      <c r="K32">
        <f t="shared" si="2"/>
        <v>16962.858698024829</v>
      </c>
      <c r="L32">
        <f t="shared" si="9"/>
        <v>16962.858698024829</v>
      </c>
      <c r="M32">
        <f t="shared" si="3"/>
        <v>0</v>
      </c>
      <c r="N32" s="30">
        <f t="shared" si="10"/>
        <v>16962.858698024829</v>
      </c>
      <c r="O32" s="30">
        <f t="shared" si="4"/>
        <v>16962.387770783454</v>
      </c>
      <c r="P32" s="30">
        <f t="shared" si="11"/>
        <v>16962.387770783454</v>
      </c>
      <c r="Q32">
        <f t="shared" si="12"/>
        <v>0</v>
      </c>
      <c r="R32" s="30">
        <f t="shared" si="13"/>
        <v>16962.387770783454</v>
      </c>
      <c r="S32" s="30">
        <f t="shared" si="5"/>
        <v>16962.387770783451</v>
      </c>
      <c r="T32" s="30">
        <f t="shared" si="14"/>
        <v>16962.387770783451</v>
      </c>
      <c r="U32">
        <f t="shared" si="15"/>
        <v>0</v>
      </c>
      <c r="V32" s="30">
        <f t="shared" si="16"/>
        <v>16962.387770783451</v>
      </c>
      <c r="W32" s="30">
        <f t="shared" si="6"/>
        <v>16962.387770783454</v>
      </c>
      <c r="X32" s="30">
        <f t="shared" si="17"/>
        <v>16962.387770783454</v>
      </c>
      <c r="Y32">
        <f t="shared" si="18"/>
        <v>0</v>
      </c>
    </row>
    <row r="33" spans="1:25" x14ac:dyDescent="0.25">
      <c r="A33" s="4" t="s">
        <v>720</v>
      </c>
      <c r="B33" s="7" t="s">
        <v>111</v>
      </c>
      <c r="C33" s="2" t="s">
        <v>721</v>
      </c>
      <c r="D33">
        <f>VLOOKUP(B33,'Model allocations'!$A$1:$L$319,5,FALSE)</f>
        <v>421589.69719320262</v>
      </c>
      <c r="E33" s="32">
        <f>VLOOKUP(B33,'Initial adjusted formula count'!$A$1:$P$319,12,FALSE)</f>
        <v>7.9476139217796907E-2</v>
      </c>
      <c r="F33">
        <f>VLOOKUP(B33,'Model allocations'!$A$1:$L$319,10,FALSE)</f>
        <v>404901.88511300093</v>
      </c>
      <c r="G33" s="31">
        <f t="shared" si="7"/>
        <v>0.85</v>
      </c>
      <c r="H33">
        <f t="shared" si="8"/>
        <v>358351.24261422222</v>
      </c>
      <c r="I33">
        <f t="shared" si="0"/>
        <v>0</v>
      </c>
      <c r="J33">
        <f t="shared" si="1"/>
        <v>404901.88511300093</v>
      </c>
      <c r="K33">
        <f t="shared" si="2"/>
        <v>404816.2006712351</v>
      </c>
      <c r="L33">
        <f t="shared" si="9"/>
        <v>404816.2006712351</v>
      </c>
      <c r="M33">
        <f t="shared" si="3"/>
        <v>0</v>
      </c>
      <c r="N33" s="30">
        <f t="shared" si="10"/>
        <v>404816.2006712351</v>
      </c>
      <c r="O33" s="30">
        <f t="shared" si="4"/>
        <v>404804.96205986425</v>
      </c>
      <c r="P33" s="30">
        <f t="shared" si="11"/>
        <v>404804.96205986425</v>
      </c>
      <c r="Q33">
        <f t="shared" si="12"/>
        <v>0</v>
      </c>
      <c r="R33" s="30">
        <f t="shared" si="13"/>
        <v>404804.96205986425</v>
      </c>
      <c r="S33" s="30">
        <f t="shared" si="5"/>
        <v>404804.96205986413</v>
      </c>
      <c r="T33" s="30">
        <f t="shared" si="14"/>
        <v>404804.96205986413</v>
      </c>
      <c r="U33">
        <f t="shared" si="15"/>
        <v>0</v>
      </c>
      <c r="V33" s="30">
        <f t="shared" si="16"/>
        <v>404804.96205986413</v>
      </c>
      <c r="W33" s="30">
        <f t="shared" si="6"/>
        <v>404804.96205986413</v>
      </c>
      <c r="X33" s="30">
        <f t="shared" si="17"/>
        <v>404804.96205986413</v>
      </c>
      <c r="Y33">
        <f t="shared" si="18"/>
        <v>0</v>
      </c>
    </row>
    <row r="34" spans="1:25" x14ac:dyDescent="0.25">
      <c r="A34" s="4" t="s">
        <v>722</v>
      </c>
      <c r="B34" s="7" t="s">
        <v>270</v>
      </c>
      <c r="C34" s="2" t="s">
        <v>723</v>
      </c>
      <c r="D34">
        <f>VLOOKUP(B34,'Model allocations'!$A$1:$L$319,5,FALSE)</f>
        <v>835717.62983431318</v>
      </c>
      <c r="E34" s="32">
        <f>VLOOKUP(B34,'Initial adjusted formula count'!$A$1:$P$319,12,FALSE)</f>
        <v>0.110699806099066</v>
      </c>
      <c r="F34">
        <f>VLOOKUP(B34,'Model allocations'!$A$1:$L$319,10,FALSE)</f>
        <v>1021209.0757730539</v>
      </c>
      <c r="G34" s="31">
        <f t="shared" si="7"/>
        <v>0.85</v>
      </c>
      <c r="H34">
        <f t="shared" si="8"/>
        <v>710359.98535916617</v>
      </c>
      <c r="I34">
        <f t="shared" si="0"/>
        <v>0</v>
      </c>
      <c r="J34">
        <f t="shared" si="1"/>
        <v>1021209.0757730539</v>
      </c>
      <c r="K34">
        <f t="shared" si="2"/>
        <v>1020992.9697661396</v>
      </c>
      <c r="L34">
        <f t="shared" si="9"/>
        <v>1020992.9697661396</v>
      </c>
      <c r="M34">
        <f t="shared" si="3"/>
        <v>0</v>
      </c>
      <c r="N34" s="30">
        <f t="shared" si="10"/>
        <v>1020992.9697661396</v>
      </c>
      <c r="O34" s="30">
        <f t="shared" si="4"/>
        <v>1020964.6246969933</v>
      </c>
      <c r="P34" s="30">
        <f t="shared" si="11"/>
        <v>1020964.6246969933</v>
      </c>
      <c r="Q34">
        <f t="shared" si="12"/>
        <v>0</v>
      </c>
      <c r="R34" s="30">
        <f t="shared" si="13"/>
        <v>1020964.6246969933</v>
      </c>
      <c r="S34" s="30">
        <f t="shared" si="5"/>
        <v>1020964.624696993</v>
      </c>
      <c r="T34" s="30">
        <f t="shared" si="14"/>
        <v>1020964.624696993</v>
      </c>
      <c r="U34">
        <f t="shared" si="15"/>
        <v>0</v>
      </c>
      <c r="V34" s="30">
        <f t="shared" si="16"/>
        <v>1020964.624696993</v>
      </c>
      <c r="W34" s="30">
        <f t="shared" si="6"/>
        <v>1020964.624696993</v>
      </c>
      <c r="X34" s="30">
        <f t="shared" si="17"/>
        <v>1020964.624696993</v>
      </c>
      <c r="Y34">
        <f t="shared" si="18"/>
        <v>0</v>
      </c>
    </row>
    <row r="35" spans="1:25" x14ac:dyDescent="0.25">
      <c r="A35" s="4" t="s">
        <v>724</v>
      </c>
      <c r="B35" s="7" t="s">
        <v>340</v>
      </c>
      <c r="C35" s="2" t="s">
        <v>725</v>
      </c>
      <c r="D35">
        <f>VLOOKUP(B35,'Model allocations'!$A$1:$L$319,5,FALSE)</f>
        <v>375078.0838484221</v>
      </c>
      <c r="E35" s="32">
        <f>VLOOKUP(B35,'Initial adjusted formula count'!$A$1:$P$319,12,FALSE)</f>
        <v>0.17945718296677601</v>
      </c>
      <c r="F35">
        <f>VLOOKUP(B35,'Model allocations'!$A$1:$L$319,10,FALSE)</f>
        <v>346990.04679779784</v>
      </c>
      <c r="G35" s="31">
        <f t="shared" si="7"/>
        <v>0.9</v>
      </c>
      <c r="H35">
        <f t="shared" si="8"/>
        <v>337570.27546357992</v>
      </c>
      <c r="I35">
        <f t="shared" si="0"/>
        <v>0</v>
      </c>
      <c r="J35">
        <f t="shared" si="1"/>
        <v>346990.04679779784</v>
      </c>
      <c r="K35">
        <f t="shared" si="2"/>
        <v>346916.61753122415</v>
      </c>
      <c r="L35">
        <f t="shared" si="9"/>
        <v>346916.61753122415</v>
      </c>
      <c r="M35">
        <f t="shared" si="3"/>
        <v>0</v>
      </c>
      <c r="N35" s="30">
        <f t="shared" si="10"/>
        <v>346916.61753122415</v>
      </c>
      <c r="O35" s="30">
        <f t="shared" si="4"/>
        <v>346906.98634295637</v>
      </c>
      <c r="P35" s="30">
        <f t="shared" si="11"/>
        <v>346906.98634295637</v>
      </c>
      <c r="Q35">
        <f t="shared" si="12"/>
        <v>0</v>
      </c>
      <c r="R35" s="30">
        <f t="shared" si="13"/>
        <v>346906.98634295637</v>
      </c>
      <c r="S35" s="30">
        <f t="shared" si="5"/>
        <v>346906.98634295631</v>
      </c>
      <c r="T35" s="30">
        <f t="shared" si="14"/>
        <v>346906.98634295631</v>
      </c>
      <c r="U35">
        <f t="shared" si="15"/>
        <v>0</v>
      </c>
      <c r="V35" s="30">
        <f t="shared" si="16"/>
        <v>346906.98634295631</v>
      </c>
      <c r="W35" s="30">
        <f t="shared" si="6"/>
        <v>346906.98634295637</v>
      </c>
      <c r="X35" s="30">
        <f t="shared" si="17"/>
        <v>346906.98634295637</v>
      </c>
      <c r="Y35">
        <f t="shared" si="18"/>
        <v>0</v>
      </c>
    </row>
    <row r="36" spans="1:25" x14ac:dyDescent="0.25">
      <c r="A36" s="4" t="s">
        <v>726</v>
      </c>
      <c r="B36" s="7" t="s">
        <v>342</v>
      </c>
      <c r="C36" s="2" t="s">
        <v>727</v>
      </c>
      <c r="D36">
        <f>VLOOKUP(B36,'Model allocations'!$A$1:$L$319,5,FALSE)</f>
        <v>141380.80203963941</v>
      </c>
      <c r="E36" s="32">
        <f>VLOOKUP(B36,'Initial adjusted formula count'!$A$1:$P$319,12,FALSE)</f>
        <v>9.2178770949720698E-2</v>
      </c>
      <c r="F36">
        <f>VLOOKUP(B36,'Model allocations'!$A$1:$L$319,10,FALSE)</f>
        <v>120173.68173369349</v>
      </c>
      <c r="G36" s="31">
        <f t="shared" si="7"/>
        <v>0.85</v>
      </c>
      <c r="H36">
        <f t="shared" si="8"/>
        <v>120173.68173369349</v>
      </c>
      <c r="I36">
        <f t="shared" si="0"/>
        <v>0</v>
      </c>
      <c r="J36">
        <f t="shared" si="1"/>
        <v>120173.68173369349</v>
      </c>
      <c r="K36">
        <f t="shared" si="2"/>
        <v>120148.25084484638</v>
      </c>
      <c r="L36">
        <f t="shared" si="9"/>
        <v>120148.25084484638</v>
      </c>
      <c r="M36">
        <f t="shared" si="3"/>
        <v>120173.68173369349</v>
      </c>
      <c r="N36" s="30">
        <f t="shared" si="10"/>
        <v>0</v>
      </c>
      <c r="O36" s="30">
        <f t="shared" si="4"/>
        <v>0</v>
      </c>
      <c r="P36" s="30">
        <f t="shared" si="11"/>
        <v>120173.68173369349</v>
      </c>
      <c r="Q36">
        <f t="shared" si="12"/>
        <v>0</v>
      </c>
      <c r="R36" s="30">
        <f t="shared" si="13"/>
        <v>0</v>
      </c>
      <c r="S36" s="30">
        <f t="shared" si="5"/>
        <v>0</v>
      </c>
      <c r="T36" s="30">
        <f t="shared" si="14"/>
        <v>120173.68173369349</v>
      </c>
      <c r="U36">
        <f t="shared" si="15"/>
        <v>0</v>
      </c>
      <c r="V36" s="30">
        <f t="shared" si="16"/>
        <v>0</v>
      </c>
      <c r="W36" s="30">
        <f t="shared" si="6"/>
        <v>0</v>
      </c>
      <c r="X36" s="30">
        <f t="shared" si="17"/>
        <v>120173.68173369349</v>
      </c>
      <c r="Y36">
        <f t="shared" si="18"/>
        <v>0</v>
      </c>
    </row>
    <row r="37" spans="1:25" x14ac:dyDescent="0.25">
      <c r="A37" s="4" t="s">
        <v>728</v>
      </c>
      <c r="B37" s="7" t="s">
        <v>272</v>
      </c>
      <c r="C37" s="2" t="s">
        <v>729</v>
      </c>
      <c r="D37">
        <f>VLOOKUP(B37,'Model allocations'!$A$1:$L$319,5,FALSE)</f>
        <v>339706.64934524498</v>
      </c>
      <c r="E37" s="32">
        <f>VLOOKUP(B37,'Initial adjusted formula count'!$A$1:$P$319,12,FALSE)</f>
        <v>0.141643967312931</v>
      </c>
      <c r="F37">
        <f>VLOOKUP(B37,'Model allocations'!$A$1:$L$319,10,FALSE)</f>
        <v>403666.80056257977</v>
      </c>
      <c r="G37" s="31">
        <f t="shared" si="7"/>
        <v>0.85</v>
      </c>
      <c r="H37">
        <f t="shared" si="8"/>
        <v>288750.65194345824</v>
      </c>
      <c r="I37">
        <f t="shared" si="0"/>
        <v>0</v>
      </c>
      <c r="J37">
        <f t="shared" si="1"/>
        <v>403666.80056257977</v>
      </c>
      <c r="K37">
        <f t="shared" si="2"/>
        <v>403581.37748667598</v>
      </c>
      <c r="L37">
        <f t="shared" si="9"/>
        <v>403581.37748667598</v>
      </c>
      <c r="M37">
        <f t="shared" si="3"/>
        <v>0</v>
      </c>
      <c r="N37" s="30">
        <f t="shared" si="10"/>
        <v>403581.37748667598</v>
      </c>
      <c r="O37" s="30">
        <f t="shared" si="4"/>
        <v>403570.17315678368</v>
      </c>
      <c r="P37" s="30">
        <f t="shared" si="11"/>
        <v>403570.17315678368</v>
      </c>
      <c r="Q37">
        <f t="shared" si="12"/>
        <v>0</v>
      </c>
      <c r="R37" s="30">
        <f t="shared" si="13"/>
        <v>403570.17315678368</v>
      </c>
      <c r="S37" s="30">
        <f t="shared" si="5"/>
        <v>403570.17315678363</v>
      </c>
      <c r="T37" s="30">
        <f t="shared" si="14"/>
        <v>403570.17315678363</v>
      </c>
      <c r="U37">
        <f t="shared" si="15"/>
        <v>0</v>
      </c>
      <c r="V37" s="30">
        <f t="shared" si="16"/>
        <v>403570.17315678363</v>
      </c>
      <c r="W37" s="30">
        <f t="shared" si="6"/>
        <v>403570.17315678368</v>
      </c>
      <c r="X37" s="30">
        <f t="shared" si="17"/>
        <v>403570.17315678368</v>
      </c>
      <c r="Y37">
        <f t="shared" si="18"/>
        <v>0</v>
      </c>
    </row>
    <row r="38" spans="1:25" x14ac:dyDescent="0.25">
      <c r="A38" s="4" t="s">
        <v>730</v>
      </c>
      <c r="B38" s="7" t="s">
        <v>344</v>
      </c>
      <c r="C38" s="2" t="s">
        <v>731</v>
      </c>
      <c r="D38">
        <f>VLOOKUP(B38,'Model allocations'!$A$1:$L$319,5,FALSE)</f>
        <v>97161.381858918481</v>
      </c>
      <c r="E38" s="32">
        <f>VLOOKUP(B38,'Initial adjusted formula count'!$A$1:$P$319,12,FALSE)</f>
        <v>0.171641791044776</v>
      </c>
      <c r="F38">
        <f>VLOOKUP(B38,'Model allocations'!$A$1:$L$319,10,FALSE)</f>
        <v>87445.243673026634</v>
      </c>
      <c r="G38" s="31">
        <f t="shared" si="7"/>
        <v>0.9</v>
      </c>
      <c r="H38">
        <f t="shared" si="8"/>
        <v>87445.243673026634</v>
      </c>
      <c r="I38">
        <f t="shared" si="0"/>
        <v>0</v>
      </c>
      <c r="J38">
        <f t="shared" si="1"/>
        <v>87445.243673026634</v>
      </c>
      <c r="K38">
        <f t="shared" si="2"/>
        <v>87426.738703885509</v>
      </c>
      <c r="L38">
        <f t="shared" si="9"/>
        <v>87426.738703885509</v>
      </c>
      <c r="M38">
        <f t="shared" si="3"/>
        <v>87445.243673026634</v>
      </c>
      <c r="N38" s="30">
        <f t="shared" si="10"/>
        <v>0</v>
      </c>
      <c r="O38" s="30">
        <f t="shared" si="4"/>
        <v>0</v>
      </c>
      <c r="P38" s="30">
        <f t="shared" si="11"/>
        <v>87445.243673026634</v>
      </c>
      <c r="Q38">
        <f t="shared" si="12"/>
        <v>0</v>
      </c>
      <c r="R38" s="30">
        <f t="shared" si="13"/>
        <v>0</v>
      </c>
      <c r="S38" s="30">
        <f t="shared" si="5"/>
        <v>0</v>
      </c>
      <c r="T38" s="30">
        <f t="shared" si="14"/>
        <v>87445.243673026634</v>
      </c>
      <c r="U38">
        <f t="shared" si="15"/>
        <v>0</v>
      </c>
      <c r="V38" s="30">
        <f t="shared" si="16"/>
        <v>0</v>
      </c>
      <c r="W38" s="30">
        <f t="shared" si="6"/>
        <v>0</v>
      </c>
      <c r="X38" s="30">
        <f t="shared" si="17"/>
        <v>87445.243673026634</v>
      </c>
      <c r="Y38">
        <f t="shared" si="18"/>
        <v>0</v>
      </c>
    </row>
    <row r="39" spans="1:25" x14ac:dyDescent="0.25">
      <c r="A39" s="4" t="s">
        <v>732</v>
      </c>
      <c r="B39" s="7" t="s">
        <v>113</v>
      </c>
      <c r="C39" s="2" t="s">
        <v>733</v>
      </c>
      <c r="D39">
        <f>VLOOKUP(B39,'Model allocations'!$A$1:$L$319,5,FALSE)</f>
        <v>89488.942273240362</v>
      </c>
      <c r="E39" s="32">
        <f>VLOOKUP(B39,'Initial adjusted formula count'!$A$1:$P$319,12,FALSE)</f>
        <v>0.15190972222222199</v>
      </c>
      <c r="F39">
        <f>VLOOKUP(B39,'Model allocations'!$A$1:$L$319,10,FALSE)</f>
        <v>80540.048045916323</v>
      </c>
      <c r="G39" s="31">
        <f t="shared" si="7"/>
        <v>0.9</v>
      </c>
      <c r="H39">
        <f t="shared" si="8"/>
        <v>80540.048045916323</v>
      </c>
      <c r="I39">
        <f t="shared" si="0"/>
        <v>0</v>
      </c>
      <c r="J39">
        <f t="shared" si="1"/>
        <v>80540.048045916323</v>
      </c>
      <c r="K39">
        <f t="shared" si="2"/>
        <v>80523.004339007719</v>
      </c>
      <c r="L39">
        <f t="shared" si="9"/>
        <v>80523.004339007719</v>
      </c>
      <c r="M39">
        <f t="shared" si="3"/>
        <v>80540.048045916323</v>
      </c>
      <c r="N39" s="30">
        <f t="shared" si="10"/>
        <v>0</v>
      </c>
      <c r="O39" s="30">
        <f t="shared" si="4"/>
        <v>0</v>
      </c>
      <c r="P39" s="30">
        <f t="shared" si="11"/>
        <v>80540.048045916323</v>
      </c>
      <c r="Q39">
        <f t="shared" si="12"/>
        <v>0</v>
      </c>
      <c r="R39" s="30">
        <f t="shared" si="13"/>
        <v>0</v>
      </c>
      <c r="S39" s="30">
        <f t="shared" si="5"/>
        <v>0</v>
      </c>
      <c r="T39" s="30">
        <f t="shared" si="14"/>
        <v>80540.048045916323</v>
      </c>
      <c r="U39">
        <f t="shared" si="15"/>
        <v>0</v>
      </c>
      <c r="V39" s="30">
        <f t="shared" si="16"/>
        <v>0</v>
      </c>
      <c r="W39" s="30">
        <f t="shared" si="6"/>
        <v>0</v>
      </c>
      <c r="X39" s="30">
        <f t="shared" si="17"/>
        <v>80540.048045916323</v>
      </c>
      <c r="Y39">
        <f t="shared" si="18"/>
        <v>0</v>
      </c>
    </row>
    <row r="40" spans="1:25" x14ac:dyDescent="0.25">
      <c r="A40" s="4" t="s">
        <v>734</v>
      </c>
      <c r="B40" s="7" t="s">
        <v>346</v>
      </c>
      <c r="C40" s="2" t="s">
        <v>735</v>
      </c>
      <c r="D40">
        <f>VLOOKUP(B40,'Model allocations'!$A$1:$L$319,5,FALSE)</f>
        <v>273417.00069602393</v>
      </c>
      <c r="E40" s="32">
        <f>VLOOKUP(B40,'Initial adjusted formula count'!$A$1:$P$319,12,FALSE)</f>
        <v>0.21323792486583201</v>
      </c>
      <c r="F40">
        <f>VLOOKUP(B40,'Model allocations'!$A$1:$L$319,10,FALSE)</f>
        <v>294939.94034363556</v>
      </c>
      <c r="G40" s="31">
        <f t="shared" si="7"/>
        <v>0.9</v>
      </c>
      <c r="H40">
        <f t="shared" si="8"/>
        <v>246075.30062642155</v>
      </c>
      <c r="I40">
        <f t="shared" si="0"/>
        <v>0</v>
      </c>
      <c r="J40">
        <f t="shared" si="1"/>
        <v>294939.94034363556</v>
      </c>
      <c r="K40">
        <f t="shared" si="2"/>
        <v>294877.52580551663</v>
      </c>
      <c r="L40">
        <f t="shared" si="9"/>
        <v>294877.52580551663</v>
      </c>
      <c r="M40">
        <f t="shared" si="3"/>
        <v>0</v>
      </c>
      <c r="N40" s="30">
        <f t="shared" si="10"/>
        <v>294877.52580551663</v>
      </c>
      <c r="O40" s="30">
        <f t="shared" si="4"/>
        <v>294869.33933988353</v>
      </c>
      <c r="P40" s="30">
        <f t="shared" si="11"/>
        <v>294869.33933988353</v>
      </c>
      <c r="Q40">
        <f t="shared" si="12"/>
        <v>0</v>
      </c>
      <c r="R40" s="30">
        <f t="shared" si="13"/>
        <v>294869.33933988353</v>
      </c>
      <c r="S40" s="30">
        <f t="shared" si="5"/>
        <v>294869.33933988347</v>
      </c>
      <c r="T40" s="30">
        <f t="shared" si="14"/>
        <v>294869.33933988347</v>
      </c>
      <c r="U40">
        <f t="shared" si="15"/>
        <v>0</v>
      </c>
      <c r="V40" s="30">
        <f t="shared" si="16"/>
        <v>294869.33933988347</v>
      </c>
      <c r="W40" s="30">
        <f t="shared" si="6"/>
        <v>294869.33933988353</v>
      </c>
      <c r="X40" s="30">
        <f t="shared" si="17"/>
        <v>294869.33933988353</v>
      </c>
      <c r="Y40">
        <f t="shared" si="18"/>
        <v>0</v>
      </c>
    </row>
    <row r="41" spans="1:25" x14ac:dyDescent="0.25">
      <c r="A41" s="4" t="s">
        <v>736</v>
      </c>
      <c r="B41" s="7" t="s">
        <v>348</v>
      </c>
      <c r="C41" s="2" t="s">
        <v>737</v>
      </c>
      <c r="D41">
        <f>VLOOKUP(B41,'Model allocations'!$A$1:$L$319,5,FALSE)</f>
        <v>58291.327137466542</v>
      </c>
      <c r="E41" s="32">
        <f>VLOOKUP(B41,'Initial adjusted formula count'!$A$1:$P$319,12,FALSE)</f>
        <v>0.145951035781544</v>
      </c>
      <c r="F41">
        <f>VLOOKUP(B41,'Model allocations'!$A$1:$L$319,10,FALSE)</f>
        <v>63812.701771748973</v>
      </c>
      <c r="G41" s="31">
        <f t="shared" si="7"/>
        <v>0.85</v>
      </c>
      <c r="H41">
        <f t="shared" si="8"/>
        <v>49547.628066846562</v>
      </c>
      <c r="I41">
        <f t="shared" si="0"/>
        <v>0</v>
      </c>
      <c r="J41">
        <f t="shared" si="1"/>
        <v>63812.701771748973</v>
      </c>
      <c r="K41">
        <f t="shared" si="2"/>
        <v>63799.197868877891</v>
      </c>
      <c r="L41">
        <f t="shared" si="9"/>
        <v>63799.197868877891</v>
      </c>
      <c r="M41">
        <f t="shared" si="3"/>
        <v>0</v>
      </c>
      <c r="N41" s="30">
        <f t="shared" si="10"/>
        <v>63799.197868877891</v>
      </c>
      <c r="O41" s="30">
        <f t="shared" si="4"/>
        <v>63797.426659154982</v>
      </c>
      <c r="P41" s="30">
        <f t="shared" si="11"/>
        <v>63797.426659154982</v>
      </c>
      <c r="Q41">
        <f t="shared" si="12"/>
        <v>0</v>
      </c>
      <c r="R41" s="30">
        <f t="shared" si="13"/>
        <v>63797.426659154982</v>
      </c>
      <c r="S41" s="30">
        <f t="shared" si="5"/>
        <v>63797.426659154975</v>
      </c>
      <c r="T41" s="30">
        <f t="shared" si="14"/>
        <v>63797.426659154975</v>
      </c>
      <c r="U41">
        <f t="shared" si="15"/>
        <v>0</v>
      </c>
      <c r="V41" s="30">
        <f t="shared" si="16"/>
        <v>63797.426659154975</v>
      </c>
      <c r="W41" s="30">
        <f t="shared" si="6"/>
        <v>63797.426659154982</v>
      </c>
      <c r="X41" s="30">
        <f t="shared" si="17"/>
        <v>63797.426659154982</v>
      </c>
      <c r="Y41">
        <f t="shared" si="18"/>
        <v>0</v>
      </c>
    </row>
    <row r="42" spans="1:25" x14ac:dyDescent="0.25">
      <c r="A42" s="4" t="s">
        <v>738</v>
      </c>
      <c r="B42" s="7" t="s">
        <v>350</v>
      </c>
      <c r="C42" s="2" t="s">
        <v>739</v>
      </c>
      <c r="D42">
        <f>VLOOKUP(B42,'Model allocations'!$A$1:$L$319,5,FALSE)</f>
        <v>997716.46550473373</v>
      </c>
      <c r="E42" s="32">
        <f>VLOOKUP(B42,'Initial adjusted formula count'!$A$1:$P$319,12,FALSE)</f>
        <v>0.14597953216374299</v>
      </c>
      <c r="F42">
        <f>VLOOKUP(B42,'Model allocations'!$A$1:$L$319,10,FALSE)</f>
        <v>1090991.3528718376</v>
      </c>
      <c r="G42" s="31">
        <f t="shared" si="7"/>
        <v>0.85</v>
      </c>
      <c r="H42">
        <f t="shared" si="8"/>
        <v>848058.99567902368</v>
      </c>
      <c r="I42">
        <f t="shared" si="0"/>
        <v>0</v>
      </c>
      <c r="J42">
        <f t="shared" si="1"/>
        <v>1090991.3528718376</v>
      </c>
      <c r="K42">
        <f t="shared" si="2"/>
        <v>1090760.4796937192</v>
      </c>
      <c r="L42">
        <f t="shared" si="9"/>
        <v>1090760.4796937192</v>
      </c>
      <c r="M42">
        <f t="shared" si="3"/>
        <v>0</v>
      </c>
      <c r="N42" s="30">
        <f t="shared" si="10"/>
        <v>1090760.4796937192</v>
      </c>
      <c r="O42" s="30">
        <f t="shared" si="4"/>
        <v>1090730.1977210373</v>
      </c>
      <c r="P42" s="30">
        <f t="shared" si="11"/>
        <v>1090730.1977210373</v>
      </c>
      <c r="Q42">
        <f t="shared" si="12"/>
        <v>0</v>
      </c>
      <c r="R42" s="30">
        <f t="shared" si="13"/>
        <v>1090730.1977210373</v>
      </c>
      <c r="S42" s="30">
        <f t="shared" si="5"/>
        <v>1090730.1977210371</v>
      </c>
      <c r="T42" s="30">
        <f t="shared" si="14"/>
        <v>1090730.1977210371</v>
      </c>
      <c r="U42">
        <f t="shared" si="15"/>
        <v>0</v>
      </c>
      <c r="V42" s="30">
        <f t="shared" si="16"/>
        <v>1090730.1977210371</v>
      </c>
      <c r="W42" s="30">
        <f t="shared" si="6"/>
        <v>1090730.1977210373</v>
      </c>
      <c r="X42" s="30">
        <f t="shared" si="17"/>
        <v>1090730.1977210373</v>
      </c>
      <c r="Y42">
        <f t="shared" si="18"/>
        <v>0</v>
      </c>
    </row>
    <row r="43" spans="1:25" x14ac:dyDescent="0.25">
      <c r="A43" s="4" t="s">
        <v>740</v>
      </c>
      <c r="B43" s="7" t="s">
        <v>274</v>
      </c>
      <c r="C43" s="2" t="s">
        <v>741</v>
      </c>
      <c r="D43">
        <f>VLOOKUP(B43,'Model allocations'!$A$1:$L$319,5,FALSE)</f>
        <v>20028.946955615585</v>
      </c>
      <c r="E43" s="32">
        <f>VLOOKUP(B43,'Initial adjusted formula count'!$A$1:$P$319,12,FALSE)</f>
        <v>7.5376884422110602E-2</v>
      </c>
      <c r="F43">
        <f>VLOOKUP(B43,'Model allocations'!$A$1:$L$319,10,FALSE)</f>
        <v>18526.268256314215</v>
      </c>
      <c r="G43" s="31">
        <f t="shared" si="7"/>
        <v>0.85</v>
      </c>
      <c r="H43">
        <f t="shared" si="8"/>
        <v>17024.604912273247</v>
      </c>
      <c r="I43">
        <f t="shared" si="0"/>
        <v>0</v>
      </c>
      <c r="J43">
        <f t="shared" si="1"/>
        <v>18526.268256314215</v>
      </c>
      <c r="K43">
        <f t="shared" si="2"/>
        <v>18522.347768383901</v>
      </c>
      <c r="L43">
        <f t="shared" si="9"/>
        <v>18522.347768383901</v>
      </c>
      <c r="M43">
        <f t="shared" si="3"/>
        <v>0</v>
      </c>
      <c r="N43" s="30">
        <f t="shared" si="10"/>
        <v>18522.347768383901</v>
      </c>
      <c r="O43" s="30">
        <f t="shared" si="4"/>
        <v>18521.833546206282</v>
      </c>
      <c r="P43" s="30">
        <f t="shared" si="11"/>
        <v>18521.833546206282</v>
      </c>
      <c r="Q43">
        <f t="shared" si="12"/>
        <v>0</v>
      </c>
      <c r="R43" s="30">
        <f t="shared" si="13"/>
        <v>18521.833546206282</v>
      </c>
      <c r="S43" s="30">
        <f t="shared" si="5"/>
        <v>18521.833546206279</v>
      </c>
      <c r="T43" s="30">
        <f t="shared" si="14"/>
        <v>18521.833546206279</v>
      </c>
      <c r="U43">
        <f t="shared" si="15"/>
        <v>0</v>
      </c>
      <c r="V43" s="30">
        <f t="shared" si="16"/>
        <v>18521.833546206279</v>
      </c>
      <c r="W43" s="30">
        <f t="shared" si="6"/>
        <v>18521.833546206282</v>
      </c>
      <c r="X43" s="30">
        <f t="shared" si="17"/>
        <v>18521.833546206282</v>
      </c>
      <c r="Y43">
        <f t="shared" si="18"/>
        <v>0</v>
      </c>
    </row>
    <row r="44" spans="1:25" x14ac:dyDescent="0.25">
      <c r="A44" s="4" t="s">
        <v>742</v>
      </c>
      <c r="B44" s="7" t="s">
        <v>352</v>
      </c>
      <c r="C44" s="2" t="s">
        <v>743</v>
      </c>
      <c r="D44">
        <f>VLOOKUP(B44,'Model allocations'!$A$1:$L$319,5,FALSE)</f>
        <v>98181.11252752741</v>
      </c>
      <c r="E44" s="32">
        <f>VLOOKUP(B44,'Initial adjusted formula count'!$A$1:$P$319,12,FALSE)</f>
        <v>0.10515970515970501</v>
      </c>
      <c r="F44">
        <f>VLOOKUP(B44,'Model allocations'!$A$1:$L$319,10,FALSE)</f>
        <v>88102.697930027643</v>
      </c>
      <c r="G44" s="31">
        <f t="shared" si="7"/>
        <v>0.85</v>
      </c>
      <c r="H44">
        <f t="shared" si="8"/>
        <v>83453.945648398294</v>
      </c>
      <c r="I44">
        <f t="shared" si="0"/>
        <v>0</v>
      </c>
      <c r="J44">
        <f t="shared" si="1"/>
        <v>88102.697930027643</v>
      </c>
      <c r="K44">
        <f t="shared" si="2"/>
        <v>88084.053831870158</v>
      </c>
      <c r="L44">
        <f t="shared" si="9"/>
        <v>88084.053831870158</v>
      </c>
      <c r="M44">
        <f t="shared" si="3"/>
        <v>0</v>
      </c>
      <c r="N44" s="30">
        <f t="shared" si="10"/>
        <v>88084.053831870158</v>
      </c>
      <c r="O44" s="30">
        <f t="shared" si="4"/>
        <v>88081.6084197366</v>
      </c>
      <c r="P44" s="30">
        <f t="shared" si="11"/>
        <v>88081.6084197366</v>
      </c>
      <c r="Q44">
        <f t="shared" si="12"/>
        <v>0</v>
      </c>
      <c r="R44" s="30">
        <f t="shared" si="13"/>
        <v>88081.6084197366</v>
      </c>
      <c r="S44" s="30">
        <f t="shared" si="5"/>
        <v>88081.608419736585</v>
      </c>
      <c r="T44" s="30">
        <f t="shared" si="14"/>
        <v>88081.608419736585</v>
      </c>
      <c r="U44">
        <f t="shared" si="15"/>
        <v>0</v>
      </c>
      <c r="V44" s="30">
        <f t="shared" si="16"/>
        <v>88081.608419736585</v>
      </c>
      <c r="W44" s="30">
        <f t="shared" si="6"/>
        <v>88081.6084197366</v>
      </c>
      <c r="X44" s="30">
        <f t="shared" si="17"/>
        <v>88081.6084197366</v>
      </c>
      <c r="Y44">
        <f t="shared" si="18"/>
        <v>0</v>
      </c>
    </row>
    <row r="45" spans="1:25" x14ac:dyDescent="0.25">
      <c r="A45" s="4" t="s">
        <v>744</v>
      </c>
      <c r="B45" s="7" t="s">
        <v>354</v>
      </c>
      <c r="C45" s="2" t="s">
        <v>745</v>
      </c>
      <c r="D45">
        <f>VLOOKUP(B45,'Model allocations'!$A$1:$L$319,5,FALSE)</f>
        <v>7854.48900220219</v>
      </c>
      <c r="E45" s="32">
        <f>VLOOKUP(B45,'Initial adjusted formula count'!$A$1:$P$319,12,FALSE)</f>
        <v>7.0833333333333304E-2</v>
      </c>
      <c r="F45">
        <f>VLOOKUP(B45,'Model allocations'!$A$1:$L$319,10,FALSE)</f>
        <v>6998.8124523853721</v>
      </c>
      <c r="G45" s="31">
        <f t="shared" si="7"/>
        <v>0.85</v>
      </c>
      <c r="H45">
        <f t="shared" si="8"/>
        <v>6676.3156518718615</v>
      </c>
      <c r="I45">
        <f t="shared" si="0"/>
        <v>0</v>
      </c>
      <c r="J45">
        <f t="shared" si="1"/>
        <v>6998.8124523853721</v>
      </c>
      <c r="K45">
        <f t="shared" si="2"/>
        <v>6997.3313791672545</v>
      </c>
      <c r="L45">
        <f t="shared" si="9"/>
        <v>6997.3313791672545</v>
      </c>
      <c r="M45">
        <f t="shared" si="3"/>
        <v>0</v>
      </c>
      <c r="N45" s="30">
        <f t="shared" si="10"/>
        <v>6997.3313791672545</v>
      </c>
      <c r="O45" s="30">
        <f t="shared" si="4"/>
        <v>6997.1371174557098</v>
      </c>
      <c r="P45" s="30">
        <f t="shared" si="11"/>
        <v>6997.1371174557098</v>
      </c>
      <c r="Q45">
        <f t="shared" si="12"/>
        <v>0</v>
      </c>
      <c r="R45" s="30">
        <f t="shared" si="13"/>
        <v>6997.1371174557098</v>
      </c>
      <c r="S45" s="30">
        <f t="shared" si="5"/>
        <v>6997.137117455708</v>
      </c>
      <c r="T45" s="30">
        <f t="shared" si="14"/>
        <v>6997.137117455708</v>
      </c>
      <c r="U45">
        <f t="shared" si="15"/>
        <v>0</v>
      </c>
      <c r="V45" s="30">
        <f t="shared" si="16"/>
        <v>6997.137117455708</v>
      </c>
      <c r="W45" s="30">
        <f t="shared" si="6"/>
        <v>6997.1371174557089</v>
      </c>
      <c r="X45" s="30">
        <f t="shared" si="17"/>
        <v>6997.1371174557089</v>
      </c>
      <c r="Y45">
        <f t="shared" si="18"/>
        <v>0</v>
      </c>
    </row>
    <row r="46" spans="1:25" x14ac:dyDescent="0.25">
      <c r="A46" s="4" t="s">
        <v>746</v>
      </c>
      <c r="B46" s="7" t="s">
        <v>356</v>
      </c>
      <c r="C46" s="2" t="s">
        <v>747</v>
      </c>
      <c r="D46">
        <f>VLOOKUP(B46,'Model allocations'!$A$1:$L$319,5,FALSE)</f>
        <v>20053.315507744919</v>
      </c>
      <c r="E46" s="32">
        <f>VLOOKUP(B46,'Initial adjusted formula count'!$A$1:$P$319,12,FALSE)</f>
        <v>0.20487804878048799</v>
      </c>
      <c r="F46">
        <f>VLOOKUP(B46,'Model allocations'!$A$1:$L$319,10,FALSE)</f>
        <v>20397.730121339569</v>
      </c>
      <c r="G46" s="31">
        <f t="shared" si="7"/>
        <v>0.9</v>
      </c>
      <c r="H46">
        <f t="shared" si="8"/>
        <v>18047.983956970427</v>
      </c>
      <c r="I46">
        <f t="shared" si="0"/>
        <v>0</v>
      </c>
      <c r="J46">
        <f t="shared" si="1"/>
        <v>20397.730121339569</v>
      </c>
      <c r="K46">
        <f t="shared" si="2"/>
        <v>20393.413598786832</v>
      </c>
      <c r="L46">
        <f t="shared" si="9"/>
        <v>20393.413598786832</v>
      </c>
      <c r="M46">
        <f t="shared" si="3"/>
        <v>0</v>
      </c>
      <c r="N46" s="30">
        <f t="shared" si="10"/>
        <v>20393.413598786832</v>
      </c>
      <c r="O46" s="30">
        <f t="shared" si="4"/>
        <v>20392.847431598904</v>
      </c>
      <c r="P46" s="30">
        <f t="shared" si="11"/>
        <v>20392.847431598904</v>
      </c>
      <c r="Q46">
        <f t="shared" si="12"/>
        <v>0</v>
      </c>
      <c r="R46" s="30">
        <f t="shared" si="13"/>
        <v>20392.847431598904</v>
      </c>
      <c r="S46" s="30">
        <f t="shared" si="5"/>
        <v>20392.847431598901</v>
      </c>
      <c r="T46" s="30">
        <f t="shared" si="14"/>
        <v>20392.847431598901</v>
      </c>
      <c r="U46">
        <f t="shared" si="15"/>
        <v>0</v>
      </c>
      <c r="V46" s="30">
        <f t="shared" si="16"/>
        <v>20392.847431598901</v>
      </c>
      <c r="W46" s="30">
        <f t="shared" si="6"/>
        <v>20392.847431598904</v>
      </c>
      <c r="X46" s="30">
        <f t="shared" si="17"/>
        <v>20392.847431598904</v>
      </c>
      <c r="Y46">
        <f t="shared" si="18"/>
        <v>0</v>
      </c>
    </row>
    <row r="47" spans="1:25" x14ac:dyDescent="0.25">
      <c r="A47" s="4" t="s">
        <v>748</v>
      </c>
      <c r="B47" s="7" t="s">
        <v>357</v>
      </c>
      <c r="C47" s="2" t="s">
        <v>749</v>
      </c>
      <c r="D47">
        <f>VLOOKUP(B47,'Model allocations'!$A$1:$L$319,5,FALSE)</f>
        <v>49468.690440306797</v>
      </c>
      <c r="E47" s="32">
        <f>VLOOKUP(B47,'Initial adjusted formula count'!$A$1:$P$319,12,FALSE)</f>
        <v>0.134920634920635</v>
      </c>
      <c r="F47">
        <f>VLOOKUP(B47,'Model allocations'!$A$1:$L$319,10,FALSE)</f>
        <v>42048.386874260774</v>
      </c>
      <c r="G47" s="31">
        <f t="shared" si="7"/>
        <v>0.85</v>
      </c>
      <c r="H47">
        <f t="shared" si="8"/>
        <v>42048.386874260774</v>
      </c>
      <c r="I47">
        <f t="shared" si="0"/>
        <v>0</v>
      </c>
      <c r="J47">
        <f t="shared" si="1"/>
        <v>42048.386874260774</v>
      </c>
      <c r="K47">
        <f t="shared" si="2"/>
        <v>42039.488687591504</v>
      </c>
      <c r="L47">
        <f t="shared" si="9"/>
        <v>42039.488687591504</v>
      </c>
      <c r="M47">
        <f t="shared" si="3"/>
        <v>42048.386874260774</v>
      </c>
      <c r="N47" s="30">
        <f t="shared" si="10"/>
        <v>0</v>
      </c>
      <c r="O47" s="30">
        <f t="shared" si="4"/>
        <v>0</v>
      </c>
      <c r="P47" s="30">
        <f t="shared" si="11"/>
        <v>42048.386874260774</v>
      </c>
      <c r="Q47">
        <f t="shared" si="12"/>
        <v>0</v>
      </c>
      <c r="R47" s="30">
        <f t="shared" si="13"/>
        <v>0</v>
      </c>
      <c r="S47" s="30">
        <f t="shared" si="5"/>
        <v>0</v>
      </c>
      <c r="T47" s="30">
        <f t="shared" si="14"/>
        <v>42048.386874260774</v>
      </c>
      <c r="U47">
        <f t="shared" si="15"/>
        <v>0</v>
      </c>
      <c r="V47" s="30">
        <f t="shared" si="16"/>
        <v>0</v>
      </c>
      <c r="W47" s="30">
        <f t="shared" si="6"/>
        <v>0</v>
      </c>
      <c r="X47" s="30">
        <f t="shared" si="17"/>
        <v>42048.386874260774</v>
      </c>
      <c r="Y47">
        <f t="shared" si="18"/>
        <v>0</v>
      </c>
    </row>
    <row r="48" spans="1:25" x14ac:dyDescent="0.25">
      <c r="A48" s="4" t="s">
        <v>750</v>
      </c>
      <c r="B48" s="7" t="s">
        <v>358</v>
      </c>
      <c r="C48" s="2" t="s">
        <v>751</v>
      </c>
      <c r="D48">
        <f>VLOOKUP(B48,'Model allocations'!$A$1:$L$319,5,FALSE)</f>
        <v>154902.46194671051</v>
      </c>
      <c r="E48" s="32">
        <f>VLOOKUP(B48,'Initial adjusted formula count'!$A$1:$P$319,12,FALSE)</f>
        <v>0.16166166166166199</v>
      </c>
      <c r="F48">
        <f>VLOOKUP(B48,'Model allocations'!$A$1:$L$319,10,FALSE)</f>
        <v>139412.21575203945</v>
      </c>
      <c r="G48" s="31">
        <f t="shared" si="7"/>
        <v>0.9</v>
      </c>
      <c r="H48">
        <f t="shared" si="8"/>
        <v>139412.21575203945</v>
      </c>
      <c r="I48">
        <f t="shared" si="0"/>
        <v>0</v>
      </c>
      <c r="J48">
        <f t="shared" si="1"/>
        <v>139412.21575203945</v>
      </c>
      <c r="K48">
        <f t="shared" si="2"/>
        <v>139382.71364715617</v>
      </c>
      <c r="L48">
        <f t="shared" si="9"/>
        <v>139382.71364715617</v>
      </c>
      <c r="M48">
        <f t="shared" si="3"/>
        <v>139412.21575203945</v>
      </c>
      <c r="N48" s="30">
        <f t="shared" si="10"/>
        <v>0</v>
      </c>
      <c r="O48" s="30">
        <f t="shared" si="4"/>
        <v>0</v>
      </c>
      <c r="P48" s="30">
        <f t="shared" si="11"/>
        <v>139412.21575203945</v>
      </c>
      <c r="Q48">
        <f t="shared" si="12"/>
        <v>0</v>
      </c>
      <c r="R48" s="30">
        <f t="shared" si="13"/>
        <v>0</v>
      </c>
      <c r="S48" s="30">
        <f t="shared" si="5"/>
        <v>0</v>
      </c>
      <c r="T48" s="30">
        <f t="shared" si="14"/>
        <v>139412.21575203945</v>
      </c>
      <c r="U48">
        <f t="shared" si="15"/>
        <v>0</v>
      </c>
      <c r="V48" s="30">
        <f t="shared" si="16"/>
        <v>0</v>
      </c>
      <c r="W48" s="30">
        <f t="shared" si="6"/>
        <v>0</v>
      </c>
      <c r="X48" s="30">
        <f t="shared" si="17"/>
        <v>139412.21575203945</v>
      </c>
      <c r="Y48">
        <f t="shared" si="18"/>
        <v>0</v>
      </c>
    </row>
    <row r="49" spans="1:25" x14ac:dyDescent="0.25">
      <c r="A49" s="4" t="s">
        <v>752</v>
      </c>
      <c r="B49" s="7" t="s">
        <v>360</v>
      </c>
      <c r="C49" s="2" t="s">
        <v>753</v>
      </c>
      <c r="D49">
        <f>VLOOKUP(B49,'Model allocations'!$A$1:$L$319,5,FALSE)</f>
        <v>67712.332242189761</v>
      </c>
      <c r="E49" s="32">
        <f>VLOOKUP(B49,'Initial adjusted formula count'!$A$1:$P$319,12,FALSE)</f>
        <v>0.19553072625698301</v>
      </c>
      <c r="F49">
        <f>VLOOKUP(B49,'Model allocations'!$A$1:$L$319,10,FALSE)</f>
        <v>66420.953325327922</v>
      </c>
      <c r="G49" s="31">
        <f t="shared" si="7"/>
        <v>0.9</v>
      </c>
      <c r="H49">
        <f t="shared" si="8"/>
        <v>60941.099017970788</v>
      </c>
      <c r="I49">
        <f t="shared" si="0"/>
        <v>0</v>
      </c>
      <c r="J49">
        <f t="shared" si="1"/>
        <v>66420.953325327922</v>
      </c>
      <c r="K49">
        <f t="shared" si="2"/>
        <v>66406.897470029435</v>
      </c>
      <c r="L49">
        <f t="shared" si="9"/>
        <v>66406.897470029435</v>
      </c>
      <c r="M49">
        <f t="shared" si="3"/>
        <v>0</v>
      </c>
      <c r="N49" s="30">
        <f t="shared" si="10"/>
        <v>66406.897470029435</v>
      </c>
      <c r="O49" s="30">
        <f t="shared" si="4"/>
        <v>66405.053864680216</v>
      </c>
      <c r="P49" s="30">
        <f t="shared" si="11"/>
        <v>66405.053864680216</v>
      </c>
      <c r="Q49">
        <f t="shared" si="12"/>
        <v>0</v>
      </c>
      <c r="R49" s="30">
        <f t="shared" si="13"/>
        <v>66405.053864680216</v>
      </c>
      <c r="S49" s="30">
        <f t="shared" si="5"/>
        <v>66405.053864680202</v>
      </c>
      <c r="T49" s="30">
        <f t="shared" si="14"/>
        <v>66405.053864680202</v>
      </c>
      <c r="U49">
        <f t="shared" si="15"/>
        <v>0</v>
      </c>
      <c r="V49" s="30">
        <f t="shared" si="16"/>
        <v>66405.053864680202</v>
      </c>
      <c r="W49" s="30">
        <f t="shared" si="6"/>
        <v>66405.053864680202</v>
      </c>
      <c r="X49" s="30">
        <f t="shared" si="17"/>
        <v>66405.053864680202</v>
      </c>
      <c r="Y49">
        <f t="shared" si="18"/>
        <v>0</v>
      </c>
    </row>
    <row r="50" spans="1:25" x14ac:dyDescent="0.25">
      <c r="A50" s="4" t="s">
        <v>754</v>
      </c>
      <c r="B50" s="7" t="s">
        <v>115</v>
      </c>
      <c r="C50" s="2" t="s">
        <v>755</v>
      </c>
      <c r="D50">
        <f>VLOOKUP(B50,'Model allocations'!$A$1:$L$319,5,FALSE)</f>
        <v>18850.773605285271</v>
      </c>
      <c r="E50" s="32">
        <f>VLOOKUP(B50,'Initial adjusted formula count'!$A$1:$P$319,12,FALSE)</f>
        <v>0.10885608856088599</v>
      </c>
      <c r="F50">
        <f>VLOOKUP(B50,'Model allocations'!$A$1:$L$319,10,FALSE)</f>
        <v>24289.996158278649</v>
      </c>
      <c r="G50" s="31">
        <f t="shared" si="7"/>
        <v>0.85</v>
      </c>
      <c r="H50">
        <f t="shared" si="8"/>
        <v>16023.15756449248</v>
      </c>
      <c r="I50">
        <f t="shared" si="0"/>
        <v>0</v>
      </c>
      <c r="J50">
        <f t="shared" si="1"/>
        <v>24289.996158278649</v>
      </c>
      <c r="K50">
        <f t="shared" si="2"/>
        <v>24284.855962992242</v>
      </c>
      <c r="L50">
        <f t="shared" si="9"/>
        <v>24284.855962992242</v>
      </c>
      <c r="M50">
        <f t="shared" si="3"/>
        <v>0</v>
      </c>
      <c r="N50" s="30">
        <f t="shared" si="10"/>
        <v>24284.855962992242</v>
      </c>
      <c r="O50" s="30">
        <f t="shared" si="4"/>
        <v>24284.181760581589</v>
      </c>
      <c r="P50" s="30">
        <f t="shared" si="11"/>
        <v>24284.181760581589</v>
      </c>
      <c r="Q50">
        <f t="shared" si="12"/>
        <v>0</v>
      </c>
      <c r="R50" s="30">
        <f t="shared" si="13"/>
        <v>24284.181760581589</v>
      </c>
      <c r="S50" s="30">
        <f t="shared" si="5"/>
        <v>24284.181760581585</v>
      </c>
      <c r="T50" s="30">
        <f t="shared" si="14"/>
        <v>24284.181760581585</v>
      </c>
      <c r="U50">
        <f t="shared" si="15"/>
        <v>0</v>
      </c>
      <c r="V50" s="30">
        <f t="shared" si="16"/>
        <v>24284.181760581585</v>
      </c>
      <c r="W50" s="30">
        <f t="shared" si="6"/>
        <v>24284.181760581589</v>
      </c>
      <c r="X50" s="30">
        <f t="shared" si="17"/>
        <v>24284.181760581589</v>
      </c>
      <c r="Y50">
        <f t="shared" si="18"/>
        <v>0</v>
      </c>
    </row>
    <row r="51" spans="1:25" x14ac:dyDescent="0.25">
      <c r="A51" s="4" t="s">
        <v>756</v>
      </c>
      <c r="B51" s="7" t="s">
        <v>117</v>
      </c>
      <c r="C51" s="2" t="s">
        <v>757</v>
      </c>
      <c r="D51">
        <f>VLOOKUP(B51,'Model allocations'!$A$1:$L$319,5,FALSE)</f>
        <v>11389.009053193176</v>
      </c>
      <c r="E51" s="32">
        <f>VLOOKUP(B51,'Initial adjusted formula count'!$A$1:$P$319,12,FALSE)</f>
        <v>0.158730158730159</v>
      </c>
      <c r="F51">
        <f>VLOOKUP(B51,'Model allocations'!$A$1:$L$319,10,FALSE)</f>
        <v>20869.73826702543</v>
      </c>
      <c r="G51" s="31">
        <f t="shared" si="7"/>
        <v>0.9</v>
      </c>
      <c r="H51">
        <f t="shared" si="8"/>
        <v>10250.10814787386</v>
      </c>
      <c r="I51">
        <f t="shared" si="0"/>
        <v>0</v>
      </c>
      <c r="J51">
        <f t="shared" si="1"/>
        <v>20869.73826702543</v>
      </c>
      <c r="K51">
        <f t="shared" si="2"/>
        <v>20865.32185915242</v>
      </c>
      <c r="L51">
        <f t="shared" si="9"/>
        <v>20865.32185915242</v>
      </c>
      <c r="M51">
        <f t="shared" si="3"/>
        <v>0</v>
      </c>
      <c r="N51" s="30">
        <f t="shared" si="10"/>
        <v>20865.32185915242</v>
      </c>
      <c r="O51" s="30">
        <f t="shared" si="4"/>
        <v>20864.74259072612</v>
      </c>
      <c r="P51" s="30">
        <f t="shared" si="11"/>
        <v>20864.74259072612</v>
      </c>
      <c r="Q51">
        <f t="shared" si="12"/>
        <v>0</v>
      </c>
      <c r="R51" s="30">
        <f t="shared" si="13"/>
        <v>20864.74259072612</v>
      </c>
      <c r="S51" s="30">
        <f t="shared" si="5"/>
        <v>20864.742590726113</v>
      </c>
      <c r="T51" s="30">
        <f t="shared" si="14"/>
        <v>20864.742590726113</v>
      </c>
      <c r="U51">
        <f t="shared" si="15"/>
        <v>0</v>
      </c>
      <c r="V51" s="30">
        <f t="shared" si="16"/>
        <v>20864.742590726113</v>
      </c>
      <c r="W51" s="30">
        <f t="shared" si="6"/>
        <v>20864.742590726113</v>
      </c>
      <c r="X51" s="30">
        <f t="shared" si="17"/>
        <v>20864.742590726113</v>
      </c>
      <c r="Y51">
        <f t="shared" si="18"/>
        <v>0</v>
      </c>
    </row>
    <row r="52" spans="1:25" x14ac:dyDescent="0.25">
      <c r="A52" s="4" t="s">
        <v>758</v>
      </c>
      <c r="B52" s="7" t="s">
        <v>362</v>
      </c>
      <c r="C52" s="2" t="s">
        <v>759</v>
      </c>
      <c r="D52">
        <f>VLOOKUP(B52,'Model allocations'!$A$1:$L$319,5,FALSE)</f>
        <v>15786.757398250948</v>
      </c>
      <c r="E52" s="32">
        <f>VLOOKUP(B52,'Initial adjusted formula count'!$A$1:$P$319,12,FALSE)</f>
        <v>0.16194331983805699</v>
      </c>
      <c r="F52">
        <f>VLOOKUP(B52,'Model allocations'!$A$1:$L$319,10,FALSE)</f>
        <v>16936.323329814823</v>
      </c>
      <c r="G52" s="31">
        <f t="shared" si="7"/>
        <v>0.9</v>
      </c>
      <c r="H52">
        <f t="shared" si="8"/>
        <v>14208.081658425854</v>
      </c>
      <c r="I52">
        <f t="shared" si="0"/>
        <v>0</v>
      </c>
      <c r="J52">
        <f t="shared" si="1"/>
        <v>16936.323329814823</v>
      </c>
      <c r="K52">
        <f t="shared" si="2"/>
        <v>16932.739302514787</v>
      </c>
      <c r="L52">
        <f t="shared" si="9"/>
        <v>16932.739302514787</v>
      </c>
      <c r="M52">
        <f t="shared" si="3"/>
        <v>0</v>
      </c>
      <c r="N52" s="30">
        <f t="shared" si="10"/>
        <v>16932.739302514787</v>
      </c>
      <c r="O52" s="30">
        <f t="shared" si="4"/>
        <v>16932.269211455809</v>
      </c>
      <c r="P52" s="30">
        <f t="shared" si="11"/>
        <v>16932.269211455809</v>
      </c>
      <c r="Q52">
        <f t="shared" si="12"/>
        <v>0</v>
      </c>
      <c r="R52" s="30">
        <f t="shared" si="13"/>
        <v>16932.269211455809</v>
      </c>
      <c r="S52" s="30">
        <f t="shared" si="5"/>
        <v>16932.269211455805</v>
      </c>
      <c r="T52" s="30">
        <f t="shared" si="14"/>
        <v>16932.269211455805</v>
      </c>
      <c r="U52">
        <f t="shared" si="15"/>
        <v>0</v>
      </c>
      <c r="V52" s="30">
        <f t="shared" si="16"/>
        <v>16932.269211455805</v>
      </c>
      <c r="W52" s="30">
        <f t="shared" si="6"/>
        <v>16932.269211455805</v>
      </c>
      <c r="X52" s="30">
        <f t="shared" si="17"/>
        <v>16932.269211455805</v>
      </c>
      <c r="Y52">
        <f t="shared" si="18"/>
        <v>0</v>
      </c>
    </row>
    <row r="53" spans="1:25" x14ac:dyDescent="0.25">
      <c r="A53" s="4" t="s">
        <v>760</v>
      </c>
      <c r="B53" s="7" t="s">
        <v>364</v>
      </c>
      <c r="C53" s="2" t="s">
        <v>761</v>
      </c>
      <c r="D53">
        <f>VLOOKUP(B53,'Model allocations'!$A$1:$L$319,5,FALSE)</f>
        <v>48305.10736354348</v>
      </c>
      <c r="E53" s="32">
        <f>VLOOKUP(B53,'Initial adjusted formula count'!$A$1:$P$319,12,FALSE)</f>
        <v>8.7751371115173699E-2</v>
      </c>
      <c r="F53">
        <f>VLOOKUP(B53,'Model allocations'!$A$1:$L$319,10,FALSE)</f>
        <v>41059.341259011955</v>
      </c>
      <c r="G53" s="31">
        <f t="shared" si="7"/>
        <v>0.85</v>
      </c>
      <c r="H53">
        <f t="shared" si="8"/>
        <v>41059.341259011955</v>
      </c>
      <c r="I53">
        <f t="shared" si="0"/>
        <v>0</v>
      </c>
      <c r="J53">
        <f t="shared" si="1"/>
        <v>41059.341259011955</v>
      </c>
      <c r="K53">
        <f t="shared" si="2"/>
        <v>41050.652371989192</v>
      </c>
      <c r="L53">
        <f t="shared" si="9"/>
        <v>41050.652371989192</v>
      </c>
      <c r="M53">
        <f t="shared" si="3"/>
        <v>41059.341259011955</v>
      </c>
      <c r="N53" s="30">
        <f t="shared" si="10"/>
        <v>0</v>
      </c>
      <c r="O53" s="30">
        <f t="shared" si="4"/>
        <v>0</v>
      </c>
      <c r="P53" s="30">
        <f t="shared" si="11"/>
        <v>41059.341259011955</v>
      </c>
      <c r="Q53">
        <f t="shared" si="12"/>
        <v>0</v>
      </c>
      <c r="R53" s="30">
        <f t="shared" si="13"/>
        <v>0</v>
      </c>
      <c r="S53" s="30">
        <f t="shared" si="5"/>
        <v>0</v>
      </c>
      <c r="T53" s="30">
        <f t="shared" si="14"/>
        <v>41059.341259011955</v>
      </c>
      <c r="U53">
        <f t="shared" si="15"/>
        <v>0</v>
      </c>
      <c r="V53" s="30">
        <f t="shared" si="16"/>
        <v>0</v>
      </c>
      <c r="W53" s="30">
        <f t="shared" si="6"/>
        <v>0</v>
      </c>
      <c r="X53" s="30">
        <f t="shared" si="17"/>
        <v>41059.341259011955</v>
      </c>
      <c r="Y53">
        <f t="shared" si="18"/>
        <v>0</v>
      </c>
    </row>
    <row r="54" spans="1:25" x14ac:dyDescent="0.25">
      <c r="A54" s="4" t="s">
        <v>762</v>
      </c>
      <c r="B54" s="7" t="s">
        <v>366</v>
      </c>
      <c r="C54" s="2" t="s">
        <v>763</v>
      </c>
      <c r="D54">
        <f>VLOOKUP(B54,'Model allocations'!$A$1:$L$319,5,FALSE)</f>
        <v>23043.358272422163</v>
      </c>
      <c r="E54" s="32">
        <f>VLOOKUP(B54,'Initial adjusted formula count'!$A$1:$P$319,12,FALSE)</f>
        <v>0.20579710144927499</v>
      </c>
      <c r="F54">
        <f>VLOOKUP(B54,'Model allocations'!$A$1:$L$319,10,FALSE)</f>
        <v>34556.327712515151</v>
      </c>
      <c r="G54" s="31">
        <f t="shared" si="7"/>
        <v>0.9</v>
      </c>
      <c r="H54">
        <f t="shared" si="8"/>
        <v>20739.022445179948</v>
      </c>
      <c r="I54">
        <f t="shared" si="0"/>
        <v>0</v>
      </c>
      <c r="J54">
        <f t="shared" si="1"/>
        <v>34556.327712515151</v>
      </c>
      <c r="K54">
        <f t="shared" si="2"/>
        <v>34549.014978842162</v>
      </c>
      <c r="L54">
        <f t="shared" si="9"/>
        <v>34549.014978842162</v>
      </c>
      <c r="M54">
        <f t="shared" si="3"/>
        <v>0</v>
      </c>
      <c r="N54" s="30">
        <f t="shared" si="10"/>
        <v>34549.014978842162</v>
      </c>
      <c r="O54" s="30">
        <f t="shared" si="4"/>
        <v>34548.055820211783</v>
      </c>
      <c r="P54" s="30">
        <f t="shared" si="11"/>
        <v>34548.055820211783</v>
      </c>
      <c r="Q54">
        <f t="shared" si="12"/>
        <v>0</v>
      </c>
      <c r="R54" s="30">
        <f t="shared" si="13"/>
        <v>34548.055820211783</v>
      </c>
      <c r="S54" s="30">
        <f t="shared" si="5"/>
        <v>34548.055820211775</v>
      </c>
      <c r="T54" s="30">
        <f t="shared" si="14"/>
        <v>34548.055820211775</v>
      </c>
      <c r="U54">
        <f t="shared" si="15"/>
        <v>0</v>
      </c>
      <c r="V54" s="30">
        <f t="shared" si="16"/>
        <v>34548.055820211775</v>
      </c>
      <c r="W54" s="30">
        <f t="shared" si="6"/>
        <v>34548.055820211783</v>
      </c>
      <c r="X54" s="30">
        <f t="shared" si="17"/>
        <v>34548.055820211783</v>
      </c>
      <c r="Y54">
        <f t="shared" si="18"/>
        <v>0</v>
      </c>
    </row>
    <row r="55" spans="1:25" x14ac:dyDescent="0.25">
      <c r="A55" s="8" t="s">
        <v>764</v>
      </c>
      <c r="B55" s="7" t="s">
        <v>368</v>
      </c>
      <c r="C55" s="2" t="s">
        <v>765</v>
      </c>
      <c r="D55">
        <f>VLOOKUP(B55,'Model allocations'!$A$1:$L$319,5,FALSE)</f>
        <v>8010.204246670849</v>
      </c>
      <c r="E55" s="32">
        <f>VLOOKUP(B55,'Initial adjusted formula count'!$A$1:$P$319,12,FALSE)</f>
        <v>0.114035087719298</v>
      </c>
      <c r="F55">
        <f>VLOOKUP(B55,'Model allocations'!$A$1:$L$319,10,FALSE)</f>
        <v>6808.6736096702216</v>
      </c>
      <c r="G55" s="31">
        <f t="shared" si="7"/>
        <v>0.85</v>
      </c>
      <c r="H55">
        <f t="shared" si="8"/>
        <v>6808.6736096702216</v>
      </c>
      <c r="I55">
        <f t="shared" si="0"/>
        <v>0</v>
      </c>
      <c r="J55">
        <f t="shared" si="1"/>
        <v>6808.6736096702216</v>
      </c>
      <c r="K55">
        <f t="shared" si="2"/>
        <v>6807.2327732136373</v>
      </c>
      <c r="L55">
        <f t="shared" si="9"/>
        <v>6807.2327732136373</v>
      </c>
      <c r="M55">
        <f t="shared" si="3"/>
        <v>6808.6736096702216</v>
      </c>
      <c r="N55" s="30">
        <f t="shared" si="10"/>
        <v>0</v>
      </c>
      <c r="O55" s="30">
        <f t="shared" si="4"/>
        <v>0</v>
      </c>
      <c r="P55" s="30">
        <f t="shared" si="11"/>
        <v>6808.6736096702216</v>
      </c>
      <c r="Q55">
        <f t="shared" si="12"/>
        <v>0</v>
      </c>
      <c r="R55" s="30">
        <f t="shared" si="13"/>
        <v>0</v>
      </c>
      <c r="S55" s="30">
        <f t="shared" si="5"/>
        <v>0</v>
      </c>
      <c r="T55" s="30">
        <f t="shared" si="14"/>
        <v>6808.6736096702216</v>
      </c>
      <c r="U55">
        <f t="shared" si="15"/>
        <v>0</v>
      </c>
      <c r="V55" s="30">
        <f t="shared" si="16"/>
        <v>0</v>
      </c>
      <c r="W55" s="30">
        <f t="shared" si="6"/>
        <v>0</v>
      </c>
      <c r="X55" s="30">
        <f t="shared" si="17"/>
        <v>6808.6736096702216</v>
      </c>
      <c r="Y55">
        <f t="shared" si="18"/>
        <v>0</v>
      </c>
    </row>
    <row r="56" spans="1:25" x14ac:dyDescent="0.25">
      <c r="A56" s="4" t="s">
        <v>766</v>
      </c>
      <c r="B56" s="7" t="s">
        <v>370</v>
      </c>
      <c r="C56" s="2" t="s">
        <v>767</v>
      </c>
      <c r="D56">
        <f>VLOOKUP(B56,'Model allocations'!$A$1:$L$319,5,FALSE)</f>
        <v>35223.643058884409</v>
      </c>
      <c r="E56" s="32">
        <f>VLOOKUP(B56,'Initial adjusted formula count'!$A$1:$P$319,12,FALSE)</f>
        <v>0.259493670886076</v>
      </c>
      <c r="F56">
        <f>VLOOKUP(B56,'Model allocations'!$A$1:$L$319,10,FALSE)</f>
        <v>31701.278752995968</v>
      </c>
      <c r="G56" s="31">
        <f t="shared" si="7"/>
        <v>0.9</v>
      </c>
      <c r="H56">
        <f t="shared" si="8"/>
        <v>31701.278752995968</v>
      </c>
      <c r="I56">
        <f t="shared" si="0"/>
        <v>0</v>
      </c>
      <c r="J56">
        <f t="shared" si="1"/>
        <v>31701.278752995968</v>
      </c>
      <c r="K56">
        <f t="shared" si="2"/>
        <v>31694.570198471814</v>
      </c>
      <c r="L56">
        <f t="shared" si="9"/>
        <v>31694.570198471814</v>
      </c>
      <c r="M56">
        <f t="shared" si="3"/>
        <v>31701.278752995968</v>
      </c>
      <c r="N56" s="30">
        <f t="shared" si="10"/>
        <v>0</v>
      </c>
      <c r="O56" s="30">
        <f t="shared" si="4"/>
        <v>0</v>
      </c>
      <c r="P56" s="30">
        <f t="shared" si="11"/>
        <v>31701.278752995968</v>
      </c>
      <c r="Q56">
        <f t="shared" si="12"/>
        <v>0</v>
      </c>
      <c r="R56" s="30">
        <f t="shared" si="13"/>
        <v>0</v>
      </c>
      <c r="S56" s="30">
        <f t="shared" si="5"/>
        <v>0</v>
      </c>
      <c r="T56" s="30">
        <f t="shared" si="14"/>
        <v>31701.278752995968</v>
      </c>
      <c r="U56">
        <f t="shared" si="15"/>
        <v>0</v>
      </c>
      <c r="V56" s="30">
        <f t="shared" si="16"/>
        <v>0</v>
      </c>
      <c r="W56" s="30">
        <f t="shared" si="6"/>
        <v>0</v>
      </c>
      <c r="X56" s="30">
        <f t="shared" si="17"/>
        <v>31701.278752995968</v>
      </c>
      <c r="Y56">
        <f t="shared" si="18"/>
        <v>0</v>
      </c>
    </row>
    <row r="57" spans="1:25" x14ac:dyDescent="0.25">
      <c r="A57" s="4" t="s">
        <v>768</v>
      </c>
      <c r="B57" s="7" t="s">
        <v>372</v>
      </c>
      <c r="C57" s="2" t="s">
        <v>769</v>
      </c>
      <c r="D57">
        <f>VLOOKUP(B57,'Model allocations'!$A$1:$L$319,5,FALSE)</f>
        <v>62829.728600974879</v>
      </c>
      <c r="E57" s="32">
        <f>VLOOKUP(B57,'Initial adjusted formula count'!$A$1:$P$319,12,FALSE)</f>
        <v>0.237341772151899</v>
      </c>
      <c r="F57">
        <f>VLOOKUP(B57,'Model allocations'!$A$1:$L$319,10,FALSE)</f>
        <v>56546.755740877394</v>
      </c>
      <c r="G57" s="31">
        <f t="shared" si="7"/>
        <v>0.9</v>
      </c>
      <c r="H57">
        <f t="shared" si="8"/>
        <v>56546.755740877394</v>
      </c>
      <c r="I57">
        <f t="shared" si="0"/>
        <v>0</v>
      </c>
      <c r="J57">
        <f t="shared" si="1"/>
        <v>56546.755740877394</v>
      </c>
      <c r="K57">
        <f t="shared" si="2"/>
        <v>56534.789441441731</v>
      </c>
      <c r="L57">
        <f t="shared" si="9"/>
        <v>56534.789441441731</v>
      </c>
      <c r="M57">
        <f t="shared" si="3"/>
        <v>56546.755740877394</v>
      </c>
      <c r="N57" s="30">
        <f t="shared" si="10"/>
        <v>0</v>
      </c>
      <c r="O57" s="30">
        <f t="shared" si="4"/>
        <v>0</v>
      </c>
      <c r="P57" s="30">
        <f t="shared" si="11"/>
        <v>56546.755740877394</v>
      </c>
      <c r="Q57">
        <f t="shared" si="12"/>
        <v>0</v>
      </c>
      <c r="R57" s="30">
        <f t="shared" si="13"/>
        <v>0</v>
      </c>
      <c r="S57" s="30">
        <f t="shared" si="5"/>
        <v>0</v>
      </c>
      <c r="T57" s="30">
        <f t="shared" si="14"/>
        <v>56546.755740877394</v>
      </c>
      <c r="U57">
        <f t="shared" si="15"/>
        <v>0</v>
      </c>
      <c r="V57" s="30">
        <f t="shared" si="16"/>
        <v>0</v>
      </c>
      <c r="W57" s="30">
        <f t="shared" si="6"/>
        <v>0</v>
      </c>
      <c r="X57" s="30">
        <f t="shared" si="17"/>
        <v>56546.755740877394</v>
      </c>
      <c r="Y57">
        <f t="shared" si="18"/>
        <v>0</v>
      </c>
    </row>
    <row r="58" spans="1:25" x14ac:dyDescent="0.25">
      <c r="A58" s="4" t="s">
        <v>770</v>
      </c>
      <c r="B58" s="7" t="s">
        <v>119</v>
      </c>
      <c r="C58" s="2" t="s">
        <v>771</v>
      </c>
      <c r="D58">
        <f>VLOOKUP(B58,'Model allocations'!$A$1:$L$319,5,FALSE)</f>
        <v>0</v>
      </c>
      <c r="E58" s="32">
        <f>VLOOKUP(B58,'Initial adjusted formula count'!$A$1:$P$319,12,FALSE)</f>
        <v>1.8018018018018001E-2</v>
      </c>
      <c r="F58">
        <f>VLOOKUP(B58,'Model allocations'!$A$1:$L$319,10,FALSE)</f>
        <v>0</v>
      </c>
      <c r="G58" s="31">
        <f t="shared" si="7"/>
        <v>0.85</v>
      </c>
      <c r="H58">
        <f t="shared" si="8"/>
        <v>0</v>
      </c>
      <c r="I58">
        <f t="shared" si="0"/>
        <v>0</v>
      </c>
      <c r="J58">
        <f t="shared" si="1"/>
        <v>0</v>
      </c>
      <c r="K58">
        <f t="shared" si="2"/>
        <v>0</v>
      </c>
      <c r="L58">
        <f t="shared" si="9"/>
        <v>0</v>
      </c>
      <c r="M58">
        <f t="shared" si="3"/>
        <v>0</v>
      </c>
      <c r="N58" s="30">
        <f t="shared" si="10"/>
        <v>0</v>
      </c>
      <c r="O58" s="30">
        <f t="shared" si="4"/>
        <v>0</v>
      </c>
      <c r="P58" s="30">
        <f t="shared" si="11"/>
        <v>0</v>
      </c>
      <c r="Q58">
        <f t="shared" si="12"/>
        <v>0</v>
      </c>
      <c r="R58" s="30">
        <f t="shared" si="13"/>
        <v>0</v>
      </c>
      <c r="S58" s="30">
        <f t="shared" si="5"/>
        <v>0</v>
      </c>
      <c r="T58" s="30">
        <f t="shared" si="14"/>
        <v>0</v>
      </c>
      <c r="U58">
        <f t="shared" si="15"/>
        <v>0</v>
      </c>
      <c r="V58" s="30">
        <f t="shared" si="16"/>
        <v>0</v>
      </c>
      <c r="W58" s="30">
        <f t="shared" si="6"/>
        <v>0</v>
      </c>
      <c r="X58" s="30">
        <f t="shared" si="17"/>
        <v>0</v>
      </c>
      <c r="Y58">
        <f t="shared" si="18"/>
        <v>0</v>
      </c>
    </row>
    <row r="59" spans="1:25" x14ac:dyDescent="0.25">
      <c r="A59" s="4" t="s">
        <v>772</v>
      </c>
      <c r="B59" s="7" t="s">
        <v>276</v>
      </c>
      <c r="C59" s="2" t="s">
        <v>773</v>
      </c>
      <c r="D59">
        <f>VLOOKUP(B59,'Model allocations'!$A$1:$L$319,5,FALSE)</f>
        <v>33639.401860856597</v>
      </c>
      <c r="E59" s="32">
        <f>VLOOKUP(B59,'Initial adjusted formula count'!$A$1:$P$319,12,FALSE)</f>
        <v>0.12896825396825401</v>
      </c>
      <c r="F59">
        <f>VLOOKUP(B59,'Model allocations'!$A$1:$L$319,10,FALSE)</f>
        <v>28593.491581728107</v>
      </c>
      <c r="G59" s="31">
        <f t="shared" si="7"/>
        <v>0.85</v>
      </c>
      <c r="H59">
        <f t="shared" si="8"/>
        <v>28593.491581728107</v>
      </c>
      <c r="I59">
        <f t="shared" si="0"/>
        <v>0</v>
      </c>
      <c r="J59">
        <f t="shared" si="1"/>
        <v>28593.491581728107</v>
      </c>
      <c r="K59">
        <f t="shared" si="2"/>
        <v>28587.440690254403</v>
      </c>
      <c r="L59">
        <f t="shared" si="9"/>
        <v>28587.440690254403</v>
      </c>
      <c r="M59">
        <f t="shared" si="3"/>
        <v>28593.491581728107</v>
      </c>
      <c r="N59" s="30">
        <f t="shared" si="10"/>
        <v>0</v>
      </c>
      <c r="O59" s="30">
        <f t="shared" si="4"/>
        <v>0</v>
      </c>
      <c r="P59" s="30">
        <f t="shared" si="11"/>
        <v>28593.491581728107</v>
      </c>
      <c r="Q59">
        <f t="shared" si="12"/>
        <v>0</v>
      </c>
      <c r="R59" s="30">
        <f t="shared" si="13"/>
        <v>0</v>
      </c>
      <c r="S59" s="30">
        <f t="shared" si="5"/>
        <v>0</v>
      </c>
      <c r="T59" s="30">
        <f t="shared" si="14"/>
        <v>28593.491581728107</v>
      </c>
      <c r="U59">
        <f t="shared" si="15"/>
        <v>0</v>
      </c>
      <c r="V59" s="30">
        <f t="shared" si="16"/>
        <v>0</v>
      </c>
      <c r="W59" s="30">
        <f t="shared" si="6"/>
        <v>0</v>
      </c>
      <c r="X59" s="30">
        <f t="shared" si="17"/>
        <v>28593.491581728107</v>
      </c>
      <c r="Y59">
        <f t="shared" si="18"/>
        <v>0</v>
      </c>
    </row>
    <row r="60" spans="1:25" x14ac:dyDescent="0.25">
      <c r="A60" s="4" t="s">
        <v>774</v>
      </c>
      <c r="B60" s="7" t="s">
        <v>374</v>
      </c>
      <c r="C60" s="2" t="s">
        <v>775</v>
      </c>
      <c r="D60">
        <f>VLOOKUP(B60,'Model allocations'!$A$1:$L$319,5,FALSE)</f>
        <v>33476.080885293435</v>
      </c>
      <c r="E60" s="32">
        <f>VLOOKUP(B60,'Initial adjusted formula count'!$A$1:$P$319,12,FALSE)</f>
        <v>0.13775510204081601</v>
      </c>
      <c r="F60">
        <f>VLOOKUP(B60,'Model allocations'!$A$1:$L$319,10,FALSE)</f>
        <v>33347.282861365587</v>
      </c>
      <c r="G60" s="31">
        <f t="shared" si="7"/>
        <v>0.85</v>
      </c>
      <c r="H60">
        <f t="shared" si="8"/>
        <v>28454.668752499419</v>
      </c>
      <c r="I60">
        <f t="shared" si="0"/>
        <v>0</v>
      </c>
      <c r="J60">
        <f t="shared" si="1"/>
        <v>33347.282861365587</v>
      </c>
      <c r="K60">
        <f t="shared" si="2"/>
        <v>33340.225983091026</v>
      </c>
      <c r="L60">
        <f t="shared" si="9"/>
        <v>33340.225983091026</v>
      </c>
      <c r="M60">
        <f t="shared" si="3"/>
        <v>0</v>
      </c>
      <c r="N60" s="30">
        <f t="shared" si="10"/>
        <v>33340.225983091026</v>
      </c>
      <c r="O60" s="30">
        <f t="shared" si="4"/>
        <v>33339.300383171314</v>
      </c>
      <c r="P60" s="30">
        <f t="shared" si="11"/>
        <v>33339.300383171314</v>
      </c>
      <c r="Q60">
        <f t="shared" si="12"/>
        <v>0</v>
      </c>
      <c r="R60" s="30">
        <f t="shared" si="13"/>
        <v>33339.300383171314</v>
      </c>
      <c r="S60" s="30">
        <f t="shared" si="5"/>
        <v>33339.300383171307</v>
      </c>
      <c r="T60" s="30">
        <f t="shared" si="14"/>
        <v>33339.300383171307</v>
      </c>
      <c r="U60">
        <f t="shared" si="15"/>
        <v>0</v>
      </c>
      <c r="V60" s="30">
        <f t="shared" si="16"/>
        <v>33339.300383171307</v>
      </c>
      <c r="W60" s="30">
        <f t="shared" si="6"/>
        <v>33339.300383171314</v>
      </c>
      <c r="X60" s="30">
        <f t="shared" si="17"/>
        <v>33339.300383171314</v>
      </c>
      <c r="Y60">
        <f t="shared" si="18"/>
        <v>0</v>
      </c>
    </row>
    <row r="61" spans="1:25" x14ac:dyDescent="0.25">
      <c r="A61" s="4" t="s">
        <v>776</v>
      </c>
      <c r="B61" s="7" t="s">
        <v>376</v>
      </c>
      <c r="C61" s="2" t="s">
        <v>777</v>
      </c>
      <c r="D61">
        <f>VLOOKUP(B61,'Model allocations'!$A$1:$L$319,5,FALSE)</f>
        <v>45321.874259394557</v>
      </c>
      <c r="E61" s="32">
        <f>VLOOKUP(B61,'Initial adjusted formula count'!$A$1:$P$319,12,FALSE)</f>
        <v>0.15049504950494999</v>
      </c>
      <c r="F61">
        <f>VLOOKUP(B61,'Model allocations'!$A$1:$L$319,10,FALSE)</f>
        <v>40789.686833455104</v>
      </c>
      <c r="G61" s="31">
        <f t="shared" si="7"/>
        <v>0.9</v>
      </c>
      <c r="H61">
        <f t="shared" si="8"/>
        <v>40789.686833455104</v>
      </c>
      <c r="I61">
        <f t="shared" si="0"/>
        <v>0</v>
      </c>
      <c r="J61">
        <f t="shared" si="1"/>
        <v>40789.686833455104</v>
      </c>
      <c r="K61">
        <f t="shared" si="2"/>
        <v>40781.055010105716</v>
      </c>
      <c r="L61">
        <f t="shared" si="9"/>
        <v>40781.055010105716</v>
      </c>
      <c r="M61">
        <f t="shared" si="3"/>
        <v>40789.686833455104</v>
      </c>
      <c r="N61" s="30">
        <f t="shared" si="10"/>
        <v>0</v>
      </c>
      <c r="O61" s="30">
        <f t="shared" si="4"/>
        <v>0</v>
      </c>
      <c r="P61" s="30">
        <f t="shared" si="11"/>
        <v>40789.686833455104</v>
      </c>
      <c r="Q61">
        <f t="shared" si="12"/>
        <v>0</v>
      </c>
      <c r="R61" s="30">
        <f t="shared" si="13"/>
        <v>0</v>
      </c>
      <c r="S61" s="30">
        <f t="shared" si="5"/>
        <v>0</v>
      </c>
      <c r="T61" s="30">
        <f t="shared" si="14"/>
        <v>40789.686833455104</v>
      </c>
      <c r="U61">
        <f t="shared" si="15"/>
        <v>0</v>
      </c>
      <c r="V61" s="30">
        <f t="shared" si="16"/>
        <v>0</v>
      </c>
      <c r="W61" s="30">
        <f t="shared" si="6"/>
        <v>0</v>
      </c>
      <c r="X61" s="30">
        <f t="shared" si="17"/>
        <v>40789.686833455104</v>
      </c>
      <c r="Y61">
        <f t="shared" si="18"/>
        <v>0</v>
      </c>
    </row>
    <row r="62" spans="1:25" x14ac:dyDescent="0.25">
      <c r="A62" s="4" t="s">
        <v>778</v>
      </c>
      <c r="B62" s="7" t="s">
        <v>378</v>
      </c>
      <c r="C62" s="2" t="s">
        <v>779</v>
      </c>
      <c r="D62">
        <f>VLOOKUP(B62,'Model allocations'!$A$1:$L$319,5,FALSE)</f>
        <v>140595.35313941923</v>
      </c>
      <c r="E62" s="32">
        <f>VLOOKUP(B62,'Initial adjusted formula count'!$A$1:$P$319,12,FALSE)</f>
        <v>0.143942591810891</v>
      </c>
      <c r="F62">
        <f>VLOOKUP(B62,'Model allocations'!$A$1:$L$319,10,FALSE)</f>
        <v>140387.94389784773</v>
      </c>
      <c r="G62" s="31">
        <f t="shared" si="7"/>
        <v>0.85</v>
      </c>
      <c r="H62">
        <f t="shared" si="8"/>
        <v>119506.05016850634</v>
      </c>
      <c r="I62">
        <f t="shared" si="0"/>
        <v>0</v>
      </c>
      <c r="J62">
        <f t="shared" si="1"/>
        <v>140387.94389784773</v>
      </c>
      <c r="K62">
        <f t="shared" si="2"/>
        <v>140358.23531153137</v>
      </c>
      <c r="L62">
        <f t="shared" si="9"/>
        <v>140358.23531153137</v>
      </c>
      <c r="M62">
        <f t="shared" si="3"/>
        <v>0</v>
      </c>
      <c r="N62" s="30">
        <f t="shared" si="10"/>
        <v>140358.23531153137</v>
      </c>
      <c r="O62" s="30">
        <f t="shared" si="4"/>
        <v>140354.33865014097</v>
      </c>
      <c r="P62" s="30">
        <f t="shared" si="11"/>
        <v>140354.33865014097</v>
      </c>
      <c r="Q62">
        <f t="shared" si="12"/>
        <v>0</v>
      </c>
      <c r="R62" s="30">
        <f t="shared" si="13"/>
        <v>140354.33865014097</v>
      </c>
      <c r="S62" s="30">
        <f t="shared" si="5"/>
        <v>140354.33865014094</v>
      </c>
      <c r="T62" s="30">
        <f t="shared" si="14"/>
        <v>140354.33865014094</v>
      </c>
      <c r="U62">
        <f t="shared" si="15"/>
        <v>0</v>
      </c>
      <c r="V62" s="30">
        <f t="shared" si="16"/>
        <v>140354.33865014094</v>
      </c>
      <c r="W62" s="30">
        <f t="shared" si="6"/>
        <v>140354.33865014097</v>
      </c>
      <c r="X62" s="30">
        <f t="shared" si="17"/>
        <v>140354.33865014097</v>
      </c>
      <c r="Y62">
        <f t="shared" si="18"/>
        <v>0</v>
      </c>
    </row>
    <row r="63" spans="1:25" x14ac:dyDescent="0.25">
      <c r="A63" s="4" t="s">
        <v>780</v>
      </c>
      <c r="B63" s="7" t="s">
        <v>278</v>
      </c>
      <c r="C63" s="2" t="s">
        <v>781</v>
      </c>
      <c r="D63">
        <f>VLOOKUP(B63,'Model allocations'!$A$1:$L$319,5,FALSE)</f>
        <v>0</v>
      </c>
      <c r="E63" s="32">
        <f>VLOOKUP(B63,'Initial adjusted formula count'!$A$1:$P$319,12,FALSE)</f>
        <v>4.0439560439560401E-2</v>
      </c>
      <c r="F63">
        <f>VLOOKUP(B63,'Model allocations'!$A$1:$L$319,10,FALSE)</f>
        <v>0</v>
      </c>
      <c r="G63" s="31">
        <f t="shared" si="7"/>
        <v>0.85</v>
      </c>
      <c r="H63">
        <f t="shared" si="8"/>
        <v>0</v>
      </c>
      <c r="I63">
        <f t="shared" si="0"/>
        <v>0</v>
      </c>
      <c r="J63">
        <f t="shared" si="1"/>
        <v>0</v>
      </c>
      <c r="K63">
        <f t="shared" si="2"/>
        <v>0</v>
      </c>
      <c r="L63">
        <f t="shared" si="9"/>
        <v>0</v>
      </c>
      <c r="M63">
        <f t="shared" si="3"/>
        <v>0</v>
      </c>
      <c r="N63" s="30">
        <f t="shared" si="10"/>
        <v>0</v>
      </c>
      <c r="O63" s="30">
        <f t="shared" si="4"/>
        <v>0</v>
      </c>
      <c r="P63" s="30">
        <f t="shared" si="11"/>
        <v>0</v>
      </c>
      <c r="Q63">
        <f t="shared" si="12"/>
        <v>0</v>
      </c>
      <c r="R63" s="30">
        <f t="shared" si="13"/>
        <v>0</v>
      </c>
      <c r="S63" s="30">
        <f t="shared" si="5"/>
        <v>0</v>
      </c>
      <c r="T63" s="30">
        <f t="shared" si="14"/>
        <v>0</v>
      </c>
      <c r="U63">
        <f t="shared" si="15"/>
        <v>0</v>
      </c>
      <c r="V63" s="30">
        <f t="shared" si="16"/>
        <v>0</v>
      </c>
      <c r="W63" s="30">
        <f t="shared" si="6"/>
        <v>0</v>
      </c>
      <c r="X63" s="30">
        <f t="shared" si="17"/>
        <v>0</v>
      </c>
      <c r="Y63">
        <f t="shared" si="18"/>
        <v>0</v>
      </c>
    </row>
    <row r="64" spans="1:25" x14ac:dyDescent="0.25">
      <c r="A64" s="4" t="s">
        <v>782</v>
      </c>
      <c r="B64" s="7" t="s">
        <v>380</v>
      </c>
      <c r="C64" s="2" t="s">
        <v>783</v>
      </c>
      <c r="D64">
        <f>VLOOKUP(B64,'Model allocations'!$A$1:$L$319,5,FALSE)</f>
        <v>3927.244501101095</v>
      </c>
      <c r="E64" s="32">
        <f>VLOOKUP(B64,'Initial adjusted formula count'!$A$1:$P$319,12,FALSE)</f>
        <v>2.7027027027027001E-2</v>
      </c>
      <c r="F64">
        <f>VLOOKUP(B64,'Model allocations'!$A$1:$L$319,10,FALSE)</f>
        <v>0</v>
      </c>
      <c r="G64" s="31">
        <f t="shared" si="7"/>
        <v>0.85</v>
      </c>
      <c r="H64">
        <f t="shared" si="8"/>
        <v>0</v>
      </c>
      <c r="I64">
        <f t="shared" si="0"/>
        <v>0</v>
      </c>
      <c r="J64">
        <f t="shared" si="1"/>
        <v>0</v>
      </c>
      <c r="K64">
        <f t="shared" si="2"/>
        <v>0</v>
      </c>
      <c r="L64">
        <f t="shared" si="9"/>
        <v>0</v>
      </c>
      <c r="M64">
        <f t="shared" si="3"/>
        <v>0</v>
      </c>
      <c r="N64" s="30">
        <f t="shared" si="10"/>
        <v>0</v>
      </c>
      <c r="O64" s="30">
        <f t="shared" si="4"/>
        <v>0</v>
      </c>
      <c r="P64" s="30">
        <f t="shared" si="11"/>
        <v>0</v>
      </c>
      <c r="Q64">
        <f t="shared" si="12"/>
        <v>0</v>
      </c>
      <c r="R64" s="30">
        <f t="shared" si="13"/>
        <v>0</v>
      </c>
      <c r="S64" s="30">
        <f t="shared" si="5"/>
        <v>0</v>
      </c>
      <c r="T64" s="30">
        <f t="shared" si="14"/>
        <v>0</v>
      </c>
      <c r="U64">
        <f t="shared" si="15"/>
        <v>0</v>
      </c>
      <c r="V64" s="30">
        <f t="shared" si="16"/>
        <v>0</v>
      </c>
      <c r="W64" s="30">
        <f t="shared" si="6"/>
        <v>0</v>
      </c>
      <c r="X64" s="30">
        <f t="shared" si="17"/>
        <v>0</v>
      </c>
      <c r="Y64">
        <f t="shared" si="18"/>
        <v>0</v>
      </c>
    </row>
    <row r="65" spans="1:25" x14ac:dyDescent="0.25">
      <c r="A65" s="4" t="s">
        <v>784</v>
      </c>
      <c r="B65" s="7" t="s">
        <v>382</v>
      </c>
      <c r="C65" s="2" t="s">
        <v>785</v>
      </c>
      <c r="D65">
        <f>VLOOKUP(B65,'Model allocations'!$A$1:$L$319,5,FALSE)</f>
        <v>303183.27548500465</v>
      </c>
      <c r="E65" s="32">
        <f>VLOOKUP(B65,'Initial adjusted formula count'!$A$1:$P$319,12,FALSE)</f>
        <v>0.17653344731780299</v>
      </c>
      <c r="F65">
        <f>VLOOKUP(B65,'Model allocations'!$A$1:$L$319,10,FALSE)</f>
        <v>370014.3900630328</v>
      </c>
      <c r="G65" s="31">
        <f t="shared" si="7"/>
        <v>0.9</v>
      </c>
      <c r="H65">
        <f t="shared" si="8"/>
        <v>272864.94793650421</v>
      </c>
      <c r="I65">
        <f t="shared" si="0"/>
        <v>0</v>
      </c>
      <c r="J65">
        <f t="shared" si="1"/>
        <v>370014.3900630328</v>
      </c>
      <c r="K65">
        <f t="shared" si="2"/>
        <v>369936.08843583975</v>
      </c>
      <c r="L65">
        <f t="shared" si="9"/>
        <v>369936.08843583975</v>
      </c>
      <c r="M65">
        <f t="shared" si="3"/>
        <v>0</v>
      </c>
      <c r="N65" s="30">
        <f t="shared" si="10"/>
        <v>369936.08843583975</v>
      </c>
      <c r="O65" s="30">
        <f t="shared" si="4"/>
        <v>369925.81817510637</v>
      </c>
      <c r="P65" s="30">
        <f t="shared" si="11"/>
        <v>369925.81817510637</v>
      </c>
      <c r="Q65">
        <f t="shared" si="12"/>
        <v>0</v>
      </c>
      <c r="R65" s="30">
        <f t="shared" si="13"/>
        <v>369925.81817510637</v>
      </c>
      <c r="S65" s="30">
        <f t="shared" si="5"/>
        <v>369925.81817510631</v>
      </c>
      <c r="T65" s="30">
        <f t="shared" si="14"/>
        <v>369925.81817510631</v>
      </c>
      <c r="U65">
        <f t="shared" si="15"/>
        <v>0</v>
      </c>
      <c r="V65" s="30">
        <f t="shared" si="16"/>
        <v>369925.81817510631</v>
      </c>
      <c r="W65" s="30">
        <f t="shared" si="6"/>
        <v>369925.81817510637</v>
      </c>
      <c r="X65" s="30">
        <f t="shared" si="17"/>
        <v>369925.81817510637</v>
      </c>
      <c r="Y65">
        <f t="shared" si="18"/>
        <v>0</v>
      </c>
    </row>
    <row r="66" spans="1:25" x14ac:dyDescent="0.25">
      <c r="A66" s="4" t="s">
        <v>786</v>
      </c>
      <c r="B66" s="7" t="s">
        <v>384</v>
      </c>
      <c r="C66" s="2" t="s">
        <v>787</v>
      </c>
      <c r="D66">
        <f>VLOOKUP(B66,'Model allocations'!$A$1:$L$319,5,FALSE)</f>
        <v>179475.07370032009</v>
      </c>
      <c r="E66" s="32">
        <f>VLOOKUP(B66,'Initial adjusted formula count'!$A$1:$P$319,12,FALSE)</f>
        <v>0.11726659167604001</v>
      </c>
      <c r="F66">
        <f>VLOOKUP(B66,'Model allocations'!$A$1:$L$319,10,FALSE)</f>
        <v>171676.75250851182</v>
      </c>
      <c r="G66" s="31">
        <f t="shared" si="7"/>
        <v>0.85</v>
      </c>
      <c r="H66">
        <f t="shared" si="8"/>
        <v>152553.81264527206</v>
      </c>
      <c r="I66">
        <f t="shared" si="0"/>
        <v>0</v>
      </c>
      <c r="J66">
        <f t="shared" si="1"/>
        <v>171676.75250851182</v>
      </c>
      <c r="K66">
        <f t="shared" si="2"/>
        <v>171640.42265369091</v>
      </c>
      <c r="L66">
        <f t="shared" si="9"/>
        <v>171640.42265369091</v>
      </c>
      <c r="M66">
        <f t="shared" si="3"/>
        <v>0</v>
      </c>
      <c r="N66" s="30">
        <f t="shared" si="10"/>
        <v>171640.42265369091</v>
      </c>
      <c r="O66" s="30">
        <f t="shared" si="4"/>
        <v>171635.6575281783</v>
      </c>
      <c r="P66" s="30">
        <f t="shared" si="11"/>
        <v>171635.6575281783</v>
      </c>
      <c r="Q66">
        <f t="shared" si="12"/>
        <v>0</v>
      </c>
      <c r="R66" s="30">
        <f t="shared" si="13"/>
        <v>171635.6575281783</v>
      </c>
      <c r="S66" s="30">
        <f t="shared" si="5"/>
        <v>171635.65752817824</v>
      </c>
      <c r="T66" s="30">
        <f t="shared" si="14"/>
        <v>171635.65752817824</v>
      </c>
      <c r="U66">
        <f t="shared" si="15"/>
        <v>0</v>
      </c>
      <c r="V66" s="30">
        <f t="shared" si="16"/>
        <v>171635.65752817824</v>
      </c>
      <c r="W66" s="30">
        <f t="shared" si="6"/>
        <v>171635.65752817824</v>
      </c>
      <c r="X66" s="30">
        <f t="shared" si="17"/>
        <v>171635.65752817824</v>
      </c>
      <c r="Y66">
        <f t="shared" si="18"/>
        <v>0</v>
      </c>
    </row>
    <row r="67" spans="1:25" x14ac:dyDescent="0.25">
      <c r="A67" s="4" t="s">
        <v>788</v>
      </c>
      <c r="B67" s="7" t="s">
        <v>386</v>
      </c>
      <c r="C67" s="2" t="s">
        <v>789</v>
      </c>
      <c r="D67">
        <f>VLOOKUP(B67,'Model allocations'!$A$1:$L$319,5,FALSE)</f>
        <v>267445.35052498465</v>
      </c>
      <c r="E67" s="32">
        <f>VLOOKUP(B67,'Initial adjusted formula count'!$A$1:$P$319,12,FALSE)</f>
        <v>9.6442687747035599E-2</v>
      </c>
      <c r="F67">
        <f>VLOOKUP(B67,'Model allocations'!$A$1:$L$319,10,FALSE)</f>
        <v>251133.85858559282</v>
      </c>
      <c r="G67" s="31">
        <f t="shared" si="7"/>
        <v>0.85</v>
      </c>
      <c r="H67">
        <f t="shared" si="8"/>
        <v>227328.54794623694</v>
      </c>
      <c r="I67">
        <f t="shared" si="0"/>
        <v>0</v>
      </c>
      <c r="J67">
        <f t="shared" si="1"/>
        <v>251133.85858559282</v>
      </c>
      <c r="K67">
        <f t="shared" si="2"/>
        <v>251080.71419364857</v>
      </c>
      <c r="L67">
        <f t="shared" si="9"/>
        <v>251080.71419364857</v>
      </c>
      <c r="M67">
        <f t="shared" si="3"/>
        <v>0</v>
      </c>
      <c r="N67" s="30">
        <f t="shared" si="10"/>
        <v>251080.71419364857</v>
      </c>
      <c r="O67" s="30">
        <f t="shared" si="4"/>
        <v>251073.74362635199</v>
      </c>
      <c r="P67" s="30">
        <f t="shared" si="11"/>
        <v>251073.74362635199</v>
      </c>
      <c r="Q67">
        <f t="shared" si="12"/>
        <v>0</v>
      </c>
      <c r="R67" s="30">
        <f t="shared" si="13"/>
        <v>251073.74362635199</v>
      </c>
      <c r="S67" s="30">
        <f t="shared" si="5"/>
        <v>251073.74362635193</v>
      </c>
      <c r="T67" s="30">
        <f t="shared" si="14"/>
        <v>251073.74362635193</v>
      </c>
      <c r="U67">
        <f t="shared" si="15"/>
        <v>0</v>
      </c>
      <c r="V67" s="30">
        <f t="shared" si="16"/>
        <v>251073.74362635193</v>
      </c>
      <c r="W67" s="30">
        <f t="shared" si="6"/>
        <v>251073.74362635199</v>
      </c>
      <c r="X67" s="30">
        <f t="shared" si="17"/>
        <v>251073.74362635199</v>
      </c>
      <c r="Y67">
        <f t="shared" si="18"/>
        <v>0</v>
      </c>
    </row>
    <row r="68" spans="1:25" x14ac:dyDescent="0.25">
      <c r="A68" s="4" t="s">
        <v>790</v>
      </c>
      <c r="B68" s="7" t="s">
        <v>121</v>
      </c>
      <c r="C68" s="2" t="s">
        <v>791</v>
      </c>
      <c r="D68">
        <f>VLOOKUP(B68,'Model allocations'!$A$1:$L$319,5,FALSE)</f>
        <v>4712.6934013213167</v>
      </c>
      <c r="E68" s="32">
        <f>VLOOKUP(B68,'Initial adjusted formula count'!$A$1:$P$319,12,FALSE)</f>
        <v>4.6666666666666697E-2</v>
      </c>
      <c r="F68">
        <f>VLOOKUP(B68,'Model allocations'!$A$1:$L$319,10,FALSE)</f>
        <v>0</v>
      </c>
      <c r="G68" s="31">
        <f t="shared" si="7"/>
        <v>0.85</v>
      </c>
      <c r="H68">
        <f t="shared" si="8"/>
        <v>0</v>
      </c>
      <c r="I68">
        <f t="shared" ref="I68:I131" si="19">IF(F68&lt;H68,H68,0)</f>
        <v>0</v>
      </c>
      <c r="J68">
        <f t="shared" ref="J68:J131" si="20">IF(I68=0,F68,0)</f>
        <v>0</v>
      </c>
      <c r="K68">
        <f t="shared" ref="K68:K131" si="21">(J68/$J$3)*($F$3-$I$3)</f>
        <v>0</v>
      </c>
      <c r="L68">
        <f t="shared" si="9"/>
        <v>0</v>
      </c>
      <c r="M68">
        <f t="shared" ref="M68:M131" si="22">IF(L68&lt;H68,H68,0)</f>
        <v>0</v>
      </c>
      <c r="N68" s="30">
        <f t="shared" si="10"/>
        <v>0</v>
      </c>
      <c r="O68" s="30">
        <f t="shared" ref="O68:O131" si="23">((N68/$N$3)*($F$3-$I$3-$M$3))</f>
        <v>0</v>
      </c>
      <c r="P68" s="30">
        <f t="shared" si="11"/>
        <v>0</v>
      </c>
      <c r="Q68">
        <f t="shared" si="12"/>
        <v>0</v>
      </c>
      <c r="R68" s="30">
        <f t="shared" si="13"/>
        <v>0</v>
      </c>
      <c r="S68" s="30">
        <f t="shared" ref="S68:S131" si="24">((R68/$R$3)*($F$3-$I$3-$M$3-$Q$3))</f>
        <v>0</v>
      </c>
      <c r="T68" s="30">
        <f t="shared" si="14"/>
        <v>0</v>
      </c>
      <c r="U68">
        <f t="shared" si="15"/>
        <v>0</v>
      </c>
      <c r="V68" s="30">
        <f t="shared" si="16"/>
        <v>0</v>
      </c>
      <c r="W68" s="30">
        <f t="shared" ref="W68:W131" si="25">((V68/$V$3)*($F$3-$I$3-$M$3-$Q$3-$U$3))</f>
        <v>0</v>
      </c>
      <c r="X68" s="30">
        <f t="shared" si="17"/>
        <v>0</v>
      </c>
      <c r="Y68">
        <f t="shared" si="18"/>
        <v>0</v>
      </c>
    </row>
    <row r="69" spans="1:25" x14ac:dyDescent="0.25">
      <c r="A69" s="4" t="s">
        <v>792</v>
      </c>
      <c r="B69" s="7" t="s">
        <v>123</v>
      </c>
      <c r="C69" s="2" t="s">
        <v>793</v>
      </c>
      <c r="D69">
        <f>VLOOKUP(B69,'Model allocations'!$A$1:$L$319,5,FALSE)</f>
        <v>85221.205673893797</v>
      </c>
      <c r="E69" s="32">
        <f>VLOOKUP(B69,'Initial adjusted formula count'!$A$1:$P$319,12,FALSE)</f>
        <v>8.4845735027223201E-2</v>
      </c>
      <c r="F69">
        <f>VLOOKUP(B69,'Model allocations'!$A$1:$L$319,10,FALSE)</f>
        <v>76986.936976239085</v>
      </c>
      <c r="G69" s="31">
        <f t="shared" ref="G69:G132" si="26">IF(E69&lt;0.15,0.85,IF(AND(E69&gt;=0.15,E69&lt;0.3),0.9,0.95))</f>
        <v>0.85</v>
      </c>
      <c r="H69">
        <f t="shared" ref="H69:H132" si="27">IF(F69 = 0, 0, D69*G69)</f>
        <v>72438.024822809719</v>
      </c>
      <c r="I69">
        <f t="shared" si="19"/>
        <v>0</v>
      </c>
      <c r="J69">
        <f t="shared" si="20"/>
        <v>76986.936976239085</v>
      </c>
      <c r="K69">
        <f t="shared" si="21"/>
        <v>76970.64517083978</v>
      </c>
      <c r="L69">
        <f t="shared" ref="L69:L132" si="28">I69+K69</f>
        <v>76970.64517083978</v>
      </c>
      <c r="M69">
        <f t="shared" si="22"/>
        <v>0</v>
      </c>
      <c r="N69" s="30">
        <f t="shared" ref="N69:N132" si="29">IF($I69+$M69=0,L69,0)</f>
        <v>76970.64517083978</v>
      </c>
      <c r="O69" s="30">
        <f t="shared" si="23"/>
        <v>76968.50829201279</v>
      </c>
      <c r="P69" s="30">
        <f t="shared" ref="P69:P132" si="30">$I69+$M69+O69</f>
        <v>76968.50829201279</v>
      </c>
      <c r="Q69">
        <f t="shared" ref="Q69:Q132" si="31">IF(P69&lt;H69,H69,0)</f>
        <v>0</v>
      </c>
      <c r="R69" s="30">
        <f t="shared" ref="R69:R132" si="32">IF($I69+$M69+$Q69=0,P69,0)</f>
        <v>76968.50829201279</v>
      </c>
      <c r="S69" s="30">
        <f t="shared" si="24"/>
        <v>76968.508292012775</v>
      </c>
      <c r="T69" s="30">
        <f t="shared" ref="T69:T132" si="33">$I69+$M69+$Q69+S69</f>
        <v>76968.508292012775</v>
      </c>
      <c r="U69">
        <f t="shared" ref="U69:U132" si="34">IF(T69&lt;H69,H69,0)</f>
        <v>0</v>
      </c>
      <c r="V69" s="30">
        <f t="shared" ref="V69:V132" si="35">IF($I69+$M69+$Q69+U69=0,T69,0)</f>
        <v>76968.508292012775</v>
      </c>
      <c r="W69" s="30">
        <f t="shared" si="25"/>
        <v>76968.50829201279</v>
      </c>
      <c r="X69" s="30">
        <f t="shared" ref="X69:X132" si="36">$I69+$M69+$Q69+$U69+W69</f>
        <v>76968.50829201279</v>
      </c>
      <c r="Y69">
        <f t="shared" ref="Y69:Y132" si="37">IF(X69&lt;H69,H69,0)</f>
        <v>0</v>
      </c>
    </row>
    <row r="70" spans="1:25" x14ac:dyDescent="0.25">
      <c r="A70" s="4" t="s">
        <v>794</v>
      </c>
      <c r="B70" s="7" t="s">
        <v>125</v>
      </c>
      <c r="C70" s="2" t="s">
        <v>795</v>
      </c>
      <c r="D70">
        <f>VLOOKUP(B70,'Model allocations'!$A$1:$L$319,5,FALSE)</f>
        <v>1003607.3322563852</v>
      </c>
      <c r="E70" s="32">
        <f>VLOOKUP(B70,'Initial adjusted formula count'!$A$1:$P$319,12,FALSE)</f>
        <v>8.7055136294280203E-2</v>
      </c>
      <c r="F70">
        <f>VLOOKUP(B70,'Model allocations'!$A$1:$L$319,10,FALSE)</f>
        <v>1161391.1722458312</v>
      </c>
      <c r="G70" s="31">
        <f t="shared" si="26"/>
        <v>0.85</v>
      </c>
      <c r="H70">
        <f t="shared" si="27"/>
        <v>853066.23241792747</v>
      </c>
      <c r="I70">
        <f t="shared" si="19"/>
        <v>0</v>
      </c>
      <c r="J70">
        <f t="shared" si="20"/>
        <v>1161391.1722458312</v>
      </c>
      <c r="K70">
        <f t="shared" si="21"/>
        <v>1161145.4012135775</v>
      </c>
      <c r="L70">
        <f t="shared" si="28"/>
        <v>1161145.4012135775</v>
      </c>
      <c r="M70">
        <f t="shared" si="22"/>
        <v>0</v>
      </c>
      <c r="N70" s="30">
        <f t="shared" si="29"/>
        <v>1161145.4012135775</v>
      </c>
      <c r="O70" s="30">
        <f t="shared" si="23"/>
        <v>1161113.1651966204</v>
      </c>
      <c r="P70" s="30">
        <f t="shared" si="30"/>
        <v>1161113.1651966204</v>
      </c>
      <c r="Q70">
        <f t="shared" si="31"/>
        <v>0</v>
      </c>
      <c r="R70" s="30">
        <f t="shared" si="32"/>
        <v>1161113.1651966204</v>
      </c>
      <c r="S70" s="30">
        <f t="shared" si="24"/>
        <v>1161113.1651966202</v>
      </c>
      <c r="T70" s="30">
        <f t="shared" si="33"/>
        <v>1161113.1651966202</v>
      </c>
      <c r="U70">
        <f t="shared" si="34"/>
        <v>0</v>
      </c>
      <c r="V70" s="30">
        <f t="shared" si="35"/>
        <v>1161113.1651966202</v>
      </c>
      <c r="W70" s="30">
        <f t="shared" si="25"/>
        <v>1161113.1651966202</v>
      </c>
      <c r="X70" s="30">
        <f t="shared" si="36"/>
        <v>1161113.1651966202</v>
      </c>
      <c r="Y70">
        <f t="shared" si="37"/>
        <v>0</v>
      </c>
    </row>
    <row r="71" spans="1:25" x14ac:dyDescent="0.25">
      <c r="A71" s="4" t="s">
        <v>796</v>
      </c>
      <c r="B71" s="7" t="s">
        <v>388</v>
      </c>
      <c r="C71" s="2" t="s">
        <v>797</v>
      </c>
      <c r="D71">
        <f>VLOOKUP(B71,'Model allocations'!$A$1:$L$319,5,FALSE)</f>
        <v>178296.90034998982</v>
      </c>
      <c r="E71" s="32">
        <f>VLOOKUP(B71,'Initial adjusted formula count'!$A$1:$P$319,12,FALSE)</f>
        <v>0.112334180073384</v>
      </c>
      <c r="F71">
        <f>VLOOKUP(B71,'Model allocations'!$A$1:$L$319,10,FALSE)</f>
        <v>163854.55035584583</v>
      </c>
      <c r="G71" s="31">
        <f t="shared" si="26"/>
        <v>0.85</v>
      </c>
      <c r="H71">
        <f t="shared" si="27"/>
        <v>151552.36529749134</v>
      </c>
      <c r="I71">
        <f t="shared" si="19"/>
        <v>0</v>
      </c>
      <c r="J71">
        <f t="shared" si="20"/>
        <v>163854.55035584583</v>
      </c>
      <c r="K71">
        <f t="shared" si="21"/>
        <v>163819.87581815108</v>
      </c>
      <c r="L71">
        <f t="shared" si="28"/>
        <v>163819.87581815108</v>
      </c>
      <c r="M71">
        <f t="shared" si="22"/>
        <v>0</v>
      </c>
      <c r="N71" s="30">
        <f t="shared" si="29"/>
        <v>163819.87581815108</v>
      </c>
      <c r="O71" s="30">
        <f t="shared" si="23"/>
        <v>163815.32780866904</v>
      </c>
      <c r="P71" s="30">
        <f t="shared" si="30"/>
        <v>163815.32780866904</v>
      </c>
      <c r="Q71">
        <f t="shared" si="31"/>
        <v>0</v>
      </c>
      <c r="R71" s="30">
        <f t="shared" si="32"/>
        <v>163815.32780866904</v>
      </c>
      <c r="S71" s="30">
        <f t="shared" si="24"/>
        <v>163815.32780866901</v>
      </c>
      <c r="T71" s="30">
        <f t="shared" si="33"/>
        <v>163815.32780866901</v>
      </c>
      <c r="U71">
        <f t="shared" si="34"/>
        <v>0</v>
      </c>
      <c r="V71" s="30">
        <f t="shared" si="35"/>
        <v>163815.32780866901</v>
      </c>
      <c r="W71" s="30">
        <f t="shared" si="25"/>
        <v>163815.32780866904</v>
      </c>
      <c r="X71" s="30">
        <f t="shared" si="36"/>
        <v>163815.32780866904</v>
      </c>
      <c r="Y71">
        <f t="shared" si="37"/>
        <v>0</v>
      </c>
    </row>
    <row r="72" spans="1:25" x14ac:dyDescent="0.25">
      <c r="A72" s="4" t="s">
        <v>798</v>
      </c>
      <c r="B72" s="7" t="s">
        <v>390</v>
      </c>
      <c r="C72" s="2" t="s">
        <v>799</v>
      </c>
      <c r="D72">
        <f>VLOOKUP(B72,'Model allocations'!$A$1:$L$319,5,FALSE)</f>
        <v>126845.42214572165</v>
      </c>
      <c r="E72" s="32">
        <f>VLOOKUP(B72,'Initial adjusted formula count'!$A$1:$P$319,12,FALSE)</f>
        <v>0.20969773299748101</v>
      </c>
      <c r="F72">
        <f>VLOOKUP(B72,'Model allocations'!$A$1:$L$319,10,FALSE)</f>
        <v>163521.98325590248</v>
      </c>
      <c r="G72" s="31">
        <f t="shared" si="26"/>
        <v>0.9</v>
      </c>
      <c r="H72">
        <f t="shared" si="27"/>
        <v>114160.87993114948</v>
      </c>
      <c r="I72">
        <f t="shared" si="19"/>
        <v>0</v>
      </c>
      <c r="J72">
        <f t="shared" si="20"/>
        <v>163521.98325590248</v>
      </c>
      <c r="K72">
        <f t="shared" si="21"/>
        <v>163487.37909532216</v>
      </c>
      <c r="L72">
        <f t="shared" si="28"/>
        <v>163487.37909532216</v>
      </c>
      <c r="M72">
        <f t="shared" si="22"/>
        <v>0</v>
      </c>
      <c r="N72" s="30">
        <f t="shared" si="29"/>
        <v>163487.37909532216</v>
      </c>
      <c r="O72" s="30">
        <f t="shared" si="23"/>
        <v>163482.84031669956</v>
      </c>
      <c r="P72" s="30">
        <f t="shared" si="30"/>
        <v>163482.84031669956</v>
      </c>
      <c r="Q72">
        <f t="shared" si="31"/>
        <v>0</v>
      </c>
      <c r="R72" s="30">
        <f t="shared" si="32"/>
        <v>163482.84031669956</v>
      </c>
      <c r="S72" s="30">
        <f t="shared" si="24"/>
        <v>163482.84031669953</v>
      </c>
      <c r="T72" s="30">
        <f t="shared" si="33"/>
        <v>163482.84031669953</v>
      </c>
      <c r="U72">
        <f t="shared" si="34"/>
        <v>0</v>
      </c>
      <c r="V72" s="30">
        <f t="shared" si="35"/>
        <v>163482.84031669953</v>
      </c>
      <c r="W72" s="30">
        <f t="shared" si="25"/>
        <v>163482.84031669956</v>
      </c>
      <c r="X72" s="30">
        <f t="shared" si="36"/>
        <v>163482.84031669956</v>
      </c>
      <c r="Y72">
        <f t="shared" si="37"/>
        <v>0</v>
      </c>
    </row>
    <row r="73" spans="1:25" x14ac:dyDescent="0.25">
      <c r="A73" s="4" t="s">
        <v>800</v>
      </c>
      <c r="B73" s="7" t="s">
        <v>392</v>
      </c>
      <c r="C73" s="2" t="s">
        <v>801</v>
      </c>
      <c r="D73">
        <f>VLOOKUP(B73,'Model allocations'!$A$1:$L$319,5,FALSE)</f>
        <v>12073.761038501698</v>
      </c>
      <c r="E73" s="32">
        <f>VLOOKUP(B73,'Initial adjusted formula count'!$A$1:$P$319,12,FALSE)</f>
        <v>0.195402298850575</v>
      </c>
      <c r="F73">
        <f>VLOOKUP(B73,'Model allocations'!$A$1:$L$319,10,FALSE)</f>
        <v>10866.384934651529</v>
      </c>
      <c r="G73" s="31">
        <f t="shared" si="26"/>
        <v>0.9</v>
      </c>
      <c r="H73">
        <f t="shared" si="27"/>
        <v>10866.384934651529</v>
      </c>
      <c r="I73">
        <f t="shared" si="19"/>
        <v>0</v>
      </c>
      <c r="J73">
        <f t="shared" si="20"/>
        <v>10866.384934651529</v>
      </c>
      <c r="K73">
        <f t="shared" si="21"/>
        <v>10864.085414295188</v>
      </c>
      <c r="L73">
        <f t="shared" si="28"/>
        <v>10864.085414295188</v>
      </c>
      <c r="M73">
        <f t="shared" si="22"/>
        <v>10866.384934651529</v>
      </c>
      <c r="N73" s="30">
        <f t="shared" si="29"/>
        <v>0</v>
      </c>
      <c r="O73" s="30">
        <f t="shared" si="23"/>
        <v>0</v>
      </c>
      <c r="P73" s="30">
        <f t="shared" si="30"/>
        <v>10866.384934651529</v>
      </c>
      <c r="Q73">
        <f t="shared" si="31"/>
        <v>0</v>
      </c>
      <c r="R73" s="30">
        <f t="shared" si="32"/>
        <v>0</v>
      </c>
      <c r="S73" s="30">
        <f t="shared" si="24"/>
        <v>0</v>
      </c>
      <c r="T73" s="30">
        <f t="shared" si="33"/>
        <v>10866.384934651529</v>
      </c>
      <c r="U73">
        <f t="shared" si="34"/>
        <v>0</v>
      </c>
      <c r="V73" s="30">
        <f t="shared" si="35"/>
        <v>0</v>
      </c>
      <c r="W73" s="30">
        <f t="shared" si="25"/>
        <v>0</v>
      </c>
      <c r="X73" s="30">
        <f t="shared" si="36"/>
        <v>10866.384934651529</v>
      </c>
      <c r="Y73">
        <f t="shared" si="37"/>
        <v>0</v>
      </c>
    </row>
    <row r="74" spans="1:25" x14ac:dyDescent="0.25">
      <c r="A74" s="4" t="s">
        <v>802</v>
      </c>
      <c r="B74" s="7" t="s">
        <v>394</v>
      </c>
      <c r="C74" s="2" t="s">
        <v>803</v>
      </c>
      <c r="D74">
        <f>VLOOKUP(B74,'Model allocations'!$A$1:$L$319,5,FALSE)</f>
        <v>26956.763345337975</v>
      </c>
      <c r="E74" s="32">
        <f>VLOOKUP(B74,'Initial adjusted formula count'!$A$1:$P$319,12,FALSE)</f>
        <v>0.17733990147783299</v>
      </c>
      <c r="F74">
        <f>VLOOKUP(B74,'Model allocations'!$A$1:$L$319,10,FALSE)</f>
        <v>32342.294562688079</v>
      </c>
      <c r="G74" s="31">
        <f t="shared" si="26"/>
        <v>0.9</v>
      </c>
      <c r="H74">
        <f t="shared" si="27"/>
        <v>24261.087010804178</v>
      </c>
      <c r="I74">
        <f t="shared" si="19"/>
        <v>0</v>
      </c>
      <c r="J74">
        <f t="shared" si="20"/>
        <v>32342.294562688079</v>
      </c>
      <c r="K74">
        <f t="shared" si="21"/>
        <v>32335.45035781544</v>
      </c>
      <c r="L74">
        <f t="shared" si="28"/>
        <v>32335.45035781544</v>
      </c>
      <c r="M74">
        <f t="shared" si="22"/>
        <v>0</v>
      </c>
      <c r="N74" s="30">
        <f t="shared" si="29"/>
        <v>32335.45035781544</v>
      </c>
      <c r="O74" s="30">
        <f t="shared" si="23"/>
        <v>32334.552652734787</v>
      </c>
      <c r="P74" s="30">
        <f t="shared" si="30"/>
        <v>32334.552652734787</v>
      </c>
      <c r="Q74">
        <f t="shared" si="31"/>
        <v>0</v>
      </c>
      <c r="R74" s="30">
        <f t="shared" si="32"/>
        <v>32334.552652734787</v>
      </c>
      <c r="S74" s="30">
        <f t="shared" si="24"/>
        <v>32334.552652734779</v>
      </c>
      <c r="T74" s="30">
        <f t="shared" si="33"/>
        <v>32334.552652734779</v>
      </c>
      <c r="U74">
        <f t="shared" si="34"/>
        <v>0</v>
      </c>
      <c r="V74" s="30">
        <f t="shared" si="35"/>
        <v>32334.552652734779</v>
      </c>
      <c r="W74" s="30">
        <f t="shared" si="25"/>
        <v>32334.552652734787</v>
      </c>
      <c r="X74" s="30">
        <f t="shared" si="36"/>
        <v>32334.552652734787</v>
      </c>
      <c r="Y74">
        <f t="shared" si="37"/>
        <v>0</v>
      </c>
    </row>
    <row r="75" spans="1:25" x14ac:dyDescent="0.25">
      <c r="A75" s="4" t="s">
        <v>804</v>
      </c>
      <c r="B75" s="7" t="s">
        <v>127</v>
      </c>
      <c r="C75" s="2" t="s">
        <v>805</v>
      </c>
      <c r="D75">
        <f>VLOOKUP(B75,'Model allocations'!$A$1:$L$319,5,FALSE)</f>
        <v>139024.45533897885</v>
      </c>
      <c r="E75" s="32">
        <f>VLOOKUP(B75,'Initial adjusted formula count'!$A$1:$P$319,12,FALSE)</f>
        <v>6.3706563706563704E-2</v>
      </c>
      <c r="F75">
        <f>VLOOKUP(B75,'Model allocations'!$A$1:$L$319,10,FALSE)</f>
        <v>122273.37049167385</v>
      </c>
      <c r="G75" s="31">
        <f t="shared" si="26"/>
        <v>0.85</v>
      </c>
      <c r="H75">
        <f t="shared" si="27"/>
        <v>118170.78703813202</v>
      </c>
      <c r="I75">
        <f t="shared" si="19"/>
        <v>0</v>
      </c>
      <c r="J75">
        <f t="shared" si="20"/>
        <v>122273.37049167385</v>
      </c>
      <c r="K75">
        <f t="shared" si="21"/>
        <v>122247.49527133378</v>
      </c>
      <c r="L75">
        <f t="shared" si="28"/>
        <v>122247.49527133378</v>
      </c>
      <c r="M75">
        <f t="shared" si="22"/>
        <v>0</v>
      </c>
      <c r="N75" s="30">
        <f t="shared" si="29"/>
        <v>122247.49527133378</v>
      </c>
      <c r="O75" s="30">
        <f t="shared" si="23"/>
        <v>122244.1014049615</v>
      </c>
      <c r="P75" s="30">
        <f t="shared" si="30"/>
        <v>122244.1014049615</v>
      </c>
      <c r="Q75">
        <f t="shared" si="31"/>
        <v>0</v>
      </c>
      <c r="R75" s="30">
        <f t="shared" si="32"/>
        <v>122244.1014049615</v>
      </c>
      <c r="S75" s="30">
        <f t="shared" si="24"/>
        <v>122244.10140496148</v>
      </c>
      <c r="T75" s="30">
        <f t="shared" si="33"/>
        <v>122244.10140496148</v>
      </c>
      <c r="U75">
        <f t="shared" si="34"/>
        <v>0</v>
      </c>
      <c r="V75" s="30">
        <f t="shared" si="35"/>
        <v>122244.10140496148</v>
      </c>
      <c r="W75" s="30">
        <f t="shared" si="25"/>
        <v>122244.10140496148</v>
      </c>
      <c r="X75" s="30">
        <f t="shared" si="36"/>
        <v>122244.10140496148</v>
      </c>
      <c r="Y75">
        <f t="shared" si="37"/>
        <v>0</v>
      </c>
    </row>
    <row r="76" spans="1:25" x14ac:dyDescent="0.25">
      <c r="A76" s="4" t="s">
        <v>806</v>
      </c>
      <c r="B76" s="7" t="s">
        <v>396</v>
      </c>
      <c r="C76" s="2" t="s">
        <v>807</v>
      </c>
      <c r="D76">
        <f>VLOOKUP(B76,'Model allocations'!$A$1:$L$319,5,FALSE)</f>
        <v>137846.28198864846</v>
      </c>
      <c r="E76" s="32">
        <f>VLOOKUP(B76,'Initial adjusted formula count'!$A$1:$P$319,12,FALSE)</f>
        <v>0.16247848537005199</v>
      </c>
      <c r="F76">
        <f>VLOOKUP(B76,'Model allocations'!$A$1:$L$319,10,FALSE)</f>
        <v>200310.43810690843</v>
      </c>
      <c r="G76" s="31">
        <f t="shared" si="26"/>
        <v>0.9</v>
      </c>
      <c r="H76">
        <f t="shared" si="27"/>
        <v>124061.65378978362</v>
      </c>
      <c r="I76">
        <f t="shared" si="19"/>
        <v>0</v>
      </c>
      <c r="J76">
        <f t="shared" si="20"/>
        <v>200310.43810690843</v>
      </c>
      <c r="K76">
        <f t="shared" si="21"/>
        <v>200268.04885484491</v>
      </c>
      <c r="L76">
        <f t="shared" si="28"/>
        <v>200268.04885484491</v>
      </c>
      <c r="M76">
        <f t="shared" si="22"/>
        <v>0</v>
      </c>
      <c r="N76" s="30">
        <f t="shared" si="29"/>
        <v>200268.04885484491</v>
      </c>
      <c r="O76" s="30">
        <f t="shared" si="23"/>
        <v>200262.48896181854</v>
      </c>
      <c r="P76" s="30">
        <f t="shared" si="30"/>
        <v>200262.48896181854</v>
      </c>
      <c r="Q76">
        <f t="shared" si="31"/>
        <v>0</v>
      </c>
      <c r="R76" s="30">
        <f t="shared" si="32"/>
        <v>200262.48896181854</v>
      </c>
      <c r="S76" s="30">
        <f t="shared" si="24"/>
        <v>200262.48896181851</v>
      </c>
      <c r="T76" s="30">
        <f t="shared" si="33"/>
        <v>200262.48896181851</v>
      </c>
      <c r="U76">
        <f t="shared" si="34"/>
        <v>0</v>
      </c>
      <c r="V76" s="30">
        <f t="shared" si="35"/>
        <v>200262.48896181851</v>
      </c>
      <c r="W76" s="30">
        <f t="shared" si="25"/>
        <v>200262.48896181854</v>
      </c>
      <c r="X76" s="30">
        <f t="shared" si="36"/>
        <v>200262.48896181854</v>
      </c>
      <c r="Y76">
        <f t="shared" si="37"/>
        <v>0</v>
      </c>
    </row>
    <row r="77" spans="1:25" x14ac:dyDescent="0.25">
      <c r="A77" s="4" t="s">
        <v>808</v>
      </c>
      <c r="B77" s="7" t="s">
        <v>398</v>
      </c>
      <c r="C77" s="2" t="s">
        <v>809</v>
      </c>
      <c r="D77">
        <f>VLOOKUP(B77,'Model allocations'!$A$1:$L$319,5,FALSE)</f>
        <v>20480.929348579735</v>
      </c>
      <c r="E77" s="32">
        <f>VLOOKUP(B77,'Initial adjusted formula count'!$A$1:$P$319,12,FALSE)</f>
        <v>0.171875</v>
      </c>
      <c r="F77">
        <f>VLOOKUP(B77,'Model allocations'!$A$1:$L$319,10,FALSE)</f>
        <v>18432.836413721761</v>
      </c>
      <c r="G77" s="31">
        <f t="shared" si="26"/>
        <v>0.9</v>
      </c>
      <c r="H77">
        <f t="shared" si="27"/>
        <v>18432.836413721761</v>
      </c>
      <c r="I77">
        <f t="shared" si="19"/>
        <v>0</v>
      </c>
      <c r="J77">
        <f t="shared" si="20"/>
        <v>18432.836413721761</v>
      </c>
      <c r="K77">
        <f t="shared" si="21"/>
        <v>18428.935697631419</v>
      </c>
      <c r="L77">
        <f t="shared" si="28"/>
        <v>18428.935697631419</v>
      </c>
      <c r="M77">
        <f t="shared" si="22"/>
        <v>18432.836413721761</v>
      </c>
      <c r="N77" s="30">
        <f t="shared" si="29"/>
        <v>0</v>
      </c>
      <c r="O77" s="30">
        <f t="shared" si="23"/>
        <v>0</v>
      </c>
      <c r="P77" s="30">
        <f t="shared" si="30"/>
        <v>18432.836413721761</v>
      </c>
      <c r="Q77">
        <f t="shared" si="31"/>
        <v>0</v>
      </c>
      <c r="R77" s="30">
        <f t="shared" si="32"/>
        <v>0</v>
      </c>
      <c r="S77" s="30">
        <f t="shared" si="24"/>
        <v>0</v>
      </c>
      <c r="T77" s="30">
        <f t="shared" si="33"/>
        <v>18432.836413721761</v>
      </c>
      <c r="U77">
        <f t="shared" si="34"/>
        <v>0</v>
      </c>
      <c r="V77" s="30">
        <f t="shared" si="35"/>
        <v>0</v>
      </c>
      <c r="W77" s="30">
        <f t="shared" si="25"/>
        <v>0</v>
      </c>
      <c r="X77" s="30">
        <f t="shared" si="36"/>
        <v>18432.836413721761</v>
      </c>
      <c r="Y77">
        <f t="shared" si="37"/>
        <v>0</v>
      </c>
    </row>
    <row r="78" spans="1:25" x14ac:dyDescent="0.25">
      <c r="A78" s="4" t="s">
        <v>810</v>
      </c>
      <c r="B78" s="7" t="s">
        <v>129</v>
      </c>
      <c r="C78" s="2" t="s">
        <v>811</v>
      </c>
      <c r="D78">
        <f>VLOOKUP(B78,'Model allocations'!$A$1:$L$319,5,FALSE)</f>
        <v>1001840.0722308895</v>
      </c>
      <c r="E78" s="32">
        <f>VLOOKUP(B78,'Initial adjusted formula count'!$A$1:$P$319,12,FALSE)</f>
        <v>0.103100469236504</v>
      </c>
      <c r="F78">
        <f>VLOOKUP(B78,'Model allocations'!$A$1:$L$319,10,FALSE)</f>
        <v>1327921.7391275894</v>
      </c>
      <c r="G78" s="31">
        <f t="shared" si="26"/>
        <v>0.85</v>
      </c>
      <c r="H78">
        <f t="shared" si="27"/>
        <v>851564.06139625597</v>
      </c>
      <c r="I78">
        <f t="shared" si="19"/>
        <v>0</v>
      </c>
      <c r="J78">
        <f t="shared" si="20"/>
        <v>1327921.7391275894</v>
      </c>
      <c r="K78">
        <f t="shared" si="21"/>
        <v>1327640.7272649398</v>
      </c>
      <c r="L78">
        <f t="shared" si="28"/>
        <v>1327640.7272649398</v>
      </c>
      <c r="M78">
        <f t="shared" si="22"/>
        <v>0</v>
      </c>
      <c r="N78" s="30">
        <f t="shared" si="29"/>
        <v>1327640.7272649398</v>
      </c>
      <c r="O78" s="30">
        <f t="shared" si="23"/>
        <v>1327603.868961964</v>
      </c>
      <c r="P78" s="30">
        <f t="shared" si="30"/>
        <v>1327603.868961964</v>
      </c>
      <c r="Q78">
        <f t="shared" si="31"/>
        <v>0</v>
      </c>
      <c r="R78" s="30">
        <f t="shared" si="32"/>
        <v>1327603.868961964</v>
      </c>
      <c r="S78" s="30">
        <f t="shared" si="24"/>
        <v>1327603.8689619638</v>
      </c>
      <c r="T78" s="30">
        <f t="shared" si="33"/>
        <v>1327603.8689619638</v>
      </c>
      <c r="U78">
        <f t="shared" si="34"/>
        <v>0</v>
      </c>
      <c r="V78" s="30">
        <f t="shared" si="35"/>
        <v>1327603.8689619638</v>
      </c>
      <c r="W78" s="30">
        <f t="shared" si="25"/>
        <v>1327603.868961964</v>
      </c>
      <c r="X78" s="30">
        <f t="shared" si="36"/>
        <v>1327603.868961964</v>
      </c>
      <c r="Y78">
        <f t="shared" si="37"/>
        <v>0</v>
      </c>
    </row>
    <row r="79" spans="1:25" x14ac:dyDescent="0.25">
      <c r="A79" s="4" t="s">
        <v>812</v>
      </c>
      <c r="B79" s="7" t="s">
        <v>280</v>
      </c>
      <c r="C79" s="2" t="s">
        <v>813</v>
      </c>
      <c r="D79">
        <f>VLOOKUP(B79,'Model allocations'!$A$1:$L$319,5,FALSE)</f>
        <v>1797696.1703790266</v>
      </c>
      <c r="E79" s="32">
        <f>VLOOKUP(B79,'Initial adjusted formula count'!$A$1:$P$319,12,FALSE)</f>
        <v>9.9718521298555102E-2</v>
      </c>
      <c r="F79">
        <f>VLOOKUP(B79,'Model allocations'!$A$1:$L$319,10,FALSE)</f>
        <v>1579878.9874134629</v>
      </c>
      <c r="G79" s="31">
        <f t="shared" si="26"/>
        <v>0.85</v>
      </c>
      <c r="H79">
        <f t="shared" si="27"/>
        <v>1528041.7448221724</v>
      </c>
      <c r="I79">
        <f t="shared" si="19"/>
        <v>0</v>
      </c>
      <c r="J79">
        <f t="shared" si="20"/>
        <v>1579878.9874134629</v>
      </c>
      <c r="K79">
        <f t="shared" si="21"/>
        <v>1579544.6569149613</v>
      </c>
      <c r="L79">
        <f t="shared" si="28"/>
        <v>1579544.6569149613</v>
      </c>
      <c r="M79">
        <f t="shared" si="22"/>
        <v>0</v>
      </c>
      <c r="N79" s="30">
        <f t="shared" si="29"/>
        <v>1579544.6569149613</v>
      </c>
      <c r="O79" s="30">
        <f t="shared" si="23"/>
        <v>1579500.80519037</v>
      </c>
      <c r="P79" s="30">
        <f t="shared" si="30"/>
        <v>1579500.80519037</v>
      </c>
      <c r="Q79">
        <f t="shared" si="31"/>
        <v>0</v>
      </c>
      <c r="R79" s="30">
        <f t="shared" si="32"/>
        <v>1579500.80519037</v>
      </c>
      <c r="S79" s="30">
        <f t="shared" si="24"/>
        <v>1579500.8051903697</v>
      </c>
      <c r="T79" s="30">
        <f t="shared" si="33"/>
        <v>1579500.8051903697</v>
      </c>
      <c r="U79">
        <f t="shared" si="34"/>
        <v>0</v>
      </c>
      <c r="V79" s="30">
        <f t="shared" si="35"/>
        <v>1579500.8051903697</v>
      </c>
      <c r="W79" s="30">
        <f t="shared" si="25"/>
        <v>1579500.80519037</v>
      </c>
      <c r="X79" s="30">
        <f t="shared" si="36"/>
        <v>1579500.80519037</v>
      </c>
      <c r="Y79">
        <f t="shared" si="37"/>
        <v>0</v>
      </c>
    </row>
    <row r="80" spans="1:25" x14ac:dyDescent="0.25">
      <c r="A80" s="4" t="s">
        <v>814</v>
      </c>
      <c r="B80" s="7" t="s">
        <v>400</v>
      </c>
      <c r="C80" s="2" t="s">
        <v>815</v>
      </c>
      <c r="D80">
        <f>VLOOKUP(B80,'Model allocations'!$A$1:$L$319,5,FALSE)</f>
        <v>11583.064022103834</v>
      </c>
      <c r="E80" s="32">
        <f>VLOOKUP(B80,'Initial adjusted formula count'!$A$1:$P$319,12,FALSE)</f>
        <v>0.25</v>
      </c>
      <c r="F80">
        <f>VLOOKUP(B80,'Model allocations'!$A$1:$L$319,10,FALSE)</f>
        <v>10424.757619893451</v>
      </c>
      <c r="G80" s="31">
        <f t="shared" si="26"/>
        <v>0.9</v>
      </c>
      <c r="H80">
        <f t="shared" si="27"/>
        <v>10424.757619893451</v>
      </c>
      <c r="I80">
        <f t="shared" si="19"/>
        <v>0</v>
      </c>
      <c r="J80">
        <f t="shared" si="20"/>
        <v>10424.757619893451</v>
      </c>
      <c r="K80">
        <f t="shared" si="21"/>
        <v>10422.551555733104</v>
      </c>
      <c r="L80">
        <f t="shared" si="28"/>
        <v>10422.551555733104</v>
      </c>
      <c r="M80">
        <f t="shared" si="22"/>
        <v>10424.757619893451</v>
      </c>
      <c r="N80" s="30">
        <f t="shared" si="29"/>
        <v>0</v>
      </c>
      <c r="O80" s="30">
        <f t="shared" si="23"/>
        <v>0</v>
      </c>
      <c r="P80" s="30">
        <f t="shared" si="30"/>
        <v>10424.757619893451</v>
      </c>
      <c r="Q80">
        <f t="shared" si="31"/>
        <v>0</v>
      </c>
      <c r="R80" s="30">
        <f t="shared" si="32"/>
        <v>0</v>
      </c>
      <c r="S80" s="30">
        <f t="shared" si="24"/>
        <v>0</v>
      </c>
      <c r="T80" s="30">
        <f t="shared" si="33"/>
        <v>10424.757619893451</v>
      </c>
      <c r="U80">
        <f t="shared" si="34"/>
        <v>0</v>
      </c>
      <c r="V80" s="30">
        <f t="shared" si="35"/>
        <v>0</v>
      </c>
      <c r="W80" s="30">
        <f t="shared" si="25"/>
        <v>0</v>
      </c>
      <c r="X80" s="30">
        <f t="shared" si="36"/>
        <v>10424.757619893451</v>
      </c>
      <c r="Y80">
        <f t="shared" si="37"/>
        <v>0</v>
      </c>
    </row>
    <row r="81" spans="1:25" x14ac:dyDescent="0.25">
      <c r="A81" s="4" t="s">
        <v>816</v>
      </c>
      <c r="B81" s="7" t="s">
        <v>402</v>
      </c>
      <c r="C81" s="2" t="s">
        <v>817</v>
      </c>
      <c r="D81">
        <f>VLOOKUP(B81,'Model allocations'!$A$1:$L$319,5,FALSE)</f>
        <v>2628701.1068120194</v>
      </c>
      <c r="E81" s="32">
        <f>VLOOKUP(B81,'Initial adjusted formula count'!$A$1:$P$319,12,FALSE)</f>
        <v>0.17725043637270399</v>
      </c>
      <c r="F81">
        <f>VLOOKUP(B81,'Model allocations'!$A$1:$L$319,10,FALSE)</f>
        <v>2903889.6254647193</v>
      </c>
      <c r="G81" s="31">
        <f t="shared" si="26"/>
        <v>0.9</v>
      </c>
      <c r="H81">
        <f t="shared" si="27"/>
        <v>2365830.9961308176</v>
      </c>
      <c r="I81">
        <f t="shared" si="19"/>
        <v>0</v>
      </c>
      <c r="J81">
        <f t="shared" si="20"/>
        <v>2903889.6254647193</v>
      </c>
      <c r="K81">
        <f t="shared" si="21"/>
        <v>2903275.1107621309</v>
      </c>
      <c r="L81">
        <f t="shared" si="28"/>
        <v>2903275.1107621309</v>
      </c>
      <c r="M81">
        <f t="shared" si="22"/>
        <v>0</v>
      </c>
      <c r="N81" s="30">
        <f t="shared" si="29"/>
        <v>2903275.1107621309</v>
      </c>
      <c r="O81" s="30">
        <f t="shared" si="23"/>
        <v>2903194.5092925793</v>
      </c>
      <c r="P81" s="30">
        <f t="shared" si="30"/>
        <v>2903194.5092925793</v>
      </c>
      <c r="Q81">
        <f t="shared" si="31"/>
        <v>0</v>
      </c>
      <c r="R81" s="30">
        <f t="shared" si="32"/>
        <v>2903194.5092925793</v>
      </c>
      <c r="S81" s="30">
        <f t="shared" si="24"/>
        <v>2903194.5092925783</v>
      </c>
      <c r="T81" s="30">
        <f t="shared" si="33"/>
        <v>2903194.5092925783</v>
      </c>
      <c r="U81">
        <f t="shared" si="34"/>
        <v>0</v>
      </c>
      <c r="V81" s="30">
        <f t="shared" si="35"/>
        <v>2903194.5092925783</v>
      </c>
      <c r="W81" s="30">
        <f t="shared" si="25"/>
        <v>2903194.5092925788</v>
      </c>
      <c r="X81" s="30">
        <f t="shared" si="36"/>
        <v>2903194.5092925788</v>
      </c>
      <c r="Y81">
        <f t="shared" si="37"/>
        <v>0</v>
      </c>
    </row>
    <row r="82" spans="1:25" x14ac:dyDescent="0.25">
      <c r="A82" s="4" t="s">
        <v>818</v>
      </c>
      <c r="B82" s="7" t="s">
        <v>131</v>
      </c>
      <c r="C82" s="2" t="s">
        <v>819</v>
      </c>
      <c r="D82">
        <f>VLOOKUP(B82,'Model allocations'!$A$1:$L$319,5,FALSE)</f>
        <v>471662.06458224164</v>
      </c>
      <c r="E82" s="32">
        <f>VLOOKUP(B82,'Initial adjusted formula count'!$A$1:$P$319,12,FALSE)</f>
        <v>0.127856101118133</v>
      </c>
      <c r="F82">
        <f>VLOOKUP(B82,'Model allocations'!$A$1:$L$319,10,FALSE)</f>
        <v>400912.75489490537</v>
      </c>
      <c r="G82" s="31">
        <f t="shared" si="26"/>
        <v>0.85</v>
      </c>
      <c r="H82">
        <f t="shared" si="27"/>
        <v>400912.75489490537</v>
      </c>
      <c r="I82">
        <f t="shared" si="19"/>
        <v>0</v>
      </c>
      <c r="J82">
        <f t="shared" si="20"/>
        <v>400912.75489490537</v>
      </c>
      <c r="K82">
        <f t="shared" si="21"/>
        <v>400827.91462405713</v>
      </c>
      <c r="L82">
        <f t="shared" si="28"/>
        <v>400827.91462405713</v>
      </c>
      <c r="M82">
        <f t="shared" si="22"/>
        <v>400912.75489490537</v>
      </c>
      <c r="N82" s="30">
        <f t="shared" si="29"/>
        <v>0</v>
      </c>
      <c r="O82" s="30">
        <f t="shared" si="23"/>
        <v>0</v>
      </c>
      <c r="P82" s="30">
        <f t="shared" si="30"/>
        <v>400912.75489490537</v>
      </c>
      <c r="Q82">
        <f t="shared" si="31"/>
        <v>0</v>
      </c>
      <c r="R82" s="30">
        <f t="shared" si="32"/>
        <v>0</v>
      </c>
      <c r="S82" s="30">
        <f t="shared" si="24"/>
        <v>0</v>
      </c>
      <c r="T82" s="30">
        <f t="shared" si="33"/>
        <v>400912.75489490537</v>
      </c>
      <c r="U82">
        <f t="shared" si="34"/>
        <v>0</v>
      </c>
      <c r="V82" s="30">
        <f t="shared" si="35"/>
        <v>0</v>
      </c>
      <c r="W82" s="30">
        <f t="shared" si="25"/>
        <v>0</v>
      </c>
      <c r="X82" s="30">
        <f t="shared" si="36"/>
        <v>400912.75489490537</v>
      </c>
      <c r="Y82">
        <f t="shared" si="37"/>
        <v>0</v>
      </c>
    </row>
    <row r="83" spans="1:25" x14ac:dyDescent="0.25">
      <c r="A83" s="4" t="s">
        <v>820</v>
      </c>
      <c r="B83" s="7" t="s">
        <v>133</v>
      </c>
      <c r="C83" s="2" t="s">
        <v>821</v>
      </c>
      <c r="D83">
        <f>VLOOKUP(B83,'Model allocations'!$A$1:$L$319,5,FALSE)</f>
        <v>160231.57564492468</v>
      </c>
      <c r="E83" s="32">
        <f>VLOOKUP(B83,'Initial adjusted formula count'!$A$1:$P$319,12,FALSE)</f>
        <v>8.8828740157480296E-2</v>
      </c>
      <c r="F83">
        <f>VLOOKUP(B83,'Model allocations'!$A$1:$L$319,10,FALSE)</f>
        <v>148621.84090065409</v>
      </c>
      <c r="G83" s="31">
        <f t="shared" si="26"/>
        <v>0.85</v>
      </c>
      <c r="H83">
        <f t="shared" si="27"/>
        <v>136196.83929818598</v>
      </c>
      <c r="I83">
        <f t="shared" si="19"/>
        <v>0</v>
      </c>
      <c r="J83">
        <f t="shared" si="20"/>
        <v>148621.84090065409</v>
      </c>
      <c r="K83">
        <f t="shared" si="21"/>
        <v>148590.38987525759</v>
      </c>
      <c r="L83">
        <f t="shared" si="28"/>
        <v>148590.38987525759</v>
      </c>
      <c r="M83">
        <f t="shared" si="22"/>
        <v>0</v>
      </c>
      <c r="N83" s="30">
        <f t="shared" si="29"/>
        <v>148590.38987525759</v>
      </c>
      <c r="O83" s="30">
        <f t="shared" si="23"/>
        <v>148586.26467067713</v>
      </c>
      <c r="P83" s="30">
        <f t="shared" si="30"/>
        <v>148586.26467067713</v>
      </c>
      <c r="Q83">
        <f t="shared" si="31"/>
        <v>0</v>
      </c>
      <c r="R83" s="30">
        <f t="shared" si="32"/>
        <v>148586.26467067713</v>
      </c>
      <c r="S83" s="30">
        <f t="shared" si="24"/>
        <v>148586.2646706771</v>
      </c>
      <c r="T83" s="30">
        <f t="shared" si="33"/>
        <v>148586.2646706771</v>
      </c>
      <c r="U83">
        <f t="shared" si="34"/>
        <v>0</v>
      </c>
      <c r="V83" s="30">
        <f t="shared" si="35"/>
        <v>148586.2646706771</v>
      </c>
      <c r="W83" s="30">
        <f t="shared" si="25"/>
        <v>148586.26467067713</v>
      </c>
      <c r="X83" s="30">
        <f t="shared" si="36"/>
        <v>148586.26467067713</v>
      </c>
      <c r="Y83">
        <f t="shared" si="37"/>
        <v>0</v>
      </c>
    </row>
    <row r="84" spans="1:25" x14ac:dyDescent="0.25">
      <c r="A84" s="4" t="s">
        <v>822</v>
      </c>
      <c r="B84" s="7" t="s">
        <v>404</v>
      </c>
      <c r="C84" s="2" t="s">
        <v>823</v>
      </c>
      <c r="D84">
        <f>VLOOKUP(B84,'Model allocations'!$A$1:$L$319,5,FALSE)</f>
        <v>65132.304647352226</v>
      </c>
      <c r="E84" s="32">
        <f>VLOOKUP(B84,'Initial adjusted formula count'!$A$1:$P$319,12,FALSE)</f>
        <v>0.141436464088398</v>
      </c>
      <c r="F84">
        <f>VLOOKUP(B84,'Model allocations'!$A$1:$L$319,10,FALSE)</f>
        <v>55362.458950249391</v>
      </c>
      <c r="G84" s="31">
        <f t="shared" si="26"/>
        <v>0.85</v>
      </c>
      <c r="H84">
        <f t="shared" si="27"/>
        <v>55362.458950249391</v>
      </c>
      <c r="I84">
        <f t="shared" si="19"/>
        <v>0</v>
      </c>
      <c r="J84">
        <f t="shared" si="20"/>
        <v>55362.458950249391</v>
      </c>
      <c r="K84">
        <f t="shared" si="21"/>
        <v>55350.743269082304</v>
      </c>
      <c r="L84">
        <f t="shared" si="28"/>
        <v>55350.743269082304</v>
      </c>
      <c r="M84">
        <f t="shared" si="22"/>
        <v>55362.458950249391</v>
      </c>
      <c r="N84" s="30">
        <f t="shared" si="29"/>
        <v>0</v>
      </c>
      <c r="O84" s="30">
        <f t="shared" si="23"/>
        <v>0</v>
      </c>
      <c r="P84" s="30">
        <f t="shared" si="30"/>
        <v>55362.458950249391</v>
      </c>
      <c r="Q84">
        <f t="shared" si="31"/>
        <v>0</v>
      </c>
      <c r="R84" s="30">
        <f t="shared" si="32"/>
        <v>0</v>
      </c>
      <c r="S84" s="30">
        <f t="shared" si="24"/>
        <v>0</v>
      </c>
      <c r="T84" s="30">
        <f t="shared" si="33"/>
        <v>55362.458950249391</v>
      </c>
      <c r="U84">
        <f t="shared" si="34"/>
        <v>0</v>
      </c>
      <c r="V84" s="30">
        <f t="shared" si="35"/>
        <v>0</v>
      </c>
      <c r="W84" s="30">
        <f t="shared" si="25"/>
        <v>0</v>
      </c>
      <c r="X84" s="30">
        <f t="shared" si="36"/>
        <v>55362.458950249391</v>
      </c>
      <c r="Y84">
        <f t="shared" si="37"/>
        <v>0</v>
      </c>
    </row>
    <row r="85" spans="1:25" x14ac:dyDescent="0.25">
      <c r="A85" s="4" t="s">
        <v>824</v>
      </c>
      <c r="B85" s="7" t="s">
        <v>406</v>
      </c>
      <c r="C85" s="2" t="s">
        <v>825</v>
      </c>
      <c r="D85">
        <f>VLOOKUP(B85,'Model allocations'!$A$1:$L$319,5,FALSE)</f>
        <v>617755.56002320233</v>
      </c>
      <c r="E85" s="32">
        <f>VLOOKUP(B85,'Initial adjusted formula count'!$A$1:$P$319,12,FALSE)</f>
        <v>0.135009712928988</v>
      </c>
      <c r="F85">
        <f>VLOOKUP(B85,'Model allocations'!$A$1:$L$319,10,FALSE)</f>
        <v>630304.8155648238</v>
      </c>
      <c r="G85" s="31">
        <f t="shared" si="26"/>
        <v>0.85</v>
      </c>
      <c r="H85">
        <f t="shared" si="27"/>
        <v>525092.22601972194</v>
      </c>
      <c r="I85">
        <f t="shared" si="19"/>
        <v>0</v>
      </c>
      <c r="J85">
        <f t="shared" si="20"/>
        <v>630304.8155648238</v>
      </c>
      <c r="K85">
        <f t="shared" si="21"/>
        <v>630171.43185323919</v>
      </c>
      <c r="L85">
        <f t="shared" si="28"/>
        <v>630171.43185323919</v>
      </c>
      <c r="M85">
        <f t="shared" si="22"/>
        <v>0</v>
      </c>
      <c r="N85" s="30">
        <f t="shared" si="29"/>
        <v>630171.43185323919</v>
      </c>
      <c r="O85" s="30">
        <f t="shared" si="23"/>
        <v>630153.93687204062</v>
      </c>
      <c r="P85" s="30">
        <f t="shared" si="30"/>
        <v>630153.93687204062</v>
      </c>
      <c r="Q85">
        <f t="shared" si="31"/>
        <v>0</v>
      </c>
      <c r="R85" s="30">
        <f t="shared" si="32"/>
        <v>630153.93687204062</v>
      </c>
      <c r="S85" s="30">
        <f t="shared" si="24"/>
        <v>630153.9368720405</v>
      </c>
      <c r="T85" s="30">
        <f t="shared" si="33"/>
        <v>630153.9368720405</v>
      </c>
      <c r="U85">
        <f t="shared" si="34"/>
        <v>0</v>
      </c>
      <c r="V85" s="30">
        <f t="shared" si="35"/>
        <v>630153.9368720405</v>
      </c>
      <c r="W85" s="30">
        <f t="shared" si="25"/>
        <v>630153.93687204062</v>
      </c>
      <c r="X85" s="30">
        <f t="shared" si="36"/>
        <v>630153.93687204062</v>
      </c>
      <c r="Y85">
        <f t="shared" si="37"/>
        <v>0</v>
      </c>
    </row>
    <row r="86" spans="1:25" x14ac:dyDescent="0.25">
      <c r="A86" s="4" t="s">
        <v>826</v>
      </c>
      <c r="B86" s="7" t="s">
        <v>135</v>
      </c>
      <c r="C86" s="2" t="s">
        <v>827</v>
      </c>
      <c r="D86">
        <f>VLOOKUP(B86,'Model allocations'!$A$1:$L$319,5,FALSE)</f>
        <v>22778.018106386353</v>
      </c>
      <c r="E86" s="32">
        <f>VLOOKUP(B86,'Initial adjusted formula count'!$A$1:$P$319,12,FALSE)</f>
        <v>5.0301810865191199E-2</v>
      </c>
      <c r="F86">
        <f>VLOOKUP(B86,'Model allocations'!$A$1:$L$319,10,FALSE)</f>
        <v>20584.742507015802</v>
      </c>
      <c r="G86" s="31">
        <f t="shared" si="26"/>
        <v>0.85</v>
      </c>
      <c r="H86">
        <f t="shared" si="27"/>
        <v>19361.315390428401</v>
      </c>
      <c r="I86">
        <f t="shared" si="19"/>
        <v>0</v>
      </c>
      <c r="J86">
        <f t="shared" si="20"/>
        <v>20584.742507015802</v>
      </c>
      <c r="K86">
        <f t="shared" si="21"/>
        <v>20580.386409315455</v>
      </c>
      <c r="L86">
        <f t="shared" si="28"/>
        <v>20580.386409315455</v>
      </c>
      <c r="M86">
        <f t="shared" si="22"/>
        <v>0</v>
      </c>
      <c r="N86" s="30">
        <f t="shared" si="29"/>
        <v>20580.386409315455</v>
      </c>
      <c r="O86" s="30">
        <f t="shared" si="23"/>
        <v>20579.815051340323</v>
      </c>
      <c r="P86" s="30">
        <f t="shared" si="30"/>
        <v>20579.815051340323</v>
      </c>
      <c r="Q86">
        <f t="shared" si="31"/>
        <v>0</v>
      </c>
      <c r="R86" s="30">
        <f t="shared" si="32"/>
        <v>20579.815051340323</v>
      </c>
      <c r="S86" s="30">
        <f t="shared" si="24"/>
        <v>20579.81505134032</v>
      </c>
      <c r="T86" s="30">
        <f t="shared" si="33"/>
        <v>20579.81505134032</v>
      </c>
      <c r="U86">
        <f t="shared" si="34"/>
        <v>0</v>
      </c>
      <c r="V86" s="30">
        <f t="shared" si="35"/>
        <v>20579.81505134032</v>
      </c>
      <c r="W86" s="30">
        <f t="shared" si="25"/>
        <v>20579.815051340323</v>
      </c>
      <c r="X86" s="30">
        <f t="shared" si="36"/>
        <v>20579.815051340323</v>
      </c>
      <c r="Y86">
        <f t="shared" si="37"/>
        <v>0</v>
      </c>
    </row>
    <row r="87" spans="1:25" x14ac:dyDescent="0.25">
      <c r="A87" s="4" t="s">
        <v>828</v>
      </c>
      <c r="B87" s="7" t="s">
        <v>408</v>
      </c>
      <c r="C87" s="2" t="s">
        <v>829</v>
      </c>
      <c r="D87">
        <f>VLOOKUP(B87,'Model allocations'!$A$1:$L$319,5,FALSE)</f>
        <v>12251.792705123034</v>
      </c>
      <c r="E87" s="32">
        <f>VLOOKUP(B87,'Initial adjusted formula count'!$A$1:$P$319,12,FALSE)</f>
        <v>0.27559055118110198</v>
      </c>
      <c r="F87">
        <f>VLOOKUP(B87,'Model allocations'!$A$1:$L$319,10,FALSE)</f>
        <v>21243.567483324106</v>
      </c>
      <c r="G87" s="31">
        <f t="shared" si="26"/>
        <v>0.9</v>
      </c>
      <c r="H87">
        <f t="shared" si="27"/>
        <v>11026.613434610732</v>
      </c>
      <c r="I87">
        <f t="shared" si="19"/>
        <v>0</v>
      </c>
      <c r="J87">
        <f t="shared" si="20"/>
        <v>21243.567483324106</v>
      </c>
      <c r="K87">
        <f t="shared" si="21"/>
        <v>21239.07196653881</v>
      </c>
      <c r="L87">
        <f t="shared" si="28"/>
        <v>21239.07196653881</v>
      </c>
      <c r="M87">
        <f t="shared" si="22"/>
        <v>0</v>
      </c>
      <c r="N87" s="30">
        <f t="shared" si="29"/>
        <v>21239.07196653881</v>
      </c>
      <c r="O87" s="30">
        <f t="shared" si="23"/>
        <v>21238.482321966003</v>
      </c>
      <c r="P87" s="30">
        <f t="shared" si="30"/>
        <v>21238.482321966003</v>
      </c>
      <c r="Q87">
        <f t="shared" si="31"/>
        <v>0</v>
      </c>
      <c r="R87" s="30">
        <f t="shared" si="32"/>
        <v>21238.482321966003</v>
      </c>
      <c r="S87" s="30">
        <f t="shared" si="24"/>
        <v>21238.482321965996</v>
      </c>
      <c r="T87" s="30">
        <f t="shared" si="33"/>
        <v>21238.482321965996</v>
      </c>
      <c r="U87">
        <f t="shared" si="34"/>
        <v>0</v>
      </c>
      <c r="V87" s="30">
        <f t="shared" si="35"/>
        <v>21238.482321965996</v>
      </c>
      <c r="W87" s="30">
        <f t="shared" si="25"/>
        <v>21238.482321965999</v>
      </c>
      <c r="X87" s="30">
        <f t="shared" si="36"/>
        <v>21238.482321965999</v>
      </c>
      <c r="Y87">
        <f t="shared" si="37"/>
        <v>0</v>
      </c>
    </row>
    <row r="88" spans="1:25" x14ac:dyDescent="0.25">
      <c r="A88" s="4" t="s">
        <v>830</v>
      </c>
      <c r="B88" s="7" t="s">
        <v>137</v>
      </c>
      <c r="C88" s="2" t="s">
        <v>831</v>
      </c>
      <c r="D88">
        <f>VLOOKUP(B88,'Model allocations'!$A$1:$L$319,5,FALSE)</f>
        <v>8826.1482004421196</v>
      </c>
      <c r="E88" s="32">
        <f>VLOOKUP(B88,'Initial adjusted formula count'!$A$1:$P$319,12,FALSE)</f>
        <v>0.21666666666666701</v>
      </c>
      <c r="F88">
        <f>VLOOKUP(B88,'Model allocations'!$A$1:$L$319,10,FALSE)</f>
        <v>7943.5333803979074</v>
      </c>
      <c r="G88" s="31">
        <f t="shared" si="26"/>
        <v>0.9</v>
      </c>
      <c r="H88">
        <f t="shared" si="27"/>
        <v>7943.5333803979074</v>
      </c>
      <c r="I88">
        <f t="shared" si="19"/>
        <v>0</v>
      </c>
      <c r="J88">
        <f t="shared" si="20"/>
        <v>7943.5333803979074</v>
      </c>
      <c r="K88">
        <f t="shared" si="21"/>
        <v>7941.8523874256034</v>
      </c>
      <c r="L88">
        <f t="shared" si="28"/>
        <v>7941.8523874256034</v>
      </c>
      <c r="M88">
        <f t="shared" si="22"/>
        <v>7943.5333803979074</v>
      </c>
      <c r="N88" s="30">
        <f t="shared" si="29"/>
        <v>0</v>
      </c>
      <c r="O88" s="30">
        <f t="shared" si="23"/>
        <v>0</v>
      </c>
      <c r="P88" s="30">
        <f t="shared" si="30"/>
        <v>7943.5333803979074</v>
      </c>
      <c r="Q88">
        <f t="shared" si="31"/>
        <v>0</v>
      </c>
      <c r="R88" s="30">
        <f t="shared" si="32"/>
        <v>0</v>
      </c>
      <c r="S88" s="30">
        <f t="shared" si="24"/>
        <v>0</v>
      </c>
      <c r="T88" s="30">
        <f t="shared" si="33"/>
        <v>7943.5333803979074</v>
      </c>
      <c r="U88">
        <f t="shared" si="34"/>
        <v>0</v>
      </c>
      <c r="V88" s="30">
        <f t="shared" si="35"/>
        <v>0</v>
      </c>
      <c r="W88" s="30">
        <f t="shared" si="25"/>
        <v>0</v>
      </c>
      <c r="X88" s="30">
        <f t="shared" si="36"/>
        <v>7943.5333803979074</v>
      </c>
      <c r="Y88">
        <f t="shared" si="37"/>
        <v>0</v>
      </c>
    </row>
    <row r="89" spans="1:25" x14ac:dyDescent="0.25">
      <c r="A89" s="4" t="s">
        <v>832</v>
      </c>
      <c r="B89" s="7" t="s">
        <v>410</v>
      </c>
      <c r="C89" s="2" t="s">
        <v>833</v>
      </c>
      <c r="D89">
        <f>VLOOKUP(B89,'Model allocations'!$A$1:$L$319,5,FALSE)</f>
        <v>125891.36682095788</v>
      </c>
      <c r="E89" s="32">
        <f>VLOOKUP(B89,'Initial adjusted formula count'!$A$1:$P$319,12,FALSE)</f>
        <v>0.21327014218009499</v>
      </c>
      <c r="F89">
        <f>VLOOKUP(B89,'Model allocations'!$A$1:$L$319,10,FALSE)</f>
        <v>113302.23013886208</v>
      </c>
      <c r="G89" s="31">
        <f t="shared" si="26"/>
        <v>0.9</v>
      </c>
      <c r="H89">
        <f t="shared" si="27"/>
        <v>113302.23013886208</v>
      </c>
      <c r="I89">
        <f t="shared" si="19"/>
        <v>0</v>
      </c>
      <c r="J89">
        <f t="shared" si="20"/>
        <v>113302.23013886208</v>
      </c>
      <c r="K89">
        <f t="shared" si="21"/>
        <v>113278.25337140997</v>
      </c>
      <c r="L89">
        <f t="shared" si="28"/>
        <v>113278.25337140997</v>
      </c>
      <c r="M89">
        <f t="shared" si="22"/>
        <v>113302.23013886208</v>
      </c>
      <c r="N89" s="30">
        <f t="shared" si="29"/>
        <v>0</v>
      </c>
      <c r="O89" s="30">
        <f t="shared" si="23"/>
        <v>0</v>
      </c>
      <c r="P89" s="30">
        <f t="shared" si="30"/>
        <v>113302.23013886208</v>
      </c>
      <c r="Q89">
        <f t="shared" si="31"/>
        <v>0</v>
      </c>
      <c r="R89" s="30">
        <f t="shared" si="32"/>
        <v>0</v>
      </c>
      <c r="S89" s="30">
        <f t="shared" si="24"/>
        <v>0</v>
      </c>
      <c r="T89" s="30">
        <f t="shared" si="33"/>
        <v>113302.23013886208</v>
      </c>
      <c r="U89">
        <f t="shared" si="34"/>
        <v>0</v>
      </c>
      <c r="V89" s="30">
        <f t="shared" si="35"/>
        <v>0</v>
      </c>
      <c r="W89" s="30">
        <f t="shared" si="25"/>
        <v>0</v>
      </c>
      <c r="X89" s="30">
        <f t="shared" si="36"/>
        <v>113302.23013886208</v>
      </c>
      <c r="Y89">
        <f t="shared" si="37"/>
        <v>0</v>
      </c>
    </row>
    <row r="90" spans="1:25" x14ac:dyDescent="0.25">
      <c r="A90" s="4" t="s">
        <v>834</v>
      </c>
      <c r="B90" s="7" t="s">
        <v>412</v>
      </c>
      <c r="C90" s="2" t="s">
        <v>835</v>
      </c>
      <c r="D90">
        <f>VLOOKUP(B90,'Model allocations'!$A$1:$L$319,5,FALSE)</f>
        <v>37830.634999886905</v>
      </c>
      <c r="E90" s="32">
        <f>VLOOKUP(B90,'Initial adjusted formula count'!$A$1:$P$319,12,FALSE)</f>
        <v>0.15611192930780601</v>
      </c>
      <c r="F90">
        <f>VLOOKUP(B90,'Model allocations'!$A$1:$L$319,10,FALSE)</f>
        <v>43705.051841818298</v>
      </c>
      <c r="G90" s="31">
        <f t="shared" si="26"/>
        <v>0.9</v>
      </c>
      <c r="H90">
        <f t="shared" si="27"/>
        <v>34047.571499898215</v>
      </c>
      <c r="I90">
        <f t="shared" si="19"/>
        <v>0</v>
      </c>
      <c r="J90">
        <f t="shared" si="20"/>
        <v>43705.051841818298</v>
      </c>
      <c r="K90">
        <f t="shared" si="21"/>
        <v>43695.803075371172</v>
      </c>
      <c r="L90">
        <f t="shared" si="28"/>
        <v>43695.803075371172</v>
      </c>
      <c r="M90">
        <f t="shared" si="22"/>
        <v>0</v>
      </c>
      <c r="N90" s="30">
        <f t="shared" si="29"/>
        <v>43695.803075371172</v>
      </c>
      <c r="O90" s="30">
        <f t="shared" si="23"/>
        <v>43694.589981259604</v>
      </c>
      <c r="P90" s="30">
        <f t="shared" si="30"/>
        <v>43694.589981259604</v>
      </c>
      <c r="Q90">
        <f t="shared" si="31"/>
        <v>0</v>
      </c>
      <c r="R90" s="30">
        <f t="shared" si="32"/>
        <v>43694.589981259604</v>
      </c>
      <c r="S90" s="30">
        <f t="shared" si="24"/>
        <v>43694.589981259596</v>
      </c>
      <c r="T90" s="30">
        <f t="shared" si="33"/>
        <v>43694.589981259596</v>
      </c>
      <c r="U90">
        <f t="shared" si="34"/>
        <v>0</v>
      </c>
      <c r="V90" s="30">
        <f t="shared" si="35"/>
        <v>43694.589981259596</v>
      </c>
      <c r="W90" s="30">
        <f t="shared" si="25"/>
        <v>43694.589981259604</v>
      </c>
      <c r="X90" s="30">
        <f t="shared" si="36"/>
        <v>43694.589981259604</v>
      </c>
      <c r="Y90">
        <f t="shared" si="37"/>
        <v>0</v>
      </c>
    </row>
    <row r="91" spans="1:25" x14ac:dyDescent="0.25">
      <c r="A91" s="4" t="s">
        <v>836</v>
      </c>
      <c r="B91" s="7" t="s">
        <v>414</v>
      </c>
      <c r="C91" s="2" t="s">
        <v>837</v>
      </c>
      <c r="D91">
        <f>VLOOKUP(B91,'Model allocations'!$A$1:$L$319,5,FALSE)</f>
        <v>259605.76541566412</v>
      </c>
      <c r="E91" s="32">
        <f>VLOOKUP(B91,'Initial adjusted formula count'!$A$1:$P$319,12,FALSE)</f>
        <v>0.17711682743837101</v>
      </c>
      <c r="F91">
        <f>VLOOKUP(B91,'Model allocations'!$A$1:$L$319,10,FALSE)</f>
        <v>296694.39853225095</v>
      </c>
      <c r="G91" s="31">
        <f t="shared" si="26"/>
        <v>0.9</v>
      </c>
      <c r="H91">
        <f t="shared" si="27"/>
        <v>233645.18887409772</v>
      </c>
      <c r="I91">
        <f t="shared" si="19"/>
        <v>0</v>
      </c>
      <c r="J91">
        <f t="shared" si="20"/>
        <v>296694.39853225095</v>
      </c>
      <c r="K91">
        <f t="shared" si="21"/>
        <v>296631.61271956895</v>
      </c>
      <c r="L91">
        <f t="shared" si="28"/>
        <v>296631.61271956895</v>
      </c>
      <c r="M91">
        <f t="shared" si="22"/>
        <v>0</v>
      </c>
      <c r="N91" s="30">
        <f t="shared" si="29"/>
        <v>296631.61271956895</v>
      </c>
      <c r="O91" s="30">
        <f t="shared" si="23"/>
        <v>296623.37755652424</v>
      </c>
      <c r="P91" s="30">
        <f t="shared" si="30"/>
        <v>296623.37755652424</v>
      </c>
      <c r="Q91">
        <f t="shared" si="31"/>
        <v>0</v>
      </c>
      <c r="R91" s="30">
        <f t="shared" si="32"/>
        <v>296623.37755652424</v>
      </c>
      <c r="S91" s="30">
        <f t="shared" si="24"/>
        <v>296623.37755652418</v>
      </c>
      <c r="T91" s="30">
        <f t="shared" si="33"/>
        <v>296623.37755652418</v>
      </c>
      <c r="U91">
        <f t="shared" si="34"/>
        <v>0</v>
      </c>
      <c r="V91" s="30">
        <f t="shared" si="35"/>
        <v>296623.37755652418</v>
      </c>
      <c r="W91" s="30">
        <f t="shared" si="25"/>
        <v>296623.37755652418</v>
      </c>
      <c r="X91" s="30">
        <f t="shared" si="36"/>
        <v>296623.37755652418</v>
      </c>
      <c r="Y91">
        <f t="shared" si="37"/>
        <v>0</v>
      </c>
    </row>
    <row r="92" spans="1:25" x14ac:dyDescent="0.25">
      <c r="A92" s="4" t="s">
        <v>838</v>
      </c>
      <c r="B92" s="7" t="s">
        <v>416</v>
      </c>
      <c r="C92" s="2" t="s">
        <v>839</v>
      </c>
      <c r="D92">
        <f>VLOOKUP(B92,'Model allocations'!$A$1:$L$319,5,FALSE)</f>
        <v>199462.00315525001</v>
      </c>
      <c r="E92" s="32">
        <f>VLOOKUP(B92,'Initial adjusted formula count'!$A$1:$P$319,12,FALSE)</f>
        <v>0.23440453686200399</v>
      </c>
      <c r="F92">
        <f>VLOOKUP(B92,'Model allocations'!$A$1:$L$319,10,FALSE)</f>
        <v>198187.74975195611</v>
      </c>
      <c r="G92" s="31">
        <f t="shared" si="26"/>
        <v>0.9</v>
      </c>
      <c r="H92">
        <f t="shared" si="27"/>
        <v>179515.80283972502</v>
      </c>
      <c r="I92">
        <f t="shared" si="19"/>
        <v>0</v>
      </c>
      <c r="J92">
        <f t="shared" si="20"/>
        <v>198187.74975195611</v>
      </c>
      <c r="K92">
        <f t="shared" si="21"/>
        <v>198145.80969850937</v>
      </c>
      <c r="L92">
        <f t="shared" si="28"/>
        <v>198145.80969850937</v>
      </c>
      <c r="M92">
        <f t="shared" si="22"/>
        <v>0</v>
      </c>
      <c r="N92" s="30">
        <f t="shared" si="29"/>
        <v>198145.80969850937</v>
      </c>
      <c r="O92" s="30">
        <f t="shared" si="23"/>
        <v>198140.30872363169</v>
      </c>
      <c r="P92" s="30">
        <f t="shared" si="30"/>
        <v>198140.30872363169</v>
      </c>
      <c r="Q92">
        <f t="shared" si="31"/>
        <v>0</v>
      </c>
      <c r="R92" s="30">
        <f t="shared" si="32"/>
        <v>198140.30872363169</v>
      </c>
      <c r="S92" s="30">
        <f t="shared" si="24"/>
        <v>198140.30872363164</v>
      </c>
      <c r="T92" s="30">
        <f t="shared" si="33"/>
        <v>198140.30872363164</v>
      </c>
      <c r="U92">
        <f t="shared" si="34"/>
        <v>0</v>
      </c>
      <c r="V92" s="30">
        <f t="shared" si="35"/>
        <v>198140.30872363164</v>
      </c>
      <c r="W92" s="30">
        <f t="shared" si="25"/>
        <v>198140.30872363164</v>
      </c>
      <c r="X92" s="30">
        <f t="shared" si="36"/>
        <v>198140.30872363164</v>
      </c>
      <c r="Y92">
        <f t="shared" si="37"/>
        <v>0</v>
      </c>
    </row>
    <row r="93" spans="1:25" x14ac:dyDescent="0.25">
      <c r="A93" s="4" t="s">
        <v>840</v>
      </c>
      <c r="B93" s="7" t="s">
        <v>139</v>
      </c>
      <c r="C93" s="2" t="s">
        <v>841</v>
      </c>
      <c r="D93">
        <f>VLOOKUP(B93,'Model allocations'!$A$1:$L$319,5,FALSE)</f>
        <v>84435.756773673551</v>
      </c>
      <c r="E93" s="32">
        <f>VLOOKUP(B93,'Initial adjusted formula count'!$A$1:$P$319,12,FALSE)</f>
        <v>7.8627591136526107E-2</v>
      </c>
      <c r="F93">
        <f>VLOOKUP(B93,'Model allocations'!$A$1:$L$319,10,FALSE)</f>
        <v>90572.867030869544</v>
      </c>
      <c r="G93" s="31">
        <f t="shared" si="26"/>
        <v>0.85</v>
      </c>
      <c r="H93">
        <f t="shared" si="27"/>
        <v>71770.39325762252</v>
      </c>
      <c r="I93">
        <f t="shared" si="19"/>
        <v>0</v>
      </c>
      <c r="J93">
        <f t="shared" si="20"/>
        <v>90572.867030869544</v>
      </c>
      <c r="K93">
        <f t="shared" si="21"/>
        <v>90553.700200988023</v>
      </c>
      <c r="L93">
        <f t="shared" si="28"/>
        <v>90553.700200988023</v>
      </c>
      <c r="M93">
        <f t="shared" si="22"/>
        <v>0</v>
      </c>
      <c r="N93" s="30">
        <f t="shared" si="29"/>
        <v>90553.700200988023</v>
      </c>
      <c r="O93" s="30">
        <f t="shared" si="23"/>
        <v>90551.186225897443</v>
      </c>
      <c r="P93" s="30">
        <f t="shared" si="30"/>
        <v>90551.186225897443</v>
      </c>
      <c r="Q93">
        <f t="shared" si="31"/>
        <v>0</v>
      </c>
      <c r="R93" s="30">
        <f t="shared" si="32"/>
        <v>90551.186225897443</v>
      </c>
      <c r="S93" s="30">
        <f t="shared" si="24"/>
        <v>90551.186225897429</v>
      </c>
      <c r="T93" s="30">
        <f t="shared" si="33"/>
        <v>90551.186225897429</v>
      </c>
      <c r="U93">
        <f t="shared" si="34"/>
        <v>0</v>
      </c>
      <c r="V93" s="30">
        <f t="shared" si="35"/>
        <v>90551.186225897429</v>
      </c>
      <c r="W93" s="30">
        <f t="shared" si="25"/>
        <v>90551.186225897443</v>
      </c>
      <c r="X93" s="30">
        <f t="shared" si="36"/>
        <v>90551.186225897443</v>
      </c>
      <c r="Y93">
        <f t="shared" si="37"/>
        <v>0</v>
      </c>
    </row>
    <row r="94" spans="1:25" x14ac:dyDescent="0.25">
      <c r="A94" s="4" t="s">
        <v>842</v>
      </c>
      <c r="B94" s="7" t="s">
        <v>418</v>
      </c>
      <c r="C94" s="2" t="s">
        <v>843</v>
      </c>
      <c r="D94">
        <f>VLOOKUP(B94,'Model allocations'!$A$1:$L$319,5,FALSE)</f>
        <v>18850.773605285271</v>
      </c>
      <c r="E94" s="32">
        <f>VLOOKUP(B94,'Initial adjusted formula count'!$A$1:$P$319,12,FALSE)</f>
        <v>8.2840236686390595E-2</v>
      </c>
      <c r="F94">
        <f>VLOOKUP(B94,'Model allocations'!$A$1:$L$319,10,FALSE)</f>
        <v>16023.15756449248</v>
      </c>
      <c r="G94" s="31">
        <f t="shared" si="26"/>
        <v>0.85</v>
      </c>
      <c r="H94">
        <f t="shared" si="27"/>
        <v>16023.15756449248</v>
      </c>
      <c r="I94">
        <f t="shared" si="19"/>
        <v>0</v>
      </c>
      <c r="J94">
        <f t="shared" si="20"/>
        <v>16023.15756449248</v>
      </c>
      <c r="K94">
        <f t="shared" si="21"/>
        <v>16019.766779312864</v>
      </c>
      <c r="L94">
        <f t="shared" si="28"/>
        <v>16019.766779312864</v>
      </c>
      <c r="M94">
        <f t="shared" si="22"/>
        <v>16023.15756449248</v>
      </c>
      <c r="N94" s="30">
        <f t="shared" si="29"/>
        <v>0</v>
      </c>
      <c r="O94" s="30">
        <f t="shared" si="23"/>
        <v>0</v>
      </c>
      <c r="P94" s="30">
        <f t="shared" si="30"/>
        <v>16023.15756449248</v>
      </c>
      <c r="Q94">
        <f t="shared" si="31"/>
        <v>0</v>
      </c>
      <c r="R94" s="30">
        <f t="shared" si="32"/>
        <v>0</v>
      </c>
      <c r="S94" s="30">
        <f t="shared" si="24"/>
        <v>0</v>
      </c>
      <c r="T94" s="30">
        <f t="shared" si="33"/>
        <v>16023.15756449248</v>
      </c>
      <c r="U94">
        <f t="shared" si="34"/>
        <v>0</v>
      </c>
      <c r="V94" s="30">
        <f t="shared" si="35"/>
        <v>0</v>
      </c>
      <c r="W94" s="30">
        <f t="shared" si="25"/>
        <v>0</v>
      </c>
      <c r="X94" s="30">
        <f t="shared" si="36"/>
        <v>16023.15756449248</v>
      </c>
      <c r="Y94">
        <f t="shared" si="37"/>
        <v>0</v>
      </c>
    </row>
    <row r="95" spans="1:25" x14ac:dyDescent="0.25">
      <c r="A95" s="4" t="s">
        <v>844</v>
      </c>
      <c r="B95" s="7" t="s">
        <v>420</v>
      </c>
      <c r="C95" s="2" t="s">
        <v>845</v>
      </c>
      <c r="D95">
        <f>VLOOKUP(B95,'Model allocations'!$A$1:$L$319,5,FALSE)</f>
        <v>22218.159948420642</v>
      </c>
      <c r="E95" s="32">
        <f>VLOOKUP(B95,'Initial adjusted formula count'!$A$1:$P$319,12,FALSE)</f>
        <v>0.22994652406417099</v>
      </c>
      <c r="F95">
        <f>VLOOKUP(B95,'Model allocations'!$A$1:$L$319,10,FALSE)</f>
        <v>22494.913980325593</v>
      </c>
      <c r="G95" s="31">
        <f t="shared" si="26"/>
        <v>0.9</v>
      </c>
      <c r="H95">
        <f t="shared" si="27"/>
        <v>19996.343953578576</v>
      </c>
      <c r="I95">
        <f t="shared" si="19"/>
        <v>0</v>
      </c>
      <c r="J95">
        <f t="shared" si="20"/>
        <v>22494.913980325593</v>
      </c>
      <c r="K95">
        <f t="shared" si="21"/>
        <v>22490.153656361093</v>
      </c>
      <c r="L95">
        <f t="shared" si="28"/>
        <v>22490.153656361093</v>
      </c>
      <c r="M95">
        <f t="shared" si="22"/>
        <v>0</v>
      </c>
      <c r="N95" s="30">
        <f t="shared" si="29"/>
        <v>22490.153656361093</v>
      </c>
      <c r="O95" s="30">
        <f t="shared" si="23"/>
        <v>22489.529278936978</v>
      </c>
      <c r="P95" s="30">
        <f t="shared" si="30"/>
        <v>22489.529278936978</v>
      </c>
      <c r="Q95">
        <f t="shared" si="31"/>
        <v>0</v>
      </c>
      <c r="R95" s="30">
        <f t="shared" si="32"/>
        <v>22489.529278936978</v>
      </c>
      <c r="S95" s="30">
        <f t="shared" si="24"/>
        <v>22489.529278936971</v>
      </c>
      <c r="T95" s="30">
        <f t="shared" si="33"/>
        <v>22489.529278936971</v>
      </c>
      <c r="U95">
        <f t="shared" si="34"/>
        <v>0</v>
      </c>
      <c r="V95" s="30">
        <f t="shared" si="35"/>
        <v>22489.529278936971</v>
      </c>
      <c r="W95" s="30">
        <f t="shared" si="25"/>
        <v>22489.529278936971</v>
      </c>
      <c r="X95" s="30">
        <f t="shared" si="36"/>
        <v>22489.529278936971</v>
      </c>
      <c r="Y95">
        <f t="shared" si="37"/>
        <v>0</v>
      </c>
    </row>
    <row r="96" spans="1:25" x14ac:dyDescent="0.25">
      <c r="A96" s="4" t="s">
        <v>846</v>
      </c>
      <c r="B96" s="7" t="s">
        <v>141</v>
      </c>
      <c r="C96" s="2" t="s">
        <v>847</v>
      </c>
      <c r="D96">
        <f>VLOOKUP(B96,'Model allocations'!$A$1:$L$319,5,FALSE)</f>
        <v>7069.0401019819737</v>
      </c>
      <c r="E96" s="32">
        <f>VLOOKUP(B96,'Initial adjusted formula count'!$A$1:$P$319,12,FALSE)</f>
        <v>7.8048780487804906E-2</v>
      </c>
      <c r="F96">
        <f>VLOOKUP(B96,'Model allocations'!$A$1:$L$319,10,FALSE)</f>
        <v>6587.1176022450536</v>
      </c>
      <c r="G96" s="31">
        <f t="shared" si="26"/>
        <v>0.85</v>
      </c>
      <c r="H96">
        <f t="shared" si="27"/>
        <v>6008.6840866846778</v>
      </c>
      <c r="I96">
        <f t="shared" si="19"/>
        <v>0</v>
      </c>
      <c r="J96">
        <f t="shared" si="20"/>
        <v>6587.1176022450536</v>
      </c>
      <c r="K96">
        <f t="shared" si="21"/>
        <v>6585.7236509809427</v>
      </c>
      <c r="L96">
        <f t="shared" si="28"/>
        <v>6585.7236509809427</v>
      </c>
      <c r="M96">
        <f t="shared" si="22"/>
        <v>0</v>
      </c>
      <c r="N96" s="30">
        <f t="shared" si="29"/>
        <v>6585.7236509809427</v>
      </c>
      <c r="O96" s="30">
        <f t="shared" si="23"/>
        <v>6585.5408164289011</v>
      </c>
      <c r="P96" s="30">
        <f t="shared" si="30"/>
        <v>6585.5408164289011</v>
      </c>
      <c r="Q96">
        <f t="shared" si="31"/>
        <v>0</v>
      </c>
      <c r="R96" s="30">
        <f t="shared" si="32"/>
        <v>6585.5408164289011</v>
      </c>
      <c r="S96" s="30">
        <f t="shared" si="24"/>
        <v>6585.5408164288992</v>
      </c>
      <c r="T96" s="30">
        <f t="shared" si="33"/>
        <v>6585.5408164288992</v>
      </c>
      <c r="U96">
        <f t="shared" si="34"/>
        <v>0</v>
      </c>
      <c r="V96" s="30">
        <f t="shared" si="35"/>
        <v>6585.5408164288992</v>
      </c>
      <c r="W96" s="30">
        <f t="shared" si="25"/>
        <v>6585.5408164289001</v>
      </c>
      <c r="X96" s="30">
        <f t="shared" si="36"/>
        <v>6585.5408164289001</v>
      </c>
      <c r="Y96">
        <f t="shared" si="37"/>
        <v>0</v>
      </c>
    </row>
    <row r="97" spans="1:25" x14ac:dyDescent="0.25">
      <c r="A97" s="4" t="s">
        <v>848</v>
      </c>
      <c r="B97" s="7" t="s">
        <v>143</v>
      </c>
      <c r="C97" s="2" t="s">
        <v>849</v>
      </c>
      <c r="D97">
        <f>VLOOKUP(B97,'Model allocations'!$A$1:$L$319,5,FALSE)</f>
        <v>27883.435957817775</v>
      </c>
      <c r="E97" s="32">
        <f>VLOOKUP(B97,'Initial adjusted formula count'!$A$1:$P$319,12,FALSE)</f>
        <v>5.2396878483835001E-2</v>
      </c>
      <c r="F97">
        <f>VLOOKUP(B97,'Model allocations'!$A$1:$L$319,10,FALSE)</f>
        <v>23700.920564145108</v>
      </c>
      <c r="G97" s="31">
        <f t="shared" si="26"/>
        <v>0.85</v>
      </c>
      <c r="H97">
        <f t="shared" si="27"/>
        <v>23700.920564145108</v>
      </c>
      <c r="I97">
        <f t="shared" si="19"/>
        <v>0</v>
      </c>
      <c r="J97">
        <f t="shared" si="20"/>
        <v>23700.920564145108</v>
      </c>
      <c r="K97">
        <f t="shared" si="21"/>
        <v>23695.905027733595</v>
      </c>
      <c r="L97">
        <f t="shared" si="28"/>
        <v>23695.905027733595</v>
      </c>
      <c r="M97">
        <f t="shared" si="22"/>
        <v>23700.920564145108</v>
      </c>
      <c r="N97" s="30">
        <f t="shared" si="29"/>
        <v>0</v>
      </c>
      <c r="O97" s="30">
        <f t="shared" si="23"/>
        <v>0</v>
      </c>
      <c r="P97" s="30">
        <f t="shared" si="30"/>
        <v>23700.920564145108</v>
      </c>
      <c r="Q97">
        <f t="shared" si="31"/>
        <v>0</v>
      </c>
      <c r="R97" s="30">
        <f t="shared" si="32"/>
        <v>0</v>
      </c>
      <c r="S97" s="30">
        <f t="shared" si="24"/>
        <v>0</v>
      </c>
      <c r="T97" s="30">
        <f t="shared" si="33"/>
        <v>23700.920564145108</v>
      </c>
      <c r="U97">
        <f t="shared" si="34"/>
        <v>0</v>
      </c>
      <c r="V97" s="30">
        <f t="shared" si="35"/>
        <v>0</v>
      </c>
      <c r="W97" s="30">
        <f t="shared" si="25"/>
        <v>0</v>
      </c>
      <c r="X97" s="30">
        <f t="shared" si="36"/>
        <v>23700.920564145108</v>
      </c>
      <c r="Y97">
        <f t="shared" si="37"/>
        <v>0</v>
      </c>
    </row>
    <row r="98" spans="1:25" x14ac:dyDescent="0.25">
      <c r="A98" s="4" t="s">
        <v>850</v>
      </c>
      <c r="B98" s="7" t="s">
        <v>422</v>
      </c>
      <c r="C98" s="2" t="s">
        <v>851</v>
      </c>
      <c r="D98">
        <f>VLOOKUP(B98,'Model allocations'!$A$1:$L$319,5,FALSE)</f>
        <v>15294.527281309296</v>
      </c>
      <c r="E98" s="32">
        <f>VLOOKUP(B98,'Initial adjusted formula count'!$A$1:$P$319,12,FALSE)</f>
        <v>8.2758620689655199E-2</v>
      </c>
      <c r="F98">
        <f>VLOOKUP(B98,'Model allocations'!$A$1:$L$319,10,FALSE)</f>
        <v>13000.348189112901</v>
      </c>
      <c r="G98" s="31">
        <f t="shared" si="26"/>
        <v>0.85</v>
      </c>
      <c r="H98">
        <f t="shared" si="27"/>
        <v>13000.348189112901</v>
      </c>
      <c r="I98">
        <f t="shared" si="19"/>
        <v>0</v>
      </c>
      <c r="J98">
        <f t="shared" si="20"/>
        <v>13000.348189112901</v>
      </c>
      <c r="K98">
        <f t="shared" si="21"/>
        <v>12997.59708417044</v>
      </c>
      <c r="L98">
        <f t="shared" si="28"/>
        <v>12997.59708417044</v>
      </c>
      <c r="M98">
        <f t="shared" si="22"/>
        <v>13000.348189112901</v>
      </c>
      <c r="N98" s="30">
        <f t="shared" si="29"/>
        <v>0</v>
      </c>
      <c r="O98" s="30">
        <f t="shared" si="23"/>
        <v>0</v>
      </c>
      <c r="P98" s="30">
        <f t="shared" si="30"/>
        <v>13000.348189112901</v>
      </c>
      <c r="Q98">
        <f t="shared" si="31"/>
        <v>0</v>
      </c>
      <c r="R98" s="30">
        <f t="shared" si="32"/>
        <v>0</v>
      </c>
      <c r="S98" s="30">
        <f t="shared" si="24"/>
        <v>0</v>
      </c>
      <c r="T98" s="30">
        <f t="shared" si="33"/>
        <v>13000.348189112901</v>
      </c>
      <c r="U98">
        <f t="shared" si="34"/>
        <v>0</v>
      </c>
      <c r="V98" s="30">
        <f t="shared" si="35"/>
        <v>0</v>
      </c>
      <c r="W98" s="30">
        <f t="shared" si="25"/>
        <v>0</v>
      </c>
      <c r="X98" s="30">
        <f t="shared" si="36"/>
        <v>13000.348189112901</v>
      </c>
      <c r="Y98">
        <f t="shared" si="37"/>
        <v>0</v>
      </c>
    </row>
    <row r="99" spans="1:25" x14ac:dyDescent="0.25">
      <c r="A99" s="4" t="s">
        <v>852</v>
      </c>
      <c r="B99" s="7" t="s">
        <v>424</v>
      </c>
      <c r="C99" s="2" t="s">
        <v>853</v>
      </c>
      <c r="D99">
        <f>VLOOKUP(B99,'Model allocations'!$A$1:$L$319,5,FALSE)</f>
        <v>96674.209176232398</v>
      </c>
      <c r="E99" s="32">
        <f>VLOOKUP(B99,'Initial adjusted formula count'!$A$1:$P$319,12,FALSE)</f>
        <v>0.18553459119496901</v>
      </c>
      <c r="F99">
        <f>VLOOKUP(B99,'Model allocations'!$A$1:$L$319,10,FALSE)</f>
        <v>108838.45010807489</v>
      </c>
      <c r="G99" s="31">
        <f t="shared" si="26"/>
        <v>0.9</v>
      </c>
      <c r="H99">
        <f t="shared" si="27"/>
        <v>87006.788258609158</v>
      </c>
      <c r="I99">
        <f t="shared" si="19"/>
        <v>0</v>
      </c>
      <c r="J99">
        <f t="shared" si="20"/>
        <v>108838.45010807489</v>
      </c>
      <c r="K99">
        <f t="shared" si="21"/>
        <v>108815.41795588433</v>
      </c>
      <c r="L99">
        <f t="shared" si="28"/>
        <v>108815.41795588433</v>
      </c>
      <c r="M99">
        <f t="shared" si="22"/>
        <v>0</v>
      </c>
      <c r="N99" s="30">
        <f t="shared" si="29"/>
        <v>108815.41795588433</v>
      </c>
      <c r="O99" s="30">
        <f t="shared" si="23"/>
        <v>108812.39699429352</v>
      </c>
      <c r="P99" s="30">
        <f t="shared" si="30"/>
        <v>108812.39699429352</v>
      </c>
      <c r="Q99">
        <f t="shared" si="31"/>
        <v>0</v>
      </c>
      <c r="R99" s="30">
        <f t="shared" si="32"/>
        <v>108812.39699429352</v>
      </c>
      <c r="S99" s="30">
        <f t="shared" si="24"/>
        <v>108812.39699429351</v>
      </c>
      <c r="T99" s="30">
        <f t="shared" si="33"/>
        <v>108812.39699429351</v>
      </c>
      <c r="U99">
        <f t="shared" si="34"/>
        <v>0</v>
      </c>
      <c r="V99" s="30">
        <f t="shared" si="35"/>
        <v>108812.39699429351</v>
      </c>
      <c r="W99" s="30">
        <f t="shared" si="25"/>
        <v>108812.39699429351</v>
      </c>
      <c r="X99" s="30">
        <f t="shared" si="36"/>
        <v>108812.39699429351</v>
      </c>
      <c r="Y99">
        <f t="shared" si="37"/>
        <v>0</v>
      </c>
    </row>
    <row r="100" spans="1:25" x14ac:dyDescent="0.25">
      <c r="A100" s="4" t="s">
        <v>18</v>
      </c>
      <c r="B100" s="7" t="s">
        <v>60</v>
      </c>
      <c r="C100" s="2" t="s">
        <v>854</v>
      </c>
      <c r="D100">
        <f>VLOOKUP(B100,'Model allocations'!$A$1:$L$319,5,FALSE)</f>
        <v>2113308.8511367096</v>
      </c>
      <c r="E100" s="32">
        <f>VLOOKUP(B100,'Initial adjusted formula count'!$A$1:$P$319,12,FALSE)</f>
        <v>0.155171309594964</v>
      </c>
      <c r="F100">
        <f>VLOOKUP(B100,'Model allocations'!$A$1:$L$319,10,FALSE)</f>
        <v>1897231.2829631993</v>
      </c>
      <c r="G100" s="31">
        <f t="shared" si="26"/>
        <v>0.9</v>
      </c>
      <c r="H100">
        <f t="shared" si="27"/>
        <v>1901977.9660230386</v>
      </c>
      <c r="I100">
        <f t="shared" si="19"/>
        <v>1901977.9660230386</v>
      </c>
      <c r="J100">
        <f t="shared" si="20"/>
        <v>0</v>
      </c>
      <c r="K100">
        <f t="shared" si="21"/>
        <v>0</v>
      </c>
      <c r="L100">
        <f t="shared" si="28"/>
        <v>1901977.9660230386</v>
      </c>
      <c r="M100">
        <f t="shared" si="22"/>
        <v>0</v>
      </c>
      <c r="N100" s="30">
        <f t="shared" si="29"/>
        <v>0</v>
      </c>
      <c r="O100" s="30">
        <f t="shared" si="23"/>
        <v>0</v>
      </c>
      <c r="P100" s="30">
        <f t="shared" si="30"/>
        <v>1901977.9660230386</v>
      </c>
      <c r="Q100">
        <f t="shared" si="31"/>
        <v>0</v>
      </c>
      <c r="R100" s="30">
        <f t="shared" si="32"/>
        <v>0</v>
      </c>
      <c r="S100" s="30">
        <f t="shared" si="24"/>
        <v>0</v>
      </c>
      <c r="T100" s="30">
        <f t="shared" si="33"/>
        <v>1901977.9660230386</v>
      </c>
      <c r="U100">
        <f t="shared" si="34"/>
        <v>0</v>
      </c>
      <c r="V100" s="30">
        <f t="shared" si="35"/>
        <v>0</v>
      </c>
      <c r="W100" s="30">
        <f t="shared" si="25"/>
        <v>0</v>
      </c>
      <c r="X100" s="30">
        <f t="shared" si="36"/>
        <v>1901977.9660230386</v>
      </c>
      <c r="Y100">
        <f t="shared" si="37"/>
        <v>0</v>
      </c>
    </row>
    <row r="101" spans="1:25" x14ac:dyDescent="0.25">
      <c r="A101" s="4" t="s">
        <v>855</v>
      </c>
      <c r="B101" s="7" t="s">
        <v>145</v>
      </c>
      <c r="C101" s="2" t="s">
        <v>856</v>
      </c>
      <c r="D101">
        <f>VLOOKUP(B101,'Model allocations'!$A$1:$L$319,5,FALSE)</f>
        <v>58123.218616296217</v>
      </c>
      <c r="E101" s="32">
        <f>VLOOKUP(B101,'Initial adjusted formula count'!$A$1:$P$319,12,FALSE)</f>
        <v>4.4700460829493097E-2</v>
      </c>
      <c r="F101">
        <f>VLOOKUP(B101,'Model allocations'!$A$1:$L$319,10,FALSE)</f>
        <v>0</v>
      </c>
      <c r="G101" s="31">
        <f t="shared" si="26"/>
        <v>0.85</v>
      </c>
      <c r="H101">
        <f t="shared" si="27"/>
        <v>0</v>
      </c>
      <c r="I101">
        <f t="shared" si="19"/>
        <v>0</v>
      </c>
      <c r="J101">
        <f t="shared" si="20"/>
        <v>0</v>
      </c>
      <c r="K101">
        <f t="shared" si="21"/>
        <v>0</v>
      </c>
      <c r="L101">
        <f t="shared" si="28"/>
        <v>0</v>
      </c>
      <c r="M101">
        <f t="shared" si="22"/>
        <v>0</v>
      </c>
      <c r="N101" s="30">
        <f t="shared" si="29"/>
        <v>0</v>
      </c>
      <c r="O101" s="30">
        <f t="shared" si="23"/>
        <v>0</v>
      </c>
      <c r="P101" s="30">
        <f t="shared" si="30"/>
        <v>0</v>
      </c>
      <c r="Q101">
        <f t="shared" si="31"/>
        <v>0</v>
      </c>
      <c r="R101" s="30">
        <f t="shared" si="32"/>
        <v>0</v>
      </c>
      <c r="S101" s="30">
        <f t="shared" si="24"/>
        <v>0</v>
      </c>
      <c r="T101" s="30">
        <f t="shared" si="33"/>
        <v>0</v>
      </c>
      <c r="U101">
        <f t="shared" si="34"/>
        <v>0</v>
      </c>
      <c r="V101" s="30">
        <f t="shared" si="35"/>
        <v>0</v>
      </c>
      <c r="W101" s="30">
        <f t="shared" si="25"/>
        <v>0</v>
      </c>
      <c r="X101" s="30">
        <f t="shared" si="36"/>
        <v>0</v>
      </c>
      <c r="Y101">
        <f t="shared" si="37"/>
        <v>0</v>
      </c>
    </row>
    <row r="102" spans="1:25" x14ac:dyDescent="0.25">
      <c r="A102" s="4" t="s">
        <v>857</v>
      </c>
      <c r="B102" s="7" t="s">
        <v>426</v>
      </c>
      <c r="C102" s="2" t="s">
        <v>858</v>
      </c>
      <c r="D102">
        <f>VLOOKUP(B102,'Model allocations'!$A$1:$L$319,5,FALSE)</f>
        <v>64094.593880220447</v>
      </c>
      <c r="E102" s="32">
        <f>VLOOKUP(B102,'Initial adjusted formula count'!$A$1:$P$319,12,FALSE)</f>
        <v>0.168345323741007</v>
      </c>
      <c r="F102">
        <f>VLOOKUP(B102,'Model allocations'!$A$1:$L$319,10,FALSE)</f>
        <v>57685.134492198405</v>
      </c>
      <c r="G102" s="31">
        <f t="shared" si="26"/>
        <v>0.9</v>
      </c>
      <c r="H102">
        <f t="shared" si="27"/>
        <v>57685.134492198405</v>
      </c>
      <c r="I102">
        <f t="shared" si="19"/>
        <v>0</v>
      </c>
      <c r="J102">
        <f t="shared" si="20"/>
        <v>57685.134492198405</v>
      </c>
      <c r="K102">
        <f t="shared" si="21"/>
        <v>57672.927291568129</v>
      </c>
      <c r="L102">
        <f t="shared" si="28"/>
        <v>57672.927291568129</v>
      </c>
      <c r="M102">
        <f t="shared" si="22"/>
        <v>57685.134492198405</v>
      </c>
      <c r="N102" s="30">
        <f t="shared" si="29"/>
        <v>0</v>
      </c>
      <c r="O102" s="30">
        <f t="shared" si="23"/>
        <v>0</v>
      </c>
      <c r="P102" s="30">
        <f t="shared" si="30"/>
        <v>57685.134492198405</v>
      </c>
      <c r="Q102">
        <f t="shared" si="31"/>
        <v>0</v>
      </c>
      <c r="R102" s="30">
        <f t="shared" si="32"/>
        <v>0</v>
      </c>
      <c r="S102" s="30">
        <f t="shared" si="24"/>
        <v>0</v>
      </c>
      <c r="T102" s="30">
        <f t="shared" si="33"/>
        <v>57685.134492198405</v>
      </c>
      <c r="U102">
        <f t="shared" si="34"/>
        <v>0</v>
      </c>
      <c r="V102" s="30">
        <f t="shared" si="35"/>
        <v>0</v>
      </c>
      <c r="W102" s="30">
        <f t="shared" si="25"/>
        <v>0</v>
      </c>
      <c r="X102" s="30">
        <f t="shared" si="36"/>
        <v>57685.134492198405</v>
      </c>
      <c r="Y102">
        <f t="shared" si="37"/>
        <v>0</v>
      </c>
    </row>
    <row r="103" spans="1:25" x14ac:dyDescent="0.25">
      <c r="A103" s="4" t="s">
        <v>859</v>
      </c>
      <c r="B103" s="7" t="s">
        <v>428</v>
      </c>
      <c r="C103" s="2" t="s">
        <v>860</v>
      </c>
      <c r="D103">
        <f>VLOOKUP(B103,'Model allocations'!$A$1:$L$319,5,FALSE)</f>
        <v>203186.99054906826</v>
      </c>
      <c r="E103" s="32">
        <f>VLOOKUP(B103,'Initial adjusted formula count'!$A$1:$P$319,12,FALSE)</f>
        <v>0.27312775330396499</v>
      </c>
      <c r="F103">
        <f>VLOOKUP(B103,'Model allocations'!$A$1:$L$319,10,FALSE)</f>
        <v>299163.08553163247</v>
      </c>
      <c r="G103" s="31">
        <f t="shared" si="26"/>
        <v>0.9</v>
      </c>
      <c r="H103">
        <f t="shared" si="27"/>
        <v>182868.29149416144</v>
      </c>
      <c r="I103">
        <f t="shared" si="19"/>
        <v>0</v>
      </c>
      <c r="J103">
        <f t="shared" si="20"/>
        <v>299163.08553163247</v>
      </c>
      <c r="K103">
        <f t="shared" si="21"/>
        <v>299099.77730086545</v>
      </c>
      <c r="L103">
        <f t="shared" si="28"/>
        <v>299099.77730086545</v>
      </c>
      <c r="M103">
        <f t="shared" si="22"/>
        <v>0</v>
      </c>
      <c r="N103" s="30">
        <f t="shared" si="29"/>
        <v>299099.77730086545</v>
      </c>
      <c r="O103" s="30">
        <f t="shared" si="23"/>
        <v>299091.47361600155</v>
      </c>
      <c r="P103" s="30">
        <f t="shared" si="30"/>
        <v>299091.47361600155</v>
      </c>
      <c r="Q103">
        <f t="shared" si="31"/>
        <v>0</v>
      </c>
      <c r="R103" s="30">
        <f t="shared" si="32"/>
        <v>299091.47361600155</v>
      </c>
      <c r="S103" s="30">
        <f t="shared" si="24"/>
        <v>299091.47361600149</v>
      </c>
      <c r="T103" s="30">
        <f t="shared" si="33"/>
        <v>299091.47361600149</v>
      </c>
      <c r="U103">
        <f t="shared" si="34"/>
        <v>0</v>
      </c>
      <c r="V103" s="30">
        <f t="shared" si="35"/>
        <v>299091.47361600149</v>
      </c>
      <c r="W103" s="30">
        <f t="shared" si="25"/>
        <v>299091.47361600155</v>
      </c>
      <c r="X103" s="30">
        <f t="shared" si="36"/>
        <v>299091.47361600155</v>
      </c>
      <c r="Y103">
        <f t="shared" si="37"/>
        <v>0</v>
      </c>
    </row>
    <row r="104" spans="1:25" x14ac:dyDescent="0.25">
      <c r="A104" s="4" t="s">
        <v>38</v>
      </c>
      <c r="B104" s="7" t="s">
        <v>83</v>
      </c>
      <c r="C104" s="2" t="s">
        <v>861</v>
      </c>
      <c r="D104">
        <f>VLOOKUP(B104,'Model allocations'!$A$1:$L$319,5,FALSE)</f>
        <v>35686.942259079486</v>
      </c>
      <c r="E104" s="32">
        <f>VLOOKUP(B104,'Initial adjusted formula count'!$A$1:$P$319,12,FALSE)</f>
        <v>0.150401917830186</v>
      </c>
      <c r="F104">
        <f>VLOOKUP(B104,'Model allocations'!$A$1:$L$319,10,FALSE)</f>
        <v>37809.847756311174</v>
      </c>
      <c r="G104" s="31">
        <f t="shared" si="26"/>
        <v>0.9</v>
      </c>
      <c r="H104">
        <f t="shared" si="27"/>
        <v>32118.248033171538</v>
      </c>
      <c r="I104">
        <f t="shared" si="19"/>
        <v>0</v>
      </c>
      <c r="J104">
        <f t="shared" si="20"/>
        <v>37809.847756311174</v>
      </c>
      <c r="K104">
        <f t="shared" si="21"/>
        <v>37801.846519919432</v>
      </c>
      <c r="L104">
        <f t="shared" si="28"/>
        <v>37801.846519919432</v>
      </c>
      <c r="M104">
        <f t="shared" si="22"/>
        <v>0</v>
      </c>
      <c r="N104" s="30">
        <f t="shared" si="29"/>
        <v>37801.846519919432</v>
      </c>
      <c r="O104" s="30">
        <f t="shared" si="23"/>
        <v>37800.797055344068</v>
      </c>
      <c r="P104" s="30">
        <f t="shared" si="30"/>
        <v>37800.797055344068</v>
      </c>
      <c r="Q104">
        <f t="shared" si="31"/>
        <v>0</v>
      </c>
      <c r="R104" s="30">
        <f t="shared" si="32"/>
        <v>37800.797055344068</v>
      </c>
      <c r="S104" s="30">
        <f t="shared" si="24"/>
        <v>37800.797055344061</v>
      </c>
      <c r="T104" s="30">
        <f t="shared" si="33"/>
        <v>37800.797055344061</v>
      </c>
      <c r="U104">
        <f t="shared" si="34"/>
        <v>0</v>
      </c>
      <c r="V104" s="30">
        <f t="shared" si="35"/>
        <v>37800.797055344061</v>
      </c>
      <c r="W104" s="30">
        <f t="shared" si="25"/>
        <v>37800.797055344068</v>
      </c>
      <c r="X104" s="30">
        <f t="shared" si="36"/>
        <v>37800.797055344068</v>
      </c>
      <c r="Y104">
        <f t="shared" si="37"/>
        <v>0</v>
      </c>
    </row>
    <row r="105" spans="1:25" x14ac:dyDescent="0.25">
      <c r="A105" s="4" t="s">
        <v>43</v>
      </c>
      <c r="B105" s="7" t="s">
        <v>78</v>
      </c>
      <c r="C105" s="2" t="s">
        <v>862</v>
      </c>
      <c r="D105">
        <f>VLOOKUP(B105,'Model allocations'!$A$1:$L$319,5,FALSE)</f>
        <v>52055.662549781948</v>
      </c>
      <c r="E105" s="32">
        <f>VLOOKUP(B105,'Initial adjusted formula count'!$A$1:$P$319,12,FALSE)</f>
        <v>0.181661214923031</v>
      </c>
      <c r="F105">
        <f>VLOOKUP(B105,'Model allocations'!$A$1:$L$319,10,FALSE)</f>
        <v>39625.762157422403</v>
      </c>
      <c r="G105" s="31">
        <f t="shared" si="26"/>
        <v>0.9</v>
      </c>
      <c r="H105">
        <f t="shared" si="27"/>
        <v>46850.096294803756</v>
      </c>
      <c r="I105">
        <f t="shared" si="19"/>
        <v>46850.096294803756</v>
      </c>
      <c r="J105">
        <f t="shared" si="20"/>
        <v>0</v>
      </c>
      <c r="K105">
        <f t="shared" si="21"/>
        <v>0</v>
      </c>
      <c r="L105">
        <f t="shared" si="28"/>
        <v>46850.096294803756</v>
      </c>
      <c r="M105">
        <f t="shared" si="22"/>
        <v>0</v>
      </c>
      <c r="N105" s="30">
        <f t="shared" si="29"/>
        <v>0</v>
      </c>
      <c r="O105" s="30">
        <f t="shared" si="23"/>
        <v>0</v>
      </c>
      <c r="P105" s="30">
        <f t="shared" si="30"/>
        <v>46850.096294803756</v>
      </c>
      <c r="Q105">
        <f t="shared" si="31"/>
        <v>0</v>
      </c>
      <c r="R105" s="30">
        <f t="shared" si="32"/>
        <v>0</v>
      </c>
      <c r="S105" s="30">
        <f t="shared" si="24"/>
        <v>0</v>
      </c>
      <c r="T105" s="30">
        <f t="shared" si="33"/>
        <v>46850.096294803756</v>
      </c>
      <c r="U105">
        <f t="shared" si="34"/>
        <v>0</v>
      </c>
      <c r="V105" s="30">
        <f t="shared" si="35"/>
        <v>0</v>
      </c>
      <c r="W105" s="30">
        <f t="shared" si="25"/>
        <v>0</v>
      </c>
      <c r="X105" s="30">
        <f t="shared" si="36"/>
        <v>46850.096294803756</v>
      </c>
      <c r="Y105">
        <f t="shared" si="37"/>
        <v>0</v>
      </c>
    </row>
    <row r="106" spans="1:25" x14ac:dyDescent="0.25">
      <c r="A106" s="4" t="s">
        <v>47</v>
      </c>
      <c r="B106" s="7" t="s">
        <v>79</v>
      </c>
      <c r="C106" s="2" t="s">
        <v>863</v>
      </c>
      <c r="D106">
        <f>VLOOKUP(B106,'Model allocations'!$A$1:$L$319,5,FALSE)</f>
        <v>25982.595064360579</v>
      </c>
      <c r="E106" s="32">
        <f>VLOOKUP(B106,'Initial adjusted formula count'!$A$1:$P$319,12,FALSE)</f>
        <v>0.15137770493984801</v>
      </c>
      <c r="F106">
        <f>VLOOKUP(B106,'Model allocations'!$A$1:$L$319,10,FALSE)</f>
        <v>28390.408862787444</v>
      </c>
      <c r="G106" s="31">
        <f t="shared" si="26"/>
        <v>0.9</v>
      </c>
      <c r="H106">
        <f t="shared" si="27"/>
        <v>23384.335557924522</v>
      </c>
      <c r="I106">
        <f t="shared" si="19"/>
        <v>0</v>
      </c>
      <c r="J106">
        <f t="shared" si="20"/>
        <v>28390.408862787444</v>
      </c>
      <c r="K106">
        <f t="shared" si="21"/>
        <v>28384.400947229748</v>
      </c>
      <c r="L106">
        <f t="shared" si="28"/>
        <v>28384.400947229748</v>
      </c>
      <c r="M106">
        <f t="shared" si="22"/>
        <v>0</v>
      </c>
      <c r="N106" s="30">
        <f t="shared" si="29"/>
        <v>28384.400947229748</v>
      </c>
      <c r="O106" s="30">
        <f t="shared" si="23"/>
        <v>28383.612932197961</v>
      </c>
      <c r="P106" s="30">
        <f t="shared" si="30"/>
        <v>28383.612932197961</v>
      </c>
      <c r="Q106">
        <f t="shared" si="31"/>
        <v>0</v>
      </c>
      <c r="R106" s="30">
        <f t="shared" si="32"/>
        <v>28383.612932197961</v>
      </c>
      <c r="S106" s="30">
        <f t="shared" si="24"/>
        <v>28383.612932197953</v>
      </c>
      <c r="T106" s="30">
        <f t="shared" si="33"/>
        <v>28383.612932197953</v>
      </c>
      <c r="U106">
        <f t="shared" si="34"/>
        <v>0</v>
      </c>
      <c r="V106" s="30">
        <f t="shared" si="35"/>
        <v>28383.612932197953</v>
      </c>
      <c r="W106" s="30">
        <f t="shared" si="25"/>
        <v>28383.612932197957</v>
      </c>
      <c r="X106" s="30">
        <f t="shared" si="36"/>
        <v>28383.612932197957</v>
      </c>
      <c r="Y106">
        <f t="shared" si="37"/>
        <v>0</v>
      </c>
    </row>
    <row r="107" spans="1:25" x14ac:dyDescent="0.25">
      <c r="A107" s="4" t="s">
        <v>864</v>
      </c>
      <c r="B107" s="7" t="s">
        <v>430</v>
      </c>
      <c r="C107" s="2" t="s">
        <v>865</v>
      </c>
      <c r="D107">
        <f>VLOOKUP(B107,'Model allocations'!$A$1:$L$319,5,FALSE)</f>
        <v>26051.148027354822</v>
      </c>
      <c r="E107" s="32">
        <f>VLOOKUP(B107,'Initial adjusted formula count'!$A$1:$P$319,12,FALSE)</f>
        <v>0.238095238095238</v>
      </c>
      <c r="F107">
        <f>VLOOKUP(B107,'Model allocations'!$A$1:$L$319,10,FALSE)</f>
        <v>24320.636547500337</v>
      </c>
      <c r="G107" s="31">
        <f t="shared" si="26"/>
        <v>0.9</v>
      </c>
      <c r="H107">
        <f t="shared" si="27"/>
        <v>23446.033224619339</v>
      </c>
      <c r="I107">
        <f t="shared" si="19"/>
        <v>0</v>
      </c>
      <c r="J107">
        <f t="shared" si="20"/>
        <v>24320.636547500337</v>
      </c>
      <c r="K107">
        <f t="shared" si="21"/>
        <v>24315.489868162498</v>
      </c>
      <c r="L107">
        <f t="shared" si="28"/>
        <v>24315.489868162498</v>
      </c>
      <c r="M107">
        <f t="shared" si="22"/>
        <v>0</v>
      </c>
      <c r="N107" s="30">
        <f t="shared" si="29"/>
        <v>24315.489868162498</v>
      </c>
      <c r="O107" s="30">
        <f t="shared" si="23"/>
        <v>24314.814815285496</v>
      </c>
      <c r="P107" s="30">
        <f t="shared" si="30"/>
        <v>24314.814815285496</v>
      </c>
      <c r="Q107">
        <f t="shared" si="31"/>
        <v>0</v>
      </c>
      <c r="R107" s="30">
        <f t="shared" si="32"/>
        <v>24314.814815285496</v>
      </c>
      <c r="S107" s="30">
        <f t="shared" si="24"/>
        <v>24314.814815285488</v>
      </c>
      <c r="T107" s="30">
        <f t="shared" si="33"/>
        <v>24314.814815285488</v>
      </c>
      <c r="U107">
        <f t="shared" si="34"/>
        <v>0</v>
      </c>
      <c r="V107" s="30">
        <f t="shared" si="35"/>
        <v>24314.814815285488</v>
      </c>
      <c r="W107" s="30">
        <f t="shared" si="25"/>
        <v>24314.814815285492</v>
      </c>
      <c r="X107" s="30">
        <f t="shared" si="36"/>
        <v>24314.814815285492</v>
      </c>
      <c r="Y107">
        <f t="shared" si="37"/>
        <v>0</v>
      </c>
    </row>
    <row r="108" spans="1:25" x14ac:dyDescent="0.25">
      <c r="A108" s="4" t="s">
        <v>866</v>
      </c>
      <c r="B108" s="7" t="s">
        <v>432</v>
      </c>
      <c r="C108" s="2" t="s">
        <v>867</v>
      </c>
      <c r="D108">
        <f>VLOOKUP(B108,'Model allocations'!$A$1:$L$319,5,FALSE)</f>
        <v>0</v>
      </c>
      <c r="E108" s="32">
        <f>VLOOKUP(B108,'Initial adjusted formula count'!$A$1:$P$319,12,FALSE)</f>
        <v>0.16666666666666699</v>
      </c>
      <c r="F108">
        <f>VLOOKUP(B108,'Model allocations'!$A$1:$L$319,10,FALSE)</f>
        <v>0</v>
      </c>
      <c r="G108" s="31">
        <f t="shared" si="26"/>
        <v>0.9</v>
      </c>
      <c r="H108">
        <f t="shared" si="27"/>
        <v>0</v>
      </c>
      <c r="I108">
        <f t="shared" si="19"/>
        <v>0</v>
      </c>
      <c r="J108">
        <f t="shared" si="20"/>
        <v>0</v>
      </c>
      <c r="K108">
        <f t="shared" si="21"/>
        <v>0</v>
      </c>
      <c r="L108">
        <f t="shared" si="28"/>
        <v>0</v>
      </c>
      <c r="M108">
        <f t="shared" si="22"/>
        <v>0</v>
      </c>
      <c r="N108" s="30">
        <f t="shared" si="29"/>
        <v>0</v>
      </c>
      <c r="O108" s="30">
        <f t="shared" si="23"/>
        <v>0</v>
      </c>
      <c r="P108" s="30">
        <f t="shared" si="30"/>
        <v>0</v>
      </c>
      <c r="Q108">
        <f t="shared" si="31"/>
        <v>0</v>
      </c>
      <c r="R108" s="30">
        <f t="shared" si="32"/>
        <v>0</v>
      </c>
      <c r="S108" s="30">
        <f t="shared" si="24"/>
        <v>0</v>
      </c>
      <c r="T108" s="30">
        <f t="shared" si="33"/>
        <v>0</v>
      </c>
      <c r="U108">
        <f t="shared" si="34"/>
        <v>0</v>
      </c>
      <c r="V108" s="30">
        <f t="shared" si="35"/>
        <v>0</v>
      </c>
      <c r="W108" s="30">
        <f t="shared" si="25"/>
        <v>0</v>
      </c>
      <c r="X108" s="30">
        <f t="shared" si="36"/>
        <v>0</v>
      </c>
      <c r="Y108">
        <f t="shared" si="37"/>
        <v>0</v>
      </c>
    </row>
    <row r="109" spans="1:25" x14ac:dyDescent="0.25">
      <c r="A109" s="4" t="s">
        <v>868</v>
      </c>
      <c r="B109" s="7" t="s">
        <v>147</v>
      </c>
      <c r="C109" s="2" t="s">
        <v>869</v>
      </c>
      <c r="D109">
        <f>VLOOKUP(B109,'Model allocations'!$A$1:$L$319,5,FALSE)</f>
        <v>0</v>
      </c>
      <c r="E109" s="32">
        <f>VLOOKUP(B109,'Initial adjusted formula count'!$A$1:$P$319,12,FALSE)</f>
        <v>3.7684349548756303E-2</v>
      </c>
      <c r="F109">
        <f>VLOOKUP(B109,'Model allocations'!$A$1:$L$319,10,FALSE)</f>
        <v>0</v>
      </c>
      <c r="G109" s="31">
        <f t="shared" si="26"/>
        <v>0.85</v>
      </c>
      <c r="H109">
        <f t="shared" si="27"/>
        <v>0</v>
      </c>
      <c r="I109">
        <f t="shared" si="19"/>
        <v>0</v>
      </c>
      <c r="J109">
        <f t="shared" si="20"/>
        <v>0</v>
      </c>
      <c r="K109">
        <f t="shared" si="21"/>
        <v>0</v>
      </c>
      <c r="L109">
        <f t="shared" si="28"/>
        <v>0</v>
      </c>
      <c r="M109">
        <f t="shared" si="22"/>
        <v>0</v>
      </c>
      <c r="N109" s="30">
        <f t="shared" si="29"/>
        <v>0</v>
      </c>
      <c r="O109" s="30">
        <f t="shared" si="23"/>
        <v>0</v>
      </c>
      <c r="P109" s="30">
        <f t="shared" si="30"/>
        <v>0</v>
      </c>
      <c r="Q109">
        <f t="shared" si="31"/>
        <v>0</v>
      </c>
      <c r="R109" s="30">
        <f t="shared" si="32"/>
        <v>0</v>
      </c>
      <c r="S109" s="30">
        <f t="shared" si="24"/>
        <v>0</v>
      </c>
      <c r="T109" s="30">
        <f t="shared" si="33"/>
        <v>0</v>
      </c>
      <c r="U109">
        <f t="shared" si="34"/>
        <v>0</v>
      </c>
      <c r="V109" s="30">
        <f t="shared" si="35"/>
        <v>0</v>
      </c>
      <c r="W109" s="30">
        <f t="shared" si="25"/>
        <v>0</v>
      </c>
      <c r="X109" s="30">
        <f t="shared" si="36"/>
        <v>0</v>
      </c>
      <c r="Y109">
        <f t="shared" si="37"/>
        <v>0</v>
      </c>
    </row>
    <row r="110" spans="1:25" x14ac:dyDescent="0.25">
      <c r="A110" s="4" t="s">
        <v>870</v>
      </c>
      <c r="B110" s="7" t="s">
        <v>149</v>
      </c>
      <c r="C110" s="2" t="s">
        <v>871</v>
      </c>
      <c r="D110">
        <f>VLOOKUP(B110,'Model allocations'!$A$1:$L$319,5,FALSE)</f>
        <v>6973.5393338264448</v>
      </c>
      <c r="E110" s="32">
        <f>VLOOKUP(B110,'Initial adjusted formula count'!$A$1:$P$319,12,FALSE)</f>
        <v>0.36666666666666697</v>
      </c>
      <c r="F110">
        <f>VLOOKUP(B110,'Model allocations'!$A$1:$L$319,10,FALSE)</f>
        <v>16866.1087731234</v>
      </c>
      <c r="G110" s="31">
        <f t="shared" si="26"/>
        <v>0.95</v>
      </c>
      <c r="H110">
        <f t="shared" si="27"/>
        <v>6624.8623671351224</v>
      </c>
      <c r="I110">
        <f t="shared" si="19"/>
        <v>0</v>
      </c>
      <c r="J110">
        <f t="shared" si="20"/>
        <v>16866.1087731234</v>
      </c>
      <c r="K110">
        <f t="shared" si="21"/>
        <v>16862.539604472619</v>
      </c>
      <c r="L110">
        <f t="shared" si="28"/>
        <v>16862.539604472619</v>
      </c>
      <c r="M110">
        <f t="shared" si="22"/>
        <v>0</v>
      </c>
      <c r="N110" s="30">
        <f t="shared" si="29"/>
        <v>16862.539604472619</v>
      </c>
      <c r="O110" s="30">
        <f t="shared" si="23"/>
        <v>16862.071462315693</v>
      </c>
      <c r="P110" s="30">
        <f t="shared" si="30"/>
        <v>16862.071462315693</v>
      </c>
      <c r="Q110">
        <f t="shared" si="31"/>
        <v>0</v>
      </c>
      <c r="R110" s="30">
        <f t="shared" si="32"/>
        <v>16862.071462315693</v>
      </c>
      <c r="S110" s="30">
        <f t="shared" si="24"/>
        <v>16862.071462315689</v>
      </c>
      <c r="T110" s="30">
        <f t="shared" si="33"/>
        <v>16862.071462315689</v>
      </c>
      <c r="U110">
        <f t="shared" si="34"/>
        <v>0</v>
      </c>
      <c r="V110" s="30">
        <f t="shared" si="35"/>
        <v>16862.071462315689</v>
      </c>
      <c r="W110" s="30">
        <f t="shared" si="25"/>
        <v>16862.071462315689</v>
      </c>
      <c r="X110" s="30">
        <f t="shared" si="36"/>
        <v>16862.071462315689</v>
      </c>
      <c r="Y110">
        <f t="shared" si="37"/>
        <v>0</v>
      </c>
    </row>
    <row r="111" spans="1:25" x14ac:dyDescent="0.25">
      <c r="A111" s="4" t="s">
        <v>872</v>
      </c>
      <c r="B111" s="7" t="s">
        <v>151</v>
      </c>
      <c r="C111" s="2" t="s">
        <v>873</v>
      </c>
      <c r="D111">
        <f>VLOOKUP(B111,'Model allocations'!$A$1:$L$319,5,FALSE)</f>
        <v>49483.280713873814</v>
      </c>
      <c r="E111" s="32">
        <f>VLOOKUP(B111,'Initial adjusted formula count'!$A$1:$P$319,12,FALSE)</f>
        <v>8.4933530280649899E-2</v>
      </c>
      <c r="F111">
        <f>VLOOKUP(B111,'Model allocations'!$A$1:$L$319,10,FALSE)</f>
        <v>47344.907766136348</v>
      </c>
      <c r="G111" s="31">
        <f t="shared" si="26"/>
        <v>0.85</v>
      </c>
      <c r="H111">
        <f t="shared" si="27"/>
        <v>42060.788606792739</v>
      </c>
      <c r="I111">
        <f t="shared" si="19"/>
        <v>0</v>
      </c>
      <c r="J111">
        <f t="shared" si="20"/>
        <v>47344.907766136348</v>
      </c>
      <c r="K111">
        <f t="shared" si="21"/>
        <v>47334.888741425544</v>
      </c>
      <c r="L111">
        <f t="shared" si="28"/>
        <v>47334.888741425544</v>
      </c>
      <c r="M111">
        <f t="shared" si="22"/>
        <v>0</v>
      </c>
      <c r="N111" s="30">
        <f t="shared" si="29"/>
        <v>47334.888741425544</v>
      </c>
      <c r="O111" s="30">
        <f t="shared" si="23"/>
        <v>47333.574618082741</v>
      </c>
      <c r="P111" s="30">
        <f t="shared" si="30"/>
        <v>47333.574618082741</v>
      </c>
      <c r="Q111">
        <f t="shared" si="31"/>
        <v>0</v>
      </c>
      <c r="R111" s="30">
        <f t="shared" si="32"/>
        <v>47333.574618082741</v>
      </c>
      <c r="S111" s="30">
        <f t="shared" si="24"/>
        <v>47333.574618082726</v>
      </c>
      <c r="T111" s="30">
        <f t="shared" si="33"/>
        <v>47333.574618082726</v>
      </c>
      <c r="U111">
        <f t="shared" si="34"/>
        <v>0</v>
      </c>
      <c r="V111" s="30">
        <f t="shared" si="35"/>
        <v>47333.574618082726</v>
      </c>
      <c r="W111" s="30">
        <f t="shared" si="25"/>
        <v>47333.574618082734</v>
      </c>
      <c r="X111" s="30">
        <f t="shared" si="36"/>
        <v>47333.574618082734</v>
      </c>
      <c r="Y111">
        <f t="shared" si="37"/>
        <v>0</v>
      </c>
    </row>
    <row r="112" spans="1:25" x14ac:dyDescent="0.25">
      <c r="A112" s="4" t="s">
        <v>874</v>
      </c>
      <c r="B112" s="7" t="s">
        <v>434</v>
      </c>
      <c r="C112" s="2" t="s">
        <v>875</v>
      </c>
      <c r="D112">
        <f>VLOOKUP(B112,'Model allocations'!$A$1:$L$319,5,FALSE)</f>
        <v>19582.222893615344</v>
      </c>
      <c r="E112" s="32">
        <f>VLOOKUP(B112,'Initial adjusted formula count'!$A$1:$P$319,12,FALSE)</f>
        <v>0.31067961165048502</v>
      </c>
      <c r="F112">
        <f>VLOOKUP(B112,'Model allocations'!$A$1:$L$319,10,FALSE)</f>
        <v>21237.639077482079</v>
      </c>
      <c r="G112" s="31">
        <f t="shared" si="26"/>
        <v>0.95</v>
      </c>
      <c r="H112">
        <f t="shared" si="27"/>
        <v>18603.111748934578</v>
      </c>
      <c r="I112">
        <f t="shared" si="19"/>
        <v>0</v>
      </c>
      <c r="J112">
        <f t="shared" si="20"/>
        <v>21237.639077482079</v>
      </c>
      <c r="K112">
        <f t="shared" si="21"/>
        <v>21233.144815252919</v>
      </c>
      <c r="L112">
        <f t="shared" si="28"/>
        <v>21233.144815252919</v>
      </c>
      <c r="M112">
        <f t="shared" si="22"/>
        <v>0</v>
      </c>
      <c r="N112" s="30">
        <f t="shared" si="29"/>
        <v>21233.144815252919</v>
      </c>
      <c r="O112" s="30">
        <f t="shared" si="23"/>
        <v>21232.555335231209</v>
      </c>
      <c r="P112" s="30">
        <f t="shared" si="30"/>
        <v>21232.555335231209</v>
      </c>
      <c r="Q112">
        <f t="shared" si="31"/>
        <v>0</v>
      </c>
      <c r="R112" s="30">
        <f t="shared" si="32"/>
        <v>21232.555335231209</v>
      </c>
      <c r="S112" s="30">
        <f t="shared" si="24"/>
        <v>21232.555335231205</v>
      </c>
      <c r="T112" s="30">
        <f t="shared" si="33"/>
        <v>21232.555335231205</v>
      </c>
      <c r="U112">
        <f t="shared" si="34"/>
        <v>0</v>
      </c>
      <c r="V112" s="30">
        <f t="shared" si="35"/>
        <v>21232.555335231205</v>
      </c>
      <c r="W112" s="30">
        <f t="shared" si="25"/>
        <v>21232.555335231205</v>
      </c>
      <c r="X112" s="30">
        <f t="shared" si="36"/>
        <v>21232.555335231205</v>
      </c>
      <c r="Y112">
        <f t="shared" si="37"/>
        <v>0</v>
      </c>
    </row>
    <row r="113" spans="1:25" x14ac:dyDescent="0.25">
      <c r="A113" s="8" t="s">
        <v>876</v>
      </c>
      <c r="B113" s="7" t="s">
        <v>436</v>
      </c>
      <c r="C113" s="2" t="s">
        <v>877</v>
      </c>
      <c r="D113">
        <f>VLOOKUP(B113,'Model allocations'!$A$1:$L$319,5,FALSE)</f>
        <v>389779.01673428382</v>
      </c>
      <c r="E113" s="32">
        <f>VLOOKUP(B113,'Initial adjusted formula count'!$A$1:$P$319,12,FALSE)</f>
        <v>0.17111517367458901</v>
      </c>
      <c r="F113">
        <f>VLOOKUP(B113,'Model allocations'!$A$1:$L$319,10,FALSE)</f>
        <v>435778.99887352454</v>
      </c>
      <c r="G113" s="31">
        <f t="shared" si="26"/>
        <v>0.9</v>
      </c>
      <c r="H113">
        <f t="shared" si="27"/>
        <v>350801.11506085546</v>
      </c>
      <c r="I113">
        <f t="shared" si="19"/>
        <v>0</v>
      </c>
      <c r="J113">
        <f t="shared" si="20"/>
        <v>435778.99887352454</v>
      </c>
      <c r="K113">
        <f t="shared" si="21"/>
        <v>435686.78028520819</v>
      </c>
      <c r="L113">
        <f t="shared" si="28"/>
        <v>435686.78028520819</v>
      </c>
      <c r="M113">
        <f t="shared" si="22"/>
        <v>0</v>
      </c>
      <c r="N113" s="30">
        <f t="shared" si="29"/>
        <v>435686.78028520819</v>
      </c>
      <c r="O113" s="30">
        <f t="shared" si="23"/>
        <v>435674.68463687465</v>
      </c>
      <c r="P113" s="30">
        <f t="shared" si="30"/>
        <v>435674.68463687465</v>
      </c>
      <c r="Q113">
        <f t="shared" si="31"/>
        <v>0</v>
      </c>
      <c r="R113" s="30">
        <f t="shared" si="32"/>
        <v>435674.68463687465</v>
      </c>
      <c r="S113" s="30">
        <f t="shared" si="24"/>
        <v>435674.68463687459</v>
      </c>
      <c r="T113" s="30">
        <f t="shared" si="33"/>
        <v>435674.68463687459</v>
      </c>
      <c r="U113">
        <f t="shared" si="34"/>
        <v>0</v>
      </c>
      <c r="V113" s="30">
        <f t="shared" si="35"/>
        <v>435674.68463687459</v>
      </c>
      <c r="W113" s="30">
        <f t="shared" si="25"/>
        <v>435674.68463687459</v>
      </c>
      <c r="X113" s="30">
        <f t="shared" si="36"/>
        <v>435674.68463687459</v>
      </c>
      <c r="Y113">
        <f t="shared" si="37"/>
        <v>0</v>
      </c>
    </row>
    <row r="114" spans="1:25" x14ac:dyDescent="0.25">
      <c r="A114" s="4" t="s">
        <v>878</v>
      </c>
      <c r="B114" s="7" t="s">
        <v>438</v>
      </c>
      <c r="C114" s="2" t="s">
        <v>879</v>
      </c>
      <c r="D114">
        <f>VLOOKUP(B114,'Model allocations'!$A$1:$L$319,5,FALSE)</f>
        <v>1484302.059191159</v>
      </c>
      <c r="E114" s="32">
        <f>VLOOKUP(B114,'Initial adjusted formula count'!$A$1:$P$319,12,FALSE)</f>
        <v>0.13937879678620399</v>
      </c>
      <c r="F114">
        <f>VLOOKUP(B114,'Model allocations'!$A$1:$L$319,10,FALSE)</f>
        <v>1734676.2510662219</v>
      </c>
      <c r="G114" s="31">
        <f t="shared" si="26"/>
        <v>0.85</v>
      </c>
      <c r="H114">
        <f t="shared" si="27"/>
        <v>1261656.750312485</v>
      </c>
      <c r="I114">
        <f t="shared" si="19"/>
        <v>0</v>
      </c>
      <c r="J114">
        <f t="shared" si="20"/>
        <v>1734676.2510662219</v>
      </c>
      <c r="K114">
        <f t="shared" si="21"/>
        <v>1734309.1627130136</v>
      </c>
      <c r="L114">
        <f t="shared" si="28"/>
        <v>1734309.1627130136</v>
      </c>
      <c r="M114">
        <f t="shared" si="22"/>
        <v>0</v>
      </c>
      <c r="N114" s="30">
        <f t="shared" si="29"/>
        <v>1734309.1627130136</v>
      </c>
      <c r="O114" s="30">
        <f t="shared" si="23"/>
        <v>1734261.0143764492</v>
      </c>
      <c r="P114" s="30">
        <f t="shared" si="30"/>
        <v>1734261.0143764492</v>
      </c>
      <c r="Q114">
        <f t="shared" si="31"/>
        <v>0</v>
      </c>
      <c r="R114" s="30">
        <f t="shared" si="32"/>
        <v>1734261.0143764492</v>
      </c>
      <c r="S114" s="30">
        <f t="shared" si="24"/>
        <v>1734261.0143764487</v>
      </c>
      <c r="T114" s="30">
        <f t="shared" si="33"/>
        <v>1734261.0143764487</v>
      </c>
      <c r="U114">
        <f t="shared" si="34"/>
        <v>0</v>
      </c>
      <c r="V114" s="30">
        <f t="shared" si="35"/>
        <v>1734261.0143764487</v>
      </c>
      <c r="W114" s="30">
        <f t="shared" si="25"/>
        <v>1734261.0143764489</v>
      </c>
      <c r="X114" s="30">
        <f t="shared" si="36"/>
        <v>1734261.0143764489</v>
      </c>
      <c r="Y114">
        <f t="shared" si="37"/>
        <v>0</v>
      </c>
    </row>
    <row r="115" spans="1:25" x14ac:dyDescent="0.25">
      <c r="A115" s="4" t="s">
        <v>880</v>
      </c>
      <c r="B115" s="7" t="s">
        <v>440</v>
      </c>
      <c r="C115" s="2" t="s">
        <v>881</v>
      </c>
      <c r="D115">
        <f>VLOOKUP(B115,'Model allocations'!$A$1:$L$319,5,FALSE)</f>
        <v>2983724.009711558</v>
      </c>
      <c r="E115" s="32">
        <f>VLOOKUP(B115,'Initial adjusted formula count'!$A$1:$P$319,12,FALSE)</f>
        <v>0.14381940044683</v>
      </c>
      <c r="F115">
        <f>VLOOKUP(B115,'Model allocations'!$A$1:$L$319,10,FALSE)</f>
        <v>2943412.331078189</v>
      </c>
      <c r="G115" s="31">
        <f t="shared" si="26"/>
        <v>0.85</v>
      </c>
      <c r="H115">
        <f t="shared" si="27"/>
        <v>2536165.4082548241</v>
      </c>
      <c r="I115">
        <f t="shared" si="19"/>
        <v>0</v>
      </c>
      <c r="J115">
        <f t="shared" si="20"/>
        <v>2943412.331078189</v>
      </c>
      <c r="K115">
        <f t="shared" si="21"/>
        <v>2942789.4526680163</v>
      </c>
      <c r="L115">
        <f t="shared" si="28"/>
        <v>2942789.4526680163</v>
      </c>
      <c r="M115">
        <f t="shared" si="22"/>
        <v>0</v>
      </c>
      <c r="N115" s="30">
        <f t="shared" si="29"/>
        <v>2942789.4526680163</v>
      </c>
      <c r="O115" s="30">
        <f t="shared" si="23"/>
        <v>2942707.7541911523</v>
      </c>
      <c r="P115" s="30">
        <f t="shared" si="30"/>
        <v>2942707.7541911523</v>
      </c>
      <c r="Q115">
        <f t="shared" si="31"/>
        <v>0</v>
      </c>
      <c r="R115" s="30">
        <f t="shared" si="32"/>
        <v>2942707.7541911523</v>
      </c>
      <c r="S115" s="30">
        <f t="shared" si="24"/>
        <v>2942707.7541911514</v>
      </c>
      <c r="T115" s="30">
        <f t="shared" si="33"/>
        <v>2942707.7541911514</v>
      </c>
      <c r="U115">
        <f t="shared" si="34"/>
        <v>0</v>
      </c>
      <c r="V115" s="30">
        <f t="shared" si="35"/>
        <v>2942707.7541911514</v>
      </c>
      <c r="W115" s="30">
        <f t="shared" si="25"/>
        <v>2942707.7541911518</v>
      </c>
      <c r="X115" s="30">
        <f t="shared" si="36"/>
        <v>2942707.7541911518</v>
      </c>
      <c r="Y115">
        <f t="shared" si="37"/>
        <v>0</v>
      </c>
    </row>
    <row r="116" spans="1:25" x14ac:dyDescent="0.25">
      <c r="A116" s="4" t="s">
        <v>882</v>
      </c>
      <c r="B116" s="7" t="s">
        <v>442</v>
      </c>
      <c r="C116" s="2" t="s">
        <v>883</v>
      </c>
      <c r="D116">
        <f>VLOOKUP(B116,'Model allocations'!$A$1:$L$319,5,FALSE)</f>
        <v>73011.795244420602</v>
      </c>
      <c r="E116" s="32">
        <f>VLOOKUP(B116,'Initial adjusted formula count'!$A$1:$P$319,12,FALSE)</f>
        <v>0.158119658119658</v>
      </c>
      <c r="F116">
        <f>VLOOKUP(B116,'Model allocations'!$A$1:$L$319,10,FALSE)</f>
        <v>65710.615719978538</v>
      </c>
      <c r="G116" s="31">
        <f t="shared" si="26"/>
        <v>0.9</v>
      </c>
      <c r="H116">
        <f t="shared" si="27"/>
        <v>65710.615719978538</v>
      </c>
      <c r="I116">
        <f t="shared" si="19"/>
        <v>0</v>
      </c>
      <c r="J116">
        <f t="shared" si="20"/>
        <v>65710.615719978538</v>
      </c>
      <c r="K116">
        <f t="shared" si="21"/>
        <v>65696.710184753669</v>
      </c>
      <c r="L116">
        <f t="shared" si="28"/>
        <v>65696.710184753669</v>
      </c>
      <c r="M116">
        <f t="shared" si="22"/>
        <v>65710.615719978538</v>
      </c>
      <c r="N116" s="30">
        <f t="shared" si="29"/>
        <v>0</v>
      </c>
      <c r="O116" s="30">
        <f t="shared" si="23"/>
        <v>0</v>
      </c>
      <c r="P116" s="30">
        <f t="shared" si="30"/>
        <v>65710.615719978538</v>
      </c>
      <c r="Q116">
        <f t="shared" si="31"/>
        <v>0</v>
      </c>
      <c r="R116" s="30">
        <f t="shared" si="32"/>
        <v>0</v>
      </c>
      <c r="S116" s="30">
        <f t="shared" si="24"/>
        <v>0</v>
      </c>
      <c r="T116" s="30">
        <f t="shared" si="33"/>
        <v>65710.615719978538</v>
      </c>
      <c r="U116">
        <f t="shared" si="34"/>
        <v>0</v>
      </c>
      <c r="V116" s="30">
        <f t="shared" si="35"/>
        <v>0</v>
      </c>
      <c r="W116" s="30">
        <f t="shared" si="25"/>
        <v>0</v>
      </c>
      <c r="X116" s="30">
        <f t="shared" si="36"/>
        <v>65710.615719978538</v>
      </c>
      <c r="Y116">
        <f t="shared" si="37"/>
        <v>0</v>
      </c>
    </row>
    <row r="117" spans="1:25" x14ac:dyDescent="0.25">
      <c r="A117" s="8" t="s">
        <v>884</v>
      </c>
      <c r="B117" s="7" t="s">
        <v>444</v>
      </c>
      <c r="C117" s="2" t="s">
        <v>885</v>
      </c>
      <c r="D117">
        <f>VLOOKUP(B117,'Model allocations'!$A$1:$L$319,5,FALSE)</f>
        <v>108784.26031982779</v>
      </c>
      <c r="E117" s="32">
        <f>VLOOKUP(B117,'Initial adjusted formula count'!$A$1:$P$319,12,FALSE)</f>
        <v>0.14401388085598599</v>
      </c>
      <c r="F117">
        <f>VLOOKUP(B117,'Model allocations'!$A$1:$L$319,10,FALSE)</f>
        <v>102512.01768493866</v>
      </c>
      <c r="G117" s="31">
        <f t="shared" si="26"/>
        <v>0.85</v>
      </c>
      <c r="H117">
        <f t="shared" si="27"/>
        <v>92466.621271853626</v>
      </c>
      <c r="I117">
        <f t="shared" si="19"/>
        <v>0</v>
      </c>
      <c r="J117">
        <f t="shared" si="20"/>
        <v>102512.01768493866</v>
      </c>
      <c r="K117">
        <f t="shared" si="21"/>
        <v>102490.32431839092</v>
      </c>
      <c r="L117">
        <f t="shared" si="28"/>
        <v>102490.32431839092</v>
      </c>
      <c r="M117">
        <f t="shared" si="22"/>
        <v>0</v>
      </c>
      <c r="N117" s="30">
        <f t="shared" si="29"/>
        <v>102490.32431839092</v>
      </c>
      <c r="O117" s="30">
        <f t="shared" si="23"/>
        <v>102487.47895567476</v>
      </c>
      <c r="P117" s="30">
        <f t="shared" si="30"/>
        <v>102487.47895567476</v>
      </c>
      <c r="Q117">
        <f t="shared" si="31"/>
        <v>0</v>
      </c>
      <c r="R117" s="30">
        <f t="shared" si="32"/>
        <v>102487.47895567476</v>
      </c>
      <c r="S117" s="30">
        <f t="shared" si="24"/>
        <v>102487.47895567474</v>
      </c>
      <c r="T117" s="30">
        <f t="shared" si="33"/>
        <v>102487.47895567474</v>
      </c>
      <c r="U117">
        <f t="shared" si="34"/>
        <v>0</v>
      </c>
      <c r="V117" s="30">
        <f t="shared" si="35"/>
        <v>102487.47895567474</v>
      </c>
      <c r="W117" s="30">
        <f t="shared" si="25"/>
        <v>102487.47895567474</v>
      </c>
      <c r="X117" s="30">
        <f t="shared" si="36"/>
        <v>102487.47895567474</v>
      </c>
      <c r="Y117">
        <f t="shared" si="37"/>
        <v>0</v>
      </c>
    </row>
    <row r="118" spans="1:25" x14ac:dyDescent="0.25">
      <c r="A118" s="4" t="s">
        <v>886</v>
      </c>
      <c r="B118" s="7" t="s">
        <v>282</v>
      </c>
      <c r="C118" s="2" t="s">
        <v>887</v>
      </c>
      <c r="D118">
        <f>VLOOKUP(B118,'Model allocations'!$A$1:$L$319,5,FALSE)</f>
        <v>22778.018106386353</v>
      </c>
      <c r="E118" s="32">
        <f>VLOOKUP(B118,'Initial adjusted formula count'!$A$1:$P$319,12,FALSE)</f>
        <v>7.7445652173912999E-2</v>
      </c>
      <c r="F118">
        <f>VLOOKUP(B118,'Model allocations'!$A$1:$L$319,10,FALSE)</f>
        <v>23466.606457998012</v>
      </c>
      <c r="G118" s="31">
        <f t="shared" si="26"/>
        <v>0.85</v>
      </c>
      <c r="H118">
        <f t="shared" si="27"/>
        <v>19361.315390428401</v>
      </c>
      <c r="I118">
        <f t="shared" si="19"/>
        <v>0</v>
      </c>
      <c r="J118">
        <f t="shared" si="20"/>
        <v>23466.606457998012</v>
      </c>
      <c r="K118">
        <f t="shared" si="21"/>
        <v>23461.640506619613</v>
      </c>
      <c r="L118">
        <f t="shared" si="28"/>
        <v>23461.640506619613</v>
      </c>
      <c r="M118">
        <f t="shared" si="22"/>
        <v>0</v>
      </c>
      <c r="N118" s="30">
        <f t="shared" si="29"/>
        <v>23461.640506619613</v>
      </c>
      <c r="O118" s="30">
        <f t="shared" si="23"/>
        <v>23460.989158527962</v>
      </c>
      <c r="P118" s="30">
        <f t="shared" si="30"/>
        <v>23460.989158527962</v>
      </c>
      <c r="Q118">
        <f t="shared" si="31"/>
        <v>0</v>
      </c>
      <c r="R118" s="30">
        <f t="shared" si="32"/>
        <v>23460.989158527962</v>
      </c>
      <c r="S118" s="30">
        <f t="shared" si="24"/>
        <v>23460.989158527955</v>
      </c>
      <c r="T118" s="30">
        <f t="shared" si="33"/>
        <v>23460.989158527955</v>
      </c>
      <c r="U118">
        <f t="shared" si="34"/>
        <v>0</v>
      </c>
      <c r="V118" s="30">
        <f t="shared" si="35"/>
        <v>23460.989158527955</v>
      </c>
      <c r="W118" s="30">
        <f t="shared" si="25"/>
        <v>23460.989158527955</v>
      </c>
      <c r="X118" s="30">
        <f t="shared" si="36"/>
        <v>23460.989158527955</v>
      </c>
      <c r="Y118">
        <f t="shared" si="37"/>
        <v>0</v>
      </c>
    </row>
    <row r="119" spans="1:25" x14ac:dyDescent="0.25">
      <c r="A119" s="4" t="s">
        <v>888</v>
      </c>
      <c r="B119" s="7" t="s">
        <v>445</v>
      </c>
      <c r="C119" s="2" t="s">
        <v>889</v>
      </c>
      <c r="D119">
        <f>VLOOKUP(B119,'Model allocations'!$A$1:$L$319,5,FALSE)</f>
        <v>7233.3167394630318</v>
      </c>
      <c r="E119" s="32">
        <f>VLOOKUP(B119,'Initial adjusted formula count'!$A$1:$P$319,12,FALSE)</f>
        <v>0.21249999999999999</v>
      </c>
      <c r="F119">
        <f>VLOOKUP(B119,'Model allocations'!$A$1:$L$319,10,FALSE)</f>
        <v>8399.3983325627269</v>
      </c>
      <c r="G119" s="31">
        <f t="shared" si="26"/>
        <v>0.9</v>
      </c>
      <c r="H119">
        <f t="shared" si="27"/>
        <v>6509.9850655167284</v>
      </c>
      <c r="I119">
        <f t="shared" si="19"/>
        <v>0</v>
      </c>
      <c r="J119">
        <f t="shared" si="20"/>
        <v>8399.3983325627269</v>
      </c>
      <c r="K119">
        <f t="shared" si="21"/>
        <v>8397.6208704570781</v>
      </c>
      <c r="L119">
        <f t="shared" si="28"/>
        <v>8397.6208704570781</v>
      </c>
      <c r="M119">
        <f t="shared" si="22"/>
        <v>0</v>
      </c>
      <c r="N119" s="30">
        <f t="shared" si="29"/>
        <v>8397.6208704570781</v>
      </c>
      <c r="O119" s="30">
        <f t="shared" si="23"/>
        <v>8397.3877335489051</v>
      </c>
      <c r="P119" s="30">
        <f t="shared" si="30"/>
        <v>8397.3877335489051</v>
      </c>
      <c r="Q119">
        <f t="shared" si="31"/>
        <v>0</v>
      </c>
      <c r="R119" s="30">
        <f t="shared" si="32"/>
        <v>8397.3877335489051</v>
      </c>
      <c r="S119" s="30">
        <f t="shared" si="24"/>
        <v>8397.3877335489033</v>
      </c>
      <c r="T119" s="30">
        <f t="shared" si="33"/>
        <v>8397.3877335489033</v>
      </c>
      <c r="U119">
        <f t="shared" si="34"/>
        <v>0</v>
      </c>
      <c r="V119" s="30">
        <f t="shared" si="35"/>
        <v>8397.3877335489033</v>
      </c>
      <c r="W119" s="30">
        <f t="shared" si="25"/>
        <v>8397.3877335489051</v>
      </c>
      <c r="X119" s="30">
        <f t="shared" si="36"/>
        <v>8397.3877335489051</v>
      </c>
      <c r="Y119">
        <f t="shared" si="37"/>
        <v>0</v>
      </c>
    </row>
    <row r="120" spans="1:25" x14ac:dyDescent="0.25">
      <c r="A120" s="4" t="s">
        <v>890</v>
      </c>
      <c r="B120" s="7" t="s">
        <v>153</v>
      </c>
      <c r="C120" s="2" t="s">
        <v>891</v>
      </c>
      <c r="D120">
        <f>VLOOKUP(B120,'Model allocations'!$A$1:$L$319,5,FALSE)</f>
        <v>61265.014217177108</v>
      </c>
      <c r="E120" s="32">
        <f>VLOOKUP(B120,'Initial adjusted formula count'!$A$1:$P$319,12,FALSE)</f>
        <v>5.9190031152648002E-2</v>
      </c>
      <c r="F120">
        <f>VLOOKUP(B120,'Model allocations'!$A$1:$L$319,10,FALSE)</f>
        <v>52075.262084600537</v>
      </c>
      <c r="G120" s="31">
        <f t="shared" si="26"/>
        <v>0.85</v>
      </c>
      <c r="H120">
        <f t="shared" si="27"/>
        <v>52075.262084600537</v>
      </c>
      <c r="I120">
        <f t="shared" si="19"/>
        <v>0</v>
      </c>
      <c r="J120">
        <f t="shared" si="20"/>
        <v>52075.262084600537</v>
      </c>
      <c r="K120">
        <f t="shared" si="21"/>
        <v>52064.242032766786</v>
      </c>
      <c r="L120">
        <f t="shared" si="28"/>
        <v>52064.242032766786</v>
      </c>
      <c r="M120">
        <f t="shared" si="22"/>
        <v>52075.262084600537</v>
      </c>
      <c r="N120" s="30">
        <f t="shared" si="29"/>
        <v>0</v>
      </c>
      <c r="O120" s="30">
        <f t="shared" si="23"/>
        <v>0</v>
      </c>
      <c r="P120" s="30">
        <f t="shared" si="30"/>
        <v>52075.262084600537</v>
      </c>
      <c r="Q120">
        <f t="shared" si="31"/>
        <v>0</v>
      </c>
      <c r="R120" s="30">
        <f t="shared" si="32"/>
        <v>0</v>
      </c>
      <c r="S120" s="30">
        <f t="shared" si="24"/>
        <v>0</v>
      </c>
      <c r="T120" s="30">
        <f t="shared" si="33"/>
        <v>52075.262084600537</v>
      </c>
      <c r="U120">
        <f t="shared" si="34"/>
        <v>0</v>
      </c>
      <c r="V120" s="30">
        <f t="shared" si="35"/>
        <v>0</v>
      </c>
      <c r="W120" s="30">
        <f t="shared" si="25"/>
        <v>0</v>
      </c>
      <c r="X120" s="30">
        <f t="shared" si="36"/>
        <v>52075.262084600537</v>
      </c>
      <c r="Y120">
        <f t="shared" si="37"/>
        <v>0</v>
      </c>
    </row>
    <row r="121" spans="1:25" x14ac:dyDescent="0.25">
      <c r="A121" s="4" t="s">
        <v>892</v>
      </c>
      <c r="B121" s="7" t="s">
        <v>284</v>
      </c>
      <c r="C121" s="2" t="s">
        <v>893</v>
      </c>
      <c r="D121">
        <f>VLOOKUP(B121,'Model allocations'!$A$1:$L$319,5,FALSE)</f>
        <v>67678.067033917629</v>
      </c>
      <c r="E121" s="32">
        <f>VLOOKUP(B121,'Initial adjusted formula count'!$A$1:$P$319,12,FALSE)</f>
        <v>0.157983193277311</v>
      </c>
      <c r="F121">
        <f>VLOOKUP(B121,'Model allocations'!$A$1:$L$319,10,FALSE)</f>
        <v>60910.260330525867</v>
      </c>
      <c r="G121" s="31">
        <f t="shared" si="26"/>
        <v>0.9</v>
      </c>
      <c r="H121">
        <f t="shared" si="27"/>
        <v>60910.260330525867</v>
      </c>
      <c r="I121">
        <f t="shared" si="19"/>
        <v>0</v>
      </c>
      <c r="J121">
        <f t="shared" si="20"/>
        <v>60910.260330525867</v>
      </c>
      <c r="K121">
        <f t="shared" si="21"/>
        <v>60897.37063589583</v>
      </c>
      <c r="L121">
        <f t="shared" si="28"/>
        <v>60897.37063589583</v>
      </c>
      <c r="M121">
        <f t="shared" si="22"/>
        <v>60910.260330525867</v>
      </c>
      <c r="N121" s="30">
        <f t="shared" si="29"/>
        <v>0</v>
      </c>
      <c r="O121" s="30">
        <f t="shared" si="23"/>
        <v>0</v>
      </c>
      <c r="P121" s="30">
        <f t="shared" si="30"/>
        <v>60910.260330525867</v>
      </c>
      <c r="Q121">
        <f t="shared" si="31"/>
        <v>0</v>
      </c>
      <c r="R121" s="30">
        <f t="shared" si="32"/>
        <v>0</v>
      </c>
      <c r="S121" s="30">
        <f t="shared" si="24"/>
        <v>0</v>
      </c>
      <c r="T121" s="30">
        <f t="shared" si="33"/>
        <v>60910.260330525867</v>
      </c>
      <c r="U121">
        <f t="shared" si="34"/>
        <v>0</v>
      </c>
      <c r="V121" s="30">
        <f t="shared" si="35"/>
        <v>0</v>
      </c>
      <c r="W121" s="30">
        <f t="shared" si="25"/>
        <v>0</v>
      </c>
      <c r="X121" s="30">
        <f t="shared" si="36"/>
        <v>60910.260330525867</v>
      </c>
      <c r="Y121">
        <f t="shared" si="37"/>
        <v>0</v>
      </c>
    </row>
    <row r="122" spans="1:25" x14ac:dyDescent="0.25">
      <c r="A122" s="4" t="s">
        <v>894</v>
      </c>
      <c r="B122" s="7" t="s">
        <v>447</v>
      </c>
      <c r="C122" s="2" t="s">
        <v>895</v>
      </c>
      <c r="D122">
        <f>VLOOKUP(B122,'Model allocations'!$A$1:$L$319,5,FALSE)</f>
        <v>0</v>
      </c>
      <c r="E122" s="32">
        <f>VLOOKUP(B122,'Initial adjusted formula count'!$A$1:$P$319,12,FALSE)</f>
        <v>0.20689655172413801</v>
      </c>
      <c r="F122">
        <f>VLOOKUP(B122,'Model allocations'!$A$1:$L$319,10,FALSE)</f>
        <v>8783.1185176360068</v>
      </c>
      <c r="G122" s="31">
        <f t="shared" si="26"/>
        <v>0.9</v>
      </c>
      <c r="H122">
        <f t="shared" si="27"/>
        <v>0</v>
      </c>
      <c r="I122">
        <f t="shared" si="19"/>
        <v>0</v>
      </c>
      <c r="J122">
        <f t="shared" si="20"/>
        <v>8783.1185176360068</v>
      </c>
      <c r="K122">
        <f t="shared" si="21"/>
        <v>8781.2598535131237</v>
      </c>
      <c r="L122">
        <f t="shared" si="28"/>
        <v>8781.2598535131237</v>
      </c>
      <c r="M122">
        <f t="shared" si="22"/>
        <v>0</v>
      </c>
      <c r="N122" s="30">
        <f t="shared" si="29"/>
        <v>8781.2598535131237</v>
      </c>
      <c r="O122" s="30">
        <f t="shared" si="23"/>
        <v>8781.0160659209359</v>
      </c>
      <c r="P122" s="30">
        <f t="shared" si="30"/>
        <v>8781.0160659209359</v>
      </c>
      <c r="Q122">
        <f t="shared" si="31"/>
        <v>0</v>
      </c>
      <c r="R122" s="30">
        <f t="shared" si="32"/>
        <v>8781.0160659209359</v>
      </c>
      <c r="S122" s="30">
        <f t="shared" si="24"/>
        <v>8781.0160659209341</v>
      </c>
      <c r="T122" s="30">
        <f t="shared" si="33"/>
        <v>8781.0160659209341</v>
      </c>
      <c r="U122">
        <f t="shared" si="34"/>
        <v>0</v>
      </c>
      <c r="V122" s="30">
        <f t="shared" si="35"/>
        <v>8781.0160659209341</v>
      </c>
      <c r="W122" s="30">
        <f t="shared" si="25"/>
        <v>8781.0160659209341</v>
      </c>
      <c r="X122" s="30">
        <f t="shared" si="36"/>
        <v>8781.0160659209341</v>
      </c>
      <c r="Y122">
        <f t="shared" si="37"/>
        <v>0</v>
      </c>
    </row>
    <row r="123" spans="1:25" x14ac:dyDescent="0.25">
      <c r="A123" s="8" t="s">
        <v>896</v>
      </c>
      <c r="B123" s="7" t="s">
        <v>286</v>
      </c>
      <c r="C123" s="2" t="s">
        <v>897</v>
      </c>
      <c r="D123">
        <f>VLOOKUP(B123,'Model allocations'!$A$1:$L$319,5,FALSE)</f>
        <v>67155.880968828729</v>
      </c>
      <c r="E123" s="32">
        <f>VLOOKUP(B123,'Initial adjusted formula count'!$A$1:$P$319,12,FALSE)</f>
        <v>0.13268608414239499</v>
      </c>
      <c r="F123">
        <f>VLOOKUP(B123,'Model allocations'!$A$1:$L$319,10,FALSE)</f>
        <v>67517.955423011808</v>
      </c>
      <c r="G123" s="31">
        <f t="shared" si="26"/>
        <v>0.85</v>
      </c>
      <c r="H123">
        <f t="shared" si="27"/>
        <v>57082.498823504415</v>
      </c>
      <c r="I123">
        <f t="shared" si="19"/>
        <v>0</v>
      </c>
      <c r="J123">
        <f t="shared" si="20"/>
        <v>67517.955423011808</v>
      </c>
      <c r="K123">
        <f t="shared" si="21"/>
        <v>67503.667422554659</v>
      </c>
      <c r="L123">
        <f t="shared" si="28"/>
        <v>67503.667422554659</v>
      </c>
      <c r="M123">
        <f t="shared" si="22"/>
        <v>0</v>
      </c>
      <c r="N123" s="30">
        <f t="shared" si="29"/>
        <v>67503.667422554659</v>
      </c>
      <c r="O123" s="30">
        <f t="shared" si="23"/>
        <v>67501.793368396218</v>
      </c>
      <c r="P123" s="30">
        <f t="shared" si="30"/>
        <v>67501.793368396218</v>
      </c>
      <c r="Q123">
        <f t="shared" si="31"/>
        <v>0</v>
      </c>
      <c r="R123" s="30">
        <f t="shared" si="32"/>
        <v>67501.793368396218</v>
      </c>
      <c r="S123" s="30">
        <f t="shared" si="24"/>
        <v>67501.793368396189</v>
      </c>
      <c r="T123" s="30">
        <f t="shared" si="33"/>
        <v>67501.793368396189</v>
      </c>
      <c r="U123">
        <f t="shared" si="34"/>
        <v>0</v>
      </c>
      <c r="V123" s="30">
        <f t="shared" si="35"/>
        <v>67501.793368396189</v>
      </c>
      <c r="W123" s="30">
        <f t="shared" si="25"/>
        <v>67501.793368396189</v>
      </c>
      <c r="X123" s="30">
        <f t="shared" si="36"/>
        <v>67501.793368396189</v>
      </c>
      <c r="Y123">
        <f t="shared" si="37"/>
        <v>0</v>
      </c>
    </row>
    <row r="124" spans="1:25" x14ac:dyDescent="0.25">
      <c r="A124" s="4" t="s">
        <v>898</v>
      </c>
      <c r="B124" s="7" t="s">
        <v>155</v>
      </c>
      <c r="C124" s="2" t="s">
        <v>899</v>
      </c>
      <c r="D124">
        <f>VLOOKUP(B124,'Model allocations'!$A$1:$L$319,5,FALSE)</f>
        <v>210500.30525901879</v>
      </c>
      <c r="E124" s="32">
        <f>VLOOKUP(B124,'Initial adjusted formula count'!$A$1:$P$319,12,FALSE)</f>
        <v>5.6730675504435099E-2</v>
      </c>
      <c r="F124">
        <f>VLOOKUP(B124,'Model allocations'!$A$1:$L$319,10,FALSE)</f>
        <v>239606.40278166387</v>
      </c>
      <c r="G124" s="31">
        <f t="shared" si="26"/>
        <v>0.85</v>
      </c>
      <c r="H124">
        <f t="shared" si="27"/>
        <v>178925.25947016597</v>
      </c>
      <c r="I124">
        <f t="shared" si="19"/>
        <v>0</v>
      </c>
      <c r="J124">
        <f t="shared" si="20"/>
        <v>239606.40278166387</v>
      </c>
      <c r="K124">
        <f t="shared" si="21"/>
        <v>239555.69780443184</v>
      </c>
      <c r="L124">
        <f t="shared" si="28"/>
        <v>239555.69780443184</v>
      </c>
      <c r="M124">
        <f t="shared" si="22"/>
        <v>0</v>
      </c>
      <c r="N124" s="30">
        <f t="shared" si="29"/>
        <v>239555.69780443184</v>
      </c>
      <c r="O124" s="30">
        <f t="shared" si="23"/>
        <v>239549.04719760129</v>
      </c>
      <c r="P124" s="30">
        <f t="shared" si="30"/>
        <v>239549.04719760129</v>
      </c>
      <c r="Q124">
        <f t="shared" si="31"/>
        <v>0</v>
      </c>
      <c r="R124" s="30">
        <f t="shared" si="32"/>
        <v>239549.04719760129</v>
      </c>
      <c r="S124" s="30">
        <f t="shared" si="24"/>
        <v>239549.04719760123</v>
      </c>
      <c r="T124" s="30">
        <f t="shared" si="33"/>
        <v>239549.04719760123</v>
      </c>
      <c r="U124">
        <f t="shared" si="34"/>
        <v>0</v>
      </c>
      <c r="V124" s="30">
        <f t="shared" si="35"/>
        <v>239549.04719760123</v>
      </c>
      <c r="W124" s="30">
        <f t="shared" si="25"/>
        <v>239549.04719760126</v>
      </c>
      <c r="X124" s="30">
        <f t="shared" si="36"/>
        <v>239549.04719760126</v>
      </c>
      <c r="Y124">
        <f t="shared" si="37"/>
        <v>0</v>
      </c>
    </row>
    <row r="125" spans="1:25" x14ac:dyDescent="0.25">
      <c r="A125" s="4" t="s">
        <v>900</v>
      </c>
      <c r="B125" s="7" t="s">
        <v>157</v>
      </c>
      <c r="C125" s="2" t="s">
        <v>901</v>
      </c>
      <c r="D125">
        <f>VLOOKUP(B125,'Model allocations'!$A$1:$L$319,5,FALSE)</f>
        <v>0</v>
      </c>
      <c r="E125" s="32">
        <f>VLOOKUP(B125,'Initial adjusted formula count'!$A$1:$P$319,12,FALSE)</f>
        <v>3.9684322866932499E-2</v>
      </c>
      <c r="F125">
        <f>VLOOKUP(B125,'Model allocations'!$A$1:$L$319,10,FALSE)</f>
        <v>0</v>
      </c>
      <c r="G125" s="31">
        <f t="shared" si="26"/>
        <v>0.85</v>
      </c>
      <c r="H125">
        <f t="shared" si="27"/>
        <v>0</v>
      </c>
      <c r="I125">
        <f t="shared" si="19"/>
        <v>0</v>
      </c>
      <c r="J125">
        <f t="shared" si="20"/>
        <v>0</v>
      </c>
      <c r="K125">
        <f t="shared" si="21"/>
        <v>0</v>
      </c>
      <c r="L125">
        <f t="shared" si="28"/>
        <v>0</v>
      </c>
      <c r="M125">
        <f t="shared" si="22"/>
        <v>0</v>
      </c>
      <c r="N125" s="30">
        <f t="shared" si="29"/>
        <v>0</v>
      </c>
      <c r="O125" s="30">
        <f t="shared" si="23"/>
        <v>0</v>
      </c>
      <c r="P125" s="30">
        <f t="shared" si="30"/>
        <v>0</v>
      </c>
      <c r="Q125">
        <f t="shared" si="31"/>
        <v>0</v>
      </c>
      <c r="R125" s="30">
        <f t="shared" si="32"/>
        <v>0</v>
      </c>
      <c r="S125" s="30">
        <f t="shared" si="24"/>
        <v>0</v>
      </c>
      <c r="T125" s="30">
        <f t="shared" si="33"/>
        <v>0</v>
      </c>
      <c r="U125">
        <f t="shared" si="34"/>
        <v>0</v>
      </c>
      <c r="V125" s="30">
        <f t="shared" si="35"/>
        <v>0</v>
      </c>
      <c r="W125" s="30">
        <f t="shared" si="25"/>
        <v>0</v>
      </c>
      <c r="X125" s="30">
        <f t="shared" si="36"/>
        <v>0</v>
      </c>
      <c r="Y125">
        <f t="shared" si="37"/>
        <v>0</v>
      </c>
    </row>
    <row r="126" spans="1:25" x14ac:dyDescent="0.25">
      <c r="A126" s="4" t="s">
        <v>902</v>
      </c>
      <c r="B126" s="7" t="s">
        <v>159</v>
      </c>
      <c r="C126" s="2" t="s">
        <v>903</v>
      </c>
      <c r="D126">
        <f>VLOOKUP(B126,'Model allocations'!$A$1:$L$319,5,FALSE)</f>
        <v>121351.85508402389</v>
      </c>
      <c r="E126" s="32">
        <f>VLOOKUP(B126,'Initial adjusted formula count'!$A$1:$P$319,12,FALSE)</f>
        <v>0.13734392735527801</v>
      </c>
      <c r="F126">
        <f>VLOOKUP(B126,'Model allocations'!$A$1:$L$319,10,FALSE)</f>
        <v>149445.23060093477</v>
      </c>
      <c r="G126" s="31">
        <f t="shared" si="26"/>
        <v>0.85</v>
      </c>
      <c r="H126">
        <f t="shared" si="27"/>
        <v>103149.0768214203</v>
      </c>
      <c r="I126">
        <f t="shared" si="19"/>
        <v>0</v>
      </c>
      <c r="J126">
        <f t="shared" si="20"/>
        <v>149445.23060093477</v>
      </c>
      <c r="K126">
        <f t="shared" si="21"/>
        <v>149413.60533163024</v>
      </c>
      <c r="L126">
        <f t="shared" si="28"/>
        <v>149413.60533163024</v>
      </c>
      <c r="M126">
        <f t="shared" si="22"/>
        <v>0</v>
      </c>
      <c r="N126" s="30">
        <f t="shared" si="29"/>
        <v>149413.60533163024</v>
      </c>
      <c r="O126" s="30">
        <f t="shared" si="23"/>
        <v>149409.45727273077</v>
      </c>
      <c r="P126" s="30">
        <f t="shared" si="30"/>
        <v>149409.45727273077</v>
      </c>
      <c r="Q126">
        <f t="shared" si="31"/>
        <v>0</v>
      </c>
      <c r="R126" s="30">
        <f t="shared" si="32"/>
        <v>149409.45727273077</v>
      </c>
      <c r="S126" s="30">
        <f t="shared" si="24"/>
        <v>149409.45727273071</v>
      </c>
      <c r="T126" s="30">
        <f t="shared" si="33"/>
        <v>149409.45727273071</v>
      </c>
      <c r="U126">
        <f t="shared" si="34"/>
        <v>0</v>
      </c>
      <c r="V126" s="30">
        <f t="shared" si="35"/>
        <v>149409.45727273071</v>
      </c>
      <c r="W126" s="30">
        <f t="shared" si="25"/>
        <v>149409.45727273071</v>
      </c>
      <c r="X126" s="30">
        <f t="shared" si="36"/>
        <v>149409.45727273071</v>
      </c>
      <c r="Y126">
        <f t="shared" si="37"/>
        <v>0</v>
      </c>
    </row>
    <row r="127" spans="1:25" x14ac:dyDescent="0.25">
      <c r="A127" s="4" t="s">
        <v>904</v>
      </c>
      <c r="B127" s="7" t="s">
        <v>161</v>
      </c>
      <c r="C127" s="2" t="s">
        <v>905</v>
      </c>
      <c r="D127">
        <f>VLOOKUP(B127,'Model allocations'!$A$1:$L$319,5,FALSE)</f>
        <v>0</v>
      </c>
      <c r="E127" s="32">
        <f>VLOOKUP(B127,'Initial adjusted formula count'!$A$1:$P$319,12,FALSE)</f>
        <v>0.33333333333333298</v>
      </c>
      <c r="F127">
        <f>VLOOKUP(B127,'Model allocations'!$A$1:$L$319,10,FALSE)</f>
        <v>0</v>
      </c>
      <c r="G127" s="31">
        <f t="shared" si="26"/>
        <v>0.95</v>
      </c>
      <c r="H127">
        <f t="shared" si="27"/>
        <v>0</v>
      </c>
      <c r="I127">
        <f t="shared" si="19"/>
        <v>0</v>
      </c>
      <c r="J127">
        <f t="shared" si="20"/>
        <v>0</v>
      </c>
      <c r="K127">
        <f t="shared" si="21"/>
        <v>0</v>
      </c>
      <c r="L127">
        <f t="shared" si="28"/>
        <v>0</v>
      </c>
      <c r="M127">
        <f t="shared" si="22"/>
        <v>0</v>
      </c>
      <c r="N127" s="30">
        <f t="shared" si="29"/>
        <v>0</v>
      </c>
      <c r="O127" s="30">
        <f t="shared" si="23"/>
        <v>0</v>
      </c>
      <c r="P127" s="30">
        <f t="shared" si="30"/>
        <v>0</v>
      </c>
      <c r="Q127">
        <f t="shared" si="31"/>
        <v>0</v>
      </c>
      <c r="R127" s="30">
        <f t="shared" si="32"/>
        <v>0</v>
      </c>
      <c r="S127" s="30">
        <f t="shared" si="24"/>
        <v>0</v>
      </c>
      <c r="T127" s="30">
        <f t="shared" si="33"/>
        <v>0</v>
      </c>
      <c r="U127">
        <f t="shared" si="34"/>
        <v>0</v>
      </c>
      <c r="V127" s="30">
        <f t="shared" si="35"/>
        <v>0</v>
      </c>
      <c r="W127" s="30">
        <f t="shared" si="25"/>
        <v>0</v>
      </c>
      <c r="X127" s="30">
        <f t="shared" si="36"/>
        <v>0</v>
      </c>
      <c r="Y127">
        <f t="shared" si="37"/>
        <v>0</v>
      </c>
    </row>
    <row r="128" spans="1:25" x14ac:dyDescent="0.25">
      <c r="A128" s="4" t="s">
        <v>906</v>
      </c>
      <c r="B128" s="7" t="s">
        <v>163</v>
      </c>
      <c r="C128" s="2" t="s">
        <v>907</v>
      </c>
      <c r="D128">
        <f>VLOOKUP(B128,'Model allocations'!$A$1:$L$319,5,FALSE)</f>
        <v>26705.262607487453</v>
      </c>
      <c r="E128" s="32">
        <f>VLOOKUP(B128,'Initial adjusted formula count'!$A$1:$P$319,12,FALSE)</f>
        <v>9.4316807738814998E-2</v>
      </c>
      <c r="F128">
        <f>VLOOKUP(B128,'Model allocations'!$A$1:$L$319,10,FALSE)</f>
        <v>32112.198310944648</v>
      </c>
      <c r="G128" s="31">
        <f t="shared" si="26"/>
        <v>0.85</v>
      </c>
      <c r="H128">
        <f t="shared" si="27"/>
        <v>22699.473216364335</v>
      </c>
      <c r="I128">
        <f t="shared" si="19"/>
        <v>0</v>
      </c>
      <c r="J128">
        <f t="shared" si="20"/>
        <v>32112.198310944648</v>
      </c>
      <c r="K128">
        <f t="shared" si="21"/>
        <v>32105.402798532108</v>
      </c>
      <c r="L128">
        <f t="shared" si="28"/>
        <v>32105.402798532108</v>
      </c>
      <c r="M128">
        <f t="shared" si="22"/>
        <v>0</v>
      </c>
      <c r="N128" s="30">
        <f t="shared" si="29"/>
        <v>32105.402798532108</v>
      </c>
      <c r="O128" s="30">
        <f t="shared" si="23"/>
        <v>32104.511480090903</v>
      </c>
      <c r="P128" s="30">
        <f t="shared" si="30"/>
        <v>32104.511480090903</v>
      </c>
      <c r="Q128">
        <f t="shared" si="31"/>
        <v>0</v>
      </c>
      <c r="R128" s="30">
        <f t="shared" si="32"/>
        <v>32104.511480090903</v>
      </c>
      <c r="S128" s="30">
        <f t="shared" si="24"/>
        <v>32104.511480090896</v>
      </c>
      <c r="T128" s="30">
        <f t="shared" si="33"/>
        <v>32104.511480090896</v>
      </c>
      <c r="U128">
        <f t="shared" si="34"/>
        <v>0</v>
      </c>
      <c r="V128" s="30">
        <f t="shared" si="35"/>
        <v>32104.511480090896</v>
      </c>
      <c r="W128" s="30">
        <f t="shared" si="25"/>
        <v>32104.511480090903</v>
      </c>
      <c r="X128" s="30">
        <f t="shared" si="36"/>
        <v>32104.511480090903</v>
      </c>
      <c r="Y128">
        <f t="shared" si="37"/>
        <v>0</v>
      </c>
    </row>
    <row r="129" spans="1:25" x14ac:dyDescent="0.25">
      <c r="A129" s="4" t="s">
        <v>908</v>
      </c>
      <c r="B129" s="7" t="s">
        <v>451</v>
      </c>
      <c r="C129" s="2" t="s">
        <v>909</v>
      </c>
      <c r="D129">
        <f>VLOOKUP(B129,'Model allocations'!$A$1:$L$319,5,FALSE)</f>
        <v>31821.087656846801</v>
      </c>
      <c r="E129" s="32">
        <f>VLOOKUP(B129,'Initial adjusted formula count'!$A$1:$P$319,12,FALSE)</f>
        <v>0.26710097719869702</v>
      </c>
      <c r="F129">
        <f>VLOOKUP(B129,'Model allocations'!$A$1:$L$319,10,FALSE)</f>
        <v>48670.06085739674</v>
      </c>
      <c r="G129" s="31">
        <f t="shared" si="26"/>
        <v>0.9</v>
      </c>
      <c r="H129">
        <f t="shared" si="27"/>
        <v>28638.978891162122</v>
      </c>
      <c r="I129">
        <f t="shared" si="19"/>
        <v>0</v>
      </c>
      <c r="J129">
        <f t="shared" si="20"/>
        <v>48670.06085739674</v>
      </c>
      <c r="K129">
        <f t="shared" si="21"/>
        <v>48659.761406718433</v>
      </c>
      <c r="L129">
        <f t="shared" si="28"/>
        <v>48659.761406718433</v>
      </c>
      <c r="M129">
        <f t="shared" si="22"/>
        <v>0</v>
      </c>
      <c r="N129" s="30">
        <f t="shared" si="29"/>
        <v>48659.761406718433</v>
      </c>
      <c r="O129" s="30">
        <f t="shared" si="23"/>
        <v>48658.410501920305</v>
      </c>
      <c r="P129" s="30">
        <f t="shared" si="30"/>
        <v>48658.410501920305</v>
      </c>
      <c r="Q129">
        <f t="shared" si="31"/>
        <v>0</v>
      </c>
      <c r="R129" s="30">
        <f t="shared" si="32"/>
        <v>48658.410501920305</v>
      </c>
      <c r="S129" s="30">
        <f t="shared" si="24"/>
        <v>48658.410501920291</v>
      </c>
      <c r="T129" s="30">
        <f t="shared" si="33"/>
        <v>48658.410501920291</v>
      </c>
      <c r="U129">
        <f t="shared" si="34"/>
        <v>0</v>
      </c>
      <c r="V129" s="30">
        <f t="shared" si="35"/>
        <v>48658.410501920291</v>
      </c>
      <c r="W129" s="30">
        <f t="shared" si="25"/>
        <v>48658.410501920298</v>
      </c>
      <c r="X129" s="30">
        <f t="shared" si="36"/>
        <v>48658.410501920298</v>
      </c>
      <c r="Y129">
        <f t="shared" si="37"/>
        <v>0</v>
      </c>
    </row>
    <row r="130" spans="1:25" x14ac:dyDescent="0.25">
      <c r="A130" s="4" t="s">
        <v>910</v>
      </c>
      <c r="B130" s="7" t="s">
        <v>453</v>
      </c>
      <c r="C130" s="2" t="s">
        <v>911</v>
      </c>
      <c r="D130">
        <f>VLOOKUP(B130,'Model allocations'!$A$1:$L$319,5,FALSE)</f>
        <v>579464.92613746668</v>
      </c>
      <c r="E130" s="32">
        <f>VLOOKUP(B130,'Initial adjusted formula count'!$A$1:$P$319,12,FALSE)</f>
        <v>0.18630440809536999</v>
      </c>
      <c r="F130">
        <f>VLOOKUP(B130,'Model allocations'!$A$1:$L$319,10,FALSE)</f>
        <v>687736.24715939804</v>
      </c>
      <c r="G130" s="31">
        <f t="shared" si="26"/>
        <v>0.9</v>
      </c>
      <c r="H130">
        <f t="shared" si="27"/>
        <v>521518.43352372001</v>
      </c>
      <c r="I130">
        <f t="shared" si="19"/>
        <v>0</v>
      </c>
      <c r="J130">
        <f t="shared" si="20"/>
        <v>687736.24715939804</v>
      </c>
      <c r="K130">
        <f t="shared" si="21"/>
        <v>687590.7099352295</v>
      </c>
      <c r="L130">
        <f t="shared" si="28"/>
        <v>687590.7099352295</v>
      </c>
      <c r="M130">
        <f t="shared" si="22"/>
        <v>0</v>
      </c>
      <c r="N130" s="30">
        <f t="shared" si="29"/>
        <v>687590.7099352295</v>
      </c>
      <c r="O130" s="30">
        <f t="shared" si="23"/>
        <v>687571.62086528027</v>
      </c>
      <c r="P130" s="30">
        <f t="shared" si="30"/>
        <v>687571.62086528027</v>
      </c>
      <c r="Q130">
        <f t="shared" si="31"/>
        <v>0</v>
      </c>
      <c r="R130" s="30">
        <f t="shared" si="32"/>
        <v>687571.62086528027</v>
      </c>
      <c r="S130" s="30">
        <f t="shared" si="24"/>
        <v>687571.62086528016</v>
      </c>
      <c r="T130" s="30">
        <f t="shared" si="33"/>
        <v>687571.62086528016</v>
      </c>
      <c r="U130">
        <f t="shared" si="34"/>
        <v>0</v>
      </c>
      <c r="V130" s="30">
        <f t="shared" si="35"/>
        <v>687571.62086528016</v>
      </c>
      <c r="W130" s="30">
        <f t="shared" si="25"/>
        <v>687571.62086528016</v>
      </c>
      <c r="X130" s="30">
        <f t="shared" si="36"/>
        <v>687571.62086528016</v>
      </c>
      <c r="Y130">
        <f t="shared" si="37"/>
        <v>0</v>
      </c>
    </row>
    <row r="131" spans="1:25" x14ac:dyDescent="0.25">
      <c r="A131" s="4" t="s">
        <v>912</v>
      </c>
      <c r="B131" s="7" t="s">
        <v>455</v>
      </c>
      <c r="C131" s="2" t="s">
        <v>913</v>
      </c>
      <c r="D131">
        <f>VLOOKUP(B131,'Model allocations'!$A$1:$L$319,5,FALSE)</f>
        <v>29841.77679056253</v>
      </c>
      <c r="E131" s="32">
        <f>VLOOKUP(B131,'Initial adjusted formula count'!$A$1:$P$319,12,FALSE)</f>
        <v>0.23137254901960799</v>
      </c>
      <c r="F131">
        <f>VLOOKUP(B131,'Model allocations'!$A$1:$L$319,10,FALSE)</f>
        <v>31049.150746026084</v>
      </c>
      <c r="G131" s="31">
        <f t="shared" si="26"/>
        <v>0.9</v>
      </c>
      <c r="H131">
        <f t="shared" si="27"/>
        <v>26857.599111506279</v>
      </c>
      <c r="I131">
        <f t="shared" si="19"/>
        <v>0</v>
      </c>
      <c r="J131">
        <f t="shared" si="20"/>
        <v>31049.150746026084</v>
      </c>
      <c r="K131">
        <f t="shared" si="21"/>
        <v>31042.580193389033</v>
      </c>
      <c r="L131">
        <f t="shared" si="28"/>
        <v>31042.580193389033</v>
      </c>
      <c r="M131">
        <f t="shared" si="22"/>
        <v>0</v>
      </c>
      <c r="N131" s="30">
        <f t="shared" si="29"/>
        <v>31042.580193389033</v>
      </c>
      <c r="O131" s="30">
        <f t="shared" si="23"/>
        <v>31041.71838130206</v>
      </c>
      <c r="P131" s="30">
        <f t="shared" si="30"/>
        <v>31041.71838130206</v>
      </c>
      <c r="Q131">
        <f t="shared" si="31"/>
        <v>0</v>
      </c>
      <c r="R131" s="30">
        <f t="shared" si="32"/>
        <v>31041.71838130206</v>
      </c>
      <c r="S131" s="30">
        <f t="shared" si="24"/>
        <v>31041.718381302053</v>
      </c>
      <c r="T131" s="30">
        <f t="shared" si="33"/>
        <v>31041.718381302053</v>
      </c>
      <c r="U131">
        <f t="shared" si="34"/>
        <v>0</v>
      </c>
      <c r="V131" s="30">
        <f t="shared" si="35"/>
        <v>31041.718381302053</v>
      </c>
      <c r="W131" s="30">
        <f t="shared" si="25"/>
        <v>31041.718381302053</v>
      </c>
      <c r="X131" s="30">
        <f t="shared" si="36"/>
        <v>31041.718381302053</v>
      </c>
      <c r="Y131">
        <f t="shared" si="37"/>
        <v>0</v>
      </c>
    </row>
    <row r="132" spans="1:25" x14ac:dyDescent="0.25">
      <c r="A132" s="4" t="s">
        <v>914</v>
      </c>
      <c r="B132" s="7" t="s">
        <v>457</v>
      </c>
      <c r="C132" s="2" t="s">
        <v>915</v>
      </c>
      <c r="D132">
        <f>VLOOKUP(B132,'Model allocations'!$A$1:$L$319,5,FALSE)</f>
        <v>25912.096671822575</v>
      </c>
      <c r="E132" s="32">
        <f>VLOOKUP(B132,'Initial adjusted formula count'!$A$1:$P$319,12,FALSE)</f>
        <v>0.16433566433566399</v>
      </c>
      <c r="F132">
        <f>VLOOKUP(B132,'Model allocations'!$A$1:$L$319,10,FALSE)</f>
        <v>23320.887004640317</v>
      </c>
      <c r="G132" s="31">
        <f t="shared" si="26"/>
        <v>0.9</v>
      </c>
      <c r="H132">
        <f t="shared" si="27"/>
        <v>23320.887004640317</v>
      </c>
      <c r="I132">
        <f t="shared" ref="I132:I195" si="38">IF(F132&lt;H132,H132,0)</f>
        <v>0</v>
      </c>
      <c r="J132">
        <f t="shared" ref="J132:J195" si="39">IF(I132=0,F132,0)</f>
        <v>23320.887004640317</v>
      </c>
      <c r="K132">
        <f t="shared" ref="K132:K195" si="40">(J132/$J$3)*($F$3-$I$3)</f>
        <v>23315.951890090484</v>
      </c>
      <c r="L132">
        <f t="shared" si="28"/>
        <v>23315.951890090484</v>
      </c>
      <c r="M132">
        <f t="shared" ref="M132:M195" si="41">IF(L132&lt;H132,H132,0)</f>
        <v>23320.887004640317</v>
      </c>
      <c r="N132" s="30">
        <f t="shared" si="29"/>
        <v>0</v>
      </c>
      <c r="O132" s="30">
        <f t="shared" ref="O132:O195" si="42">((N132/$N$3)*($F$3-$I$3-$M$3))</f>
        <v>0</v>
      </c>
      <c r="P132" s="30">
        <f t="shared" si="30"/>
        <v>23320.887004640317</v>
      </c>
      <c r="Q132">
        <f t="shared" si="31"/>
        <v>0</v>
      </c>
      <c r="R132" s="30">
        <f t="shared" si="32"/>
        <v>0</v>
      </c>
      <c r="S132" s="30">
        <f t="shared" ref="S132:S195" si="43">((R132/$R$3)*($F$3-$I$3-$M$3-$Q$3))</f>
        <v>0</v>
      </c>
      <c r="T132" s="30">
        <f t="shared" si="33"/>
        <v>23320.887004640317</v>
      </c>
      <c r="U132">
        <f t="shared" si="34"/>
        <v>0</v>
      </c>
      <c r="V132" s="30">
        <f t="shared" si="35"/>
        <v>0</v>
      </c>
      <c r="W132" s="30">
        <f t="shared" ref="W132:W195" si="44">((V132/$V$3)*($F$3-$I$3-$M$3-$Q$3-$U$3))</f>
        <v>0</v>
      </c>
      <c r="X132" s="30">
        <f t="shared" si="36"/>
        <v>23320.887004640317</v>
      </c>
      <c r="Y132">
        <f t="shared" si="37"/>
        <v>0</v>
      </c>
    </row>
    <row r="133" spans="1:25" x14ac:dyDescent="0.25">
      <c r="A133" s="4" t="s">
        <v>30</v>
      </c>
      <c r="B133" s="7" t="s">
        <v>80</v>
      </c>
      <c r="C133" s="2" t="s">
        <v>916</v>
      </c>
      <c r="D133">
        <f>VLOOKUP(B133,'Model allocations'!$A$1:$L$319,5,FALSE)</f>
        <v>0</v>
      </c>
      <c r="E133" s="32">
        <f>VLOOKUP(B133,'Initial adjusted formula count'!$A$1:$P$319,12,FALSE)</f>
        <v>0.243967739812114</v>
      </c>
      <c r="F133">
        <f>VLOOKUP(B133,'Model allocations'!$A$1:$L$319,10,FALSE)</f>
        <v>0</v>
      </c>
      <c r="G133" s="31">
        <f t="shared" ref="G133:G196" si="45">IF(E133&lt;0.15,0.85,IF(AND(E133&gt;=0.15,E133&lt;0.3),0.9,0.95))</f>
        <v>0.9</v>
      </c>
      <c r="H133">
        <f t="shared" ref="H133:H196" si="46">IF(F133 = 0, 0, D133*G133)</f>
        <v>0</v>
      </c>
      <c r="I133">
        <f t="shared" si="38"/>
        <v>0</v>
      </c>
      <c r="J133">
        <f t="shared" si="39"/>
        <v>0</v>
      </c>
      <c r="K133">
        <f t="shared" si="40"/>
        <v>0</v>
      </c>
      <c r="L133">
        <f t="shared" ref="L133:L196" si="47">I133+K133</f>
        <v>0</v>
      </c>
      <c r="M133">
        <f t="shared" si="41"/>
        <v>0</v>
      </c>
      <c r="N133" s="30">
        <f t="shared" ref="N133:N196" si="48">IF($I133+$M133=0,L133,0)</f>
        <v>0</v>
      </c>
      <c r="O133" s="30">
        <f t="shared" si="42"/>
        <v>0</v>
      </c>
      <c r="P133" s="30">
        <f t="shared" ref="P133:P196" si="49">$I133+$M133+O133</f>
        <v>0</v>
      </c>
      <c r="Q133">
        <f t="shared" ref="Q133:Q196" si="50">IF(P133&lt;H133,H133,0)</f>
        <v>0</v>
      </c>
      <c r="R133" s="30">
        <f t="shared" ref="R133:R196" si="51">IF($I133+$M133+$Q133=0,P133,0)</f>
        <v>0</v>
      </c>
      <c r="S133" s="30">
        <f t="shared" si="43"/>
        <v>0</v>
      </c>
      <c r="T133" s="30">
        <f t="shared" ref="T133:T196" si="52">$I133+$M133+$Q133+S133</f>
        <v>0</v>
      </c>
      <c r="U133">
        <f t="shared" ref="U133:U196" si="53">IF(T133&lt;H133,H133,0)</f>
        <v>0</v>
      </c>
      <c r="V133" s="30">
        <f t="shared" ref="V133:V196" si="54">IF($I133+$M133+$Q133+U133=0,T133,0)</f>
        <v>0</v>
      </c>
      <c r="W133" s="30">
        <f t="shared" si="44"/>
        <v>0</v>
      </c>
      <c r="X133" s="30">
        <f t="shared" ref="X133:X196" si="55">$I133+$M133+$Q133+$U133+W133</f>
        <v>0</v>
      </c>
      <c r="Y133">
        <f t="shared" ref="Y133:Y196" si="56">IF(X133&lt;H133,H133,0)</f>
        <v>0</v>
      </c>
    </row>
    <row r="134" spans="1:25" x14ac:dyDescent="0.25">
      <c r="A134" s="4" t="s">
        <v>917</v>
      </c>
      <c r="B134" s="7" t="s">
        <v>459</v>
      </c>
      <c r="C134" s="2" t="s">
        <v>918</v>
      </c>
      <c r="D134">
        <f>VLOOKUP(B134,'Model allocations'!$A$1:$L$319,5,FALSE)</f>
        <v>48202.012305030454</v>
      </c>
      <c r="E134" s="32">
        <f>VLOOKUP(B134,'Initial adjusted formula count'!$A$1:$P$319,12,FALSE)</f>
        <v>0.17560975609756099</v>
      </c>
      <c r="F134">
        <f>VLOOKUP(B134,'Model allocations'!$A$1:$L$319,10,FALSE)</f>
        <v>43381.81107452741</v>
      </c>
      <c r="G134" s="31">
        <f t="shared" si="45"/>
        <v>0.9</v>
      </c>
      <c r="H134">
        <f t="shared" si="46"/>
        <v>43381.81107452741</v>
      </c>
      <c r="I134">
        <f t="shared" si="38"/>
        <v>0</v>
      </c>
      <c r="J134">
        <f t="shared" si="39"/>
        <v>43381.81107452741</v>
      </c>
      <c r="K134">
        <f t="shared" si="40"/>
        <v>43372.630711576829</v>
      </c>
      <c r="L134">
        <f t="shared" si="47"/>
        <v>43372.630711576829</v>
      </c>
      <c r="M134">
        <f t="shared" si="41"/>
        <v>43381.81107452741</v>
      </c>
      <c r="N134" s="30">
        <f t="shared" si="48"/>
        <v>0</v>
      </c>
      <c r="O134" s="30">
        <f t="shared" si="42"/>
        <v>0</v>
      </c>
      <c r="P134" s="30">
        <f t="shared" si="49"/>
        <v>43381.81107452741</v>
      </c>
      <c r="Q134">
        <f t="shared" si="50"/>
        <v>0</v>
      </c>
      <c r="R134" s="30">
        <f t="shared" si="51"/>
        <v>0</v>
      </c>
      <c r="S134" s="30">
        <f t="shared" si="43"/>
        <v>0</v>
      </c>
      <c r="T134" s="30">
        <f t="shared" si="52"/>
        <v>43381.81107452741</v>
      </c>
      <c r="U134">
        <f t="shared" si="53"/>
        <v>0</v>
      </c>
      <c r="V134" s="30">
        <f t="shared" si="54"/>
        <v>0</v>
      </c>
      <c r="W134" s="30">
        <f t="shared" si="44"/>
        <v>0</v>
      </c>
      <c r="X134" s="30">
        <f t="shared" si="55"/>
        <v>43381.81107452741</v>
      </c>
      <c r="Y134">
        <f t="shared" si="56"/>
        <v>0</v>
      </c>
    </row>
    <row r="135" spans="1:25" x14ac:dyDescent="0.25">
      <c r="A135" s="4" t="s">
        <v>919</v>
      </c>
      <c r="B135" s="7" t="s">
        <v>165</v>
      </c>
      <c r="C135" s="2" t="s">
        <v>920</v>
      </c>
      <c r="D135">
        <f>VLOOKUP(B135,'Model allocations'!$A$1:$L$319,5,FALSE)</f>
        <v>164944.26904624605</v>
      </c>
      <c r="E135" s="32">
        <f>VLOOKUP(B135,'Initial adjusted formula count'!$A$1:$P$319,12,FALSE)</f>
        <v>7.0772058823529396E-2</v>
      </c>
      <c r="F135">
        <f>VLOOKUP(B135,'Model allocations'!$A$1:$L$319,10,FALSE)</f>
        <v>140202.62868930915</v>
      </c>
      <c r="G135" s="31">
        <f t="shared" si="45"/>
        <v>0.85</v>
      </c>
      <c r="H135">
        <f t="shared" si="46"/>
        <v>140202.62868930915</v>
      </c>
      <c r="I135">
        <f t="shared" si="38"/>
        <v>0</v>
      </c>
      <c r="J135">
        <f t="shared" si="39"/>
        <v>140202.62868930915</v>
      </c>
      <c r="K135">
        <f t="shared" si="40"/>
        <v>140172.95931898753</v>
      </c>
      <c r="L135">
        <f t="shared" si="47"/>
        <v>140172.95931898753</v>
      </c>
      <c r="M135">
        <f t="shared" si="41"/>
        <v>140202.62868930915</v>
      </c>
      <c r="N135" s="30">
        <f t="shared" si="48"/>
        <v>0</v>
      </c>
      <c r="O135" s="30">
        <f t="shared" si="42"/>
        <v>0</v>
      </c>
      <c r="P135" s="30">
        <f t="shared" si="49"/>
        <v>140202.62868930915</v>
      </c>
      <c r="Q135">
        <f t="shared" si="50"/>
        <v>0</v>
      </c>
      <c r="R135" s="30">
        <f t="shared" si="51"/>
        <v>0</v>
      </c>
      <c r="S135" s="30">
        <f t="shared" si="43"/>
        <v>0</v>
      </c>
      <c r="T135" s="30">
        <f t="shared" si="52"/>
        <v>140202.62868930915</v>
      </c>
      <c r="U135">
        <f t="shared" si="53"/>
        <v>0</v>
      </c>
      <c r="V135" s="30">
        <f t="shared" si="54"/>
        <v>0</v>
      </c>
      <c r="W135" s="30">
        <f t="shared" si="44"/>
        <v>0</v>
      </c>
      <c r="X135" s="30">
        <f t="shared" si="55"/>
        <v>140202.62868930915</v>
      </c>
      <c r="Y135">
        <f t="shared" si="56"/>
        <v>0</v>
      </c>
    </row>
    <row r="136" spans="1:25" x14ac:dyDescent="0.25">
      <c r="A136" s="4" t="s">
        <v>921</v>
      </c>
      <c r="B136" s="7" t="s">
        <v>461</v>
      </c>
      <c r="C136" s="2" t="s">
        <v>922</v>
      </c>
      <c r="D136">
        <f>VLOOKUP(B136,'Model allocations'!$A$1:$L$319,5,FALSE)</f>
        <v>76780.163069229646</v>
      </c>
      <c r="E136" s="32">
        <f>VLOOKUP(B136,'Initial adjusted formula count'!$A$1:$P$319,12,FALSE)</f>
        <v>0.248051948051948</v>
      </c>
      <c r="F136">
        <f>VLOOKUP(B136,'Model allocations'!$A$1:$L$319,10,FALSE)</f>
        <v>106974.89278417223</v>
      </c>
      <c r="G136" s="31">
        <f t="shared" si="45"/>
        <v>0.9</v>
      </c>
      <c r="H136">
        <f t="shared" si="46"/>
        <v>69102.146762306686</v>
      </c>
      <c r="I136">
        <f t="shared" si="38"/>
        <v>0</v>
      </c>
      <c r="J136">
        <f t="shared" si="39"/>
        <v>106974.89278417223</v>
      </c>
      <c r="K136">
        <f t="shared" si="40"/>
        <v>106952.25499386257</v>
      </c>
      <c r="L136">
        <f t="shared" si="47"/>
        <v>106952.25499386257</v>
      </c>
      <c r="M136">
        <f t="shared" si="41"/>
        <v>0</v>
      </c>
      <c r="N136" s="30">
        <f t="shared" si="48"/>
        <v>106952.25499386257</v>
      </c>
      <c r="O136" s="30">
        <f t="shared" si="42"/>
        <v>106949.28575788061</v>
      </c>
      <c r="P136" s="30">
        <f t="shared" si="49"/>
        <v>106949.28575788061</v>
      </c>
      <c r="Q136">
        <f t="shared" si="50"/>
        <v>0</v>
      </c>
      <c r="R136" s="30">
        <f t="shared" si="51"/>
        <v>106949.28575788061</v>
      </c>
      <c r="S136" s="30">
        <f t="shared" si="43"/>
        <v>106949.28575788059</v>
      </c>
      <c r="T136" s="30">
        <f t="shared" si="52"/>
        <v>106949.28575788059</v>
      </c>
      <c r="U136">
        <f t="shared" si="53"/>
        <v>0</v>
      </c>
      <c r="V136" s="30">
        <f t="shared" si="54"/>
        <v>106949.28575788059</v>
      </c>
      <c r="W136" s="30">
        <f t="shared" si="44"/>
        <v>106949.2857578806</v>
      </c>
      <c r="X136" s="30">
        <f t="shared" si="55"/>
        <v>106949.2857578806</v>
      </c>
      <c r="Y136">
        <f t="shared" si="56"/>
        <v>0</v>
      </c>
    </row>
    <row r="137" spans="1:25" x14ac:dyDescent="0.25">
      <c r="A137" s="4" t="s">
        <v>923</v>
      </c>
      <c r="B137" s="7" t="s">
        <v>463</v>
      </c>
      <c r="C137" s="2" t="s">
        <v>924</v>
      </c>
      <c r="D137">
        <f>VLOOKUP(B137,'Model allocations'!$A$1:$L$319,5,FALSE)</f>
        <v>16874.976896781307</v>
      </c>
      <c r="E137" s="32">
        <f>VLOOKUP(B137,'Initial adjusted formula count'!$A$1:$P$319,12,FALSE)</f>
        <v>0.188235294117647</v>
      </c>
      <c r="F137">
        <f>VLOOKUP(B137,'Model allocations'!$A$1:$L$319,10,FALSE)</f>
        <v>15187.479207103177</v>
      </c>
      <c r="G137" s="31">
        <f t="shared" si="45"/>
        <v>0.9</v>
      </c>
      <c r="H137">
        <f t="shared" si="46"/>
        <v>15187.479207103177</v>
      </c>
      <c r="I137">
        <f t="shared" si="38"/>
        <v>0</v>
      </c>
      <c r="J137">
        <f t="shared" si="39"/>
        <v>15187.479207103177</v>
      </c>
      <c r="K137">
        <f t="shared" si="40"/>
        <v>15184.265266330025</v>
      </c>
      <c r="L137">
        <f t="shared" si="47"/>
        <v>15184.265266330025</v>
      </c>
      <c r="M137">
        <f t="shared" si="41"/>
        <v>15187.479207103177</v>
      </c>
      <c r="N137" s="30">
        <f t="shared" si="48"/>
        <v>0</v>
      </c>
      <c r="O137" s="30">
        <f t="shared" si="42"/>
        <v>0</v>
      </c>
      <c r="P137" s="30">
        <f t="shared" si="49"/>
        <v>15187.479207103177</v>
      </c>
      <c r="Q137">
        <f t="shared" si="50"/>
        <v>0</v>
      </c>
      <c r="R137" s="30">
        <f t="shared" si="51"/>
        <v>0</v>
      </c>
      <c r="S137" s="30">
        <f t="shared" si="43"/>
        <v>0</v>
      </c>
      <c r="T137" s="30">
        <f t="shared" si="52"/>
        <v>15187.479207103177</v>
      </c>
      <c r="U137">
        <f t="shared" si="53"/>
        <v>0</v>
      </c>
      <c r="V137" s="30">
        <f t="shared" si="54"/>
        <v>0</v>
      </c>
      <c r="W137" s="30">
        <f t="shared" si="44"/>
        <v>0</v>
      </c>
      <c r="X137" s="30">
        <f t="shared" si="55"/>
        <v>15187.479207103177</v>
      </c>
      <c r="Y137">
        <f t="shared" si="56"/>
        <v>0</v>
      </c>
    </row>
    <row r="138" spans="1:25" x14ac:dyDescent="0.25">
      <c r="A138" s="4" t="s">
        <v>925</v>
      </c>
      <c r="B138" s="7" t="s">
        <v>288</v>
      </c>
      <c r="C138" s="2" t="s">
        <v>926</v>
      </c>
      <c r="D138">
        <f>VLOOKUP(B138,'Model allocations'!$A$1:$L$319,5,FALSE)</f>
        <v>45635.543277697492</v>
      </c>
      <c r="E138" s="32">
        <f>VLOOKUP(B138,'Initial adjusted formula count'!$A$1:$P$319,12,FALSE)</f>
        <v>0.20032840722495901</v>
      </c>
      <c r="F138">
        <f>VLOOKUP(B138,'Model allocations'!$A$1:$L$319,10,FALSE)</f>
        <v>58599.965672469851</v>
      </c>
      <c r="G138" s="31">
        <f t="shared" si="45"/>
        <v>0.9</v>
      </c>
      <c r="H138">
        <f t="shared" si="46"/>
        <v>41071.988949927741</v>
      </c>
      <c r="I138">
        <f t="shared" si="38"/>
        <v>0</v>
      </c>
      <c r="J138">
        <f t="shared" si="39"/>
        <v>58599.965672469851</v>
      </c>
      <c r="K138">
        <f t="shared" si="40"/>
        <v>58587.564877287725</v>
      </c>
      <c r="L138">
        <f t="shared" si="47"/>
        <v>58587.564877287725</v>
      </c>
      <c r="M138">
        <f t="shared" si="41"/>
        <v>0</v>
      </c>
      <c r="N138" s="30">
        <f t="shared" si="48"/>
        <v>58587.564877287725</v>
      </c>
      <c r="O138" s="30">
        <f t="shared" si="42"/>
        <v>58585.938354258928</v>
      </c>
      <c r="P138" s="30">
        <f t="shared" si="49"/>
        <v>58585.938354258928</v>
      </c>
      <c r="Q138">
        <f t="shared" si="50"/>
        <v>0</v>
      </c>
      <c r="R138" s="30">
        <f t="shared" si="51"/>
        <v>58585.938354258928</v>
      </c>
      <c r="S138" s="30">
        <f t="shared" si="43"/>
        <v>58585.938354258913</v>
      </c>
      <c r="T138" s="30">
        <f t="shared" si="52"/>
        <v>58585.938354258913</v>
      </c>
      <c r="U138">
        <f t="shared" si="53"/>
        <v>0</v>
      </c>
      <c r="V138" s="30">
        <f t="shared" si="54"/>
        <v>58585.938354258913</v>
      </c>
      <c r="W138" s="30">
        <f t="shared" si="44"/>
        <v>58585.93835425892</v>
      </c>
      <c r="X138" s="30">
        <f t="shared" si="55"/>
        <v>58585.93835425892</v>
      </c>
      <c r="Y138">
        <f t="shared" si="56"/>
        <v>0</v>
      </c>
    </row>
    <row r="139" spans="1:25" x14ac:dyDescent="0.25">
      <c r="A139" s="4" t="s">
        <v>927</v>
      </c>
      <c r="B139" s="7" t="s">
        <v>465</v>
      </c>
      <c r="C139" s="2" t="s">
        <v>928</v>
      </c>
      <c r="D139">
        <f>VLOOKUP(B139,'Model allocations'!$A$1:$L$319,5,FALSE)</f>
        <v>25028.138560760191</v>
      </c>
      <c r="E139" s="32">
        <f>VLOOKUP(B139,'Initial adjusted formula count'!$A$1:$P$319,12,FALSE)</f>
        <v>0.16019417475728201</v>
      </c>
      <c r="F139">
        <f>VLOOKUP(B139,'Model allocations'!$A$1:$L$319,10,FALSE)</f>
        <v>22525.324704684172</v>
      </c>
      <c r="G139" s="31">
        <f t="shared" si="45"/>
        <v>0.9</v>
      </c>
      <c r="H139">
        <f t="shared" si="46"/>
        <v>22525.324704684172</v>
      </c>
      <c r="I139">
        <f t="shared" si="38"/>
        <v>0</v>
      </c>
      <c r="J139">
        <f t="shared" si="39"/>
        <v>22525.324704684172</v>
      </c>
      <c r="K139">
        <f t="shared" si="40"/>
        <v>22520.557945269415</v>
      </c>
      <c r="L139">
        <f t="shared" si="47"/>
        <v>22520.557945269415</v>
      </c>
      <c r="M139">
        <f t="shared" si="41"/>
        <v>22525.324704684172</v>
      </c>
      <c r="N139" s="30">
        <f t="shared" si="48"/>
        <v>0</v>
      </c>
      <c r="O139" s="30">
        <f t="shared" si="42"/>
        <v>0</v>
      </c>
      <c r="P139" s="30">
        <f t="shared" si="49"/>
        <v>22525.324704684172</v>
      </c>
      <c r="Q139">
        <f t="shared" si="50"/>
        <v>0</v>
      </c>
      <c r="R139" s="30">
        <f t="shared" si="51"/>
        <v>0</v>
      </c>
      <c r="S139" s="30">
        <f t="shared" si="43"/>
        <v>0</v>
      </c>
      <c r="T139" s="30">
        <f t="shared" si="52"/>
        <v>22525.324704684172</v>
      </c>
      <c r="U139">
        <f t="shared" si="53"/>
        <v>0</v>
      </c>
      <c r="V139" s="30">
        <f t="shared" si="54"/>
        <v>0</v>
      </c>
      <c r="W139" s="30">
        <f t="shared" si="44"/>
        <v>0</v>
      </c>
      <c r="X139" s="30">
        <f t="shared" si="55"/>
        <v>22525.324704684172</v>
      </c>
      <c r="Y139">
        <f t="shared" si="56"/>
        <v>0</v>
      </c>
    </row>
    <row r="140" spans="1:25" x14ac:dyDescent="0.25">
      <c r="A140" s="4" t="s">
        <v>929</v>
      </c>
      <c r="B140" s="7" t="s">
        <v>467</v>
      </c>
      <c r="C140" s="2" t="s">
        <v>930</v>
      </c>
      <c r="D140">
        <f>VLOOKUP(B140,'Model allocations'!$A$1:$L$319,5,FALSE)</f>
        <v>83411.511771563877</v>
      </c>
      <c r="E140" s="32">
        <f>VLOOKUP(B140,'Initial adjusted formula count'!$A$1:$P$319,12,FALSE)</f>
        <v>0.24062500000000001</v>
      </c>
      <c r="F140">
        <f>VLOOKUP(B140,'Model allocations'!$A$1:$L$319,10,FALSE)</f>
        <v>84021.978575436835</v>
      </c>
      <c r="G140" s="31">
        <f t="shared" si="45"/>
        <v>0.9</v>
      </c>
      <c r="H140">
        <f t="shared" si="46"/>
        <v>75070.360594407495</v>
      </c>
      <c r="I140">
        <f t="shared" si="38"/>
        <v>0</v>
      </c>
      <c r="J140">
        <f t="shared" si="39"/>
        <v>84021.978575436835</v>
      </c>
      <c r="K140">
        <f t="shared" si="40"/>
        <v>84004.198030087471</v>
      </c>
      <c r="L140">
        <f t="shared" si="47"/>
        <v>84004.198030087471</v>
      </c>
      <c r="M140">
        <f t="shared" si="41"/>
        <v>0</v>
      </c>
      <c r="N140" s="30">
        <f t="shared" si="48"/>
        <v>84004.198030087471</v>
      </c>
      <c r="O140" s="30">
        <f t="shared" si="42"/>
        <v>84001.865883958904</v>
      </c>
      <c r="P140" s="30">
        <f t="shared" si="49"/>
        <v>84001.865883958904</v>
      </c>
      <c r="Q140">
        <f t="shared" si="50"/>
        <v>0</v>
      </c>
      <c r="R140" s="30">
        <f t="shared" si="51"/>
        <v>84001.865883958904</v>
      </c>
      <c r="S140" s="30">
        <f t="shared" si="43"/>
        <v>84001.86588395889</v>
      </c>
      <c r="T140" s="30">
        <f t="shared" si="52"/>
        <v>84001.86588395889</v>
      </c>
      <c r="U140">
        <f t="shared" si="53"/>
        <v>0</v>
      </c>
      <c r="V140" s="30">
        <f t="shared" si="54"/>
        <v>84001.86588395889</v>
      </c>
      <c r="W140" s="30">
        <f t="shared" si="44"/>
        <v>84001.865883958904</v>
      </c>
      <c r="X140" s="30">
        <f t="shared" si="55"/>
        <v>84001.865883958904</v>
      </c>
      <c r="Y140">
        <f t="shared" si="56"/>
        <v>0</v>
      </c>
    </row>
    <row r="141" spans="1:25" x14ac:dyDescent="0.25">
      <c r="A141" s="4" t="s">
        <v>931</v>
      </c>
      <c r="B141" s="7" t="s">
        <v>167</v>
      </c>
      <c r="C141" s="2" t="s">
        <v>932</v>
      </c>
      <c r="D141">
        <f>VLOOKUP(B141,'Model allocations'!$A$1:$L$319,5,FALSE)</f>
        <v>601850.21979374322</v>
      </c>
      <c r="E141" s="32">
        <f>VLOOKUP(B141,'Initial adjusted formula count'!$A$1:$P$319,12,FALSE)</f>
        <v>0.119180484693878</v>
      </c>
      <c r="F141">
        <f>VLOOKUP(B141,'Model allocations'!$A$1:$L$319,10,FALSE)</f>
        <v>780985.13071617961</v>
      </c>
      <c r="G141" s="31">
        <f t="shared" si="45"/>
        <v>0.85</v>
      </c>
      <c r="H141">
        <f t="shared" si="46"/>
        <v>511572.6868246817</v>
      </c>
      <c r="I141">
        <f t="shared" si="38"/>
        <v>0</v>
      </c>
      <c r="J141">
        <f t="shared" si="39"/>
        <v>780985.13071617961</v>
      </c>
      <c r="K141">
        <f t="shared" si="40"/>
        <v>780819.86036942841</v>
      </c>
      <c r="L141">
        <f t="shared" si="47"/>
        <v>780819.86036942841</v>
      </c>
      <c r="M141">
        <f t="shared" si="41"/>
        <v>0</v>
      </c>
      <c r="N141" s="30">
        <f t="shared" si="48"/>
        <v>780819.86036942841</v>
      </c>
      <c r="O141" s="30">
        <f t="shared" si="42"/>
        <v>780798.1830478519</v>
      </c>
      <c r="P141" s="30">
        <f t="shared" si="49"/>
        <v>780798.1830478519</v>
      </c>
      <c r="Q141">
        <f t="shared" si="50"/>
        <v>0</v>
      </c>
      <c r="R141" s="30">
        <f t="shared" si="51"/>
        <v>780798.1830478519</v>
      </c>
      <c r="S141" s="30">
        <f t="shared" si="43"/>
        <v>780798.18304785166</v>
      </c>
      <c r="T141" s="30">
        <f t="shared" si="52"/>
        <v>780798.18304785166</v>
      </c>
      <c r="U141">
        <f t="shared" si="53"/>
        <v>0</v>
      </c>
      <c r="V141" s="30">
        <f t="shared" si="54"/>
        <v>780798.18304785166</v>
      </c>
      <c r="W141" s="30">
        <f t="shared" si="44"/>
        <v>780798.18304785178</v>
      </c>
      <c r="X141" s="30">
        <f t="shared" si="55"/>
        <v>780798.18304785178</v>
      </c>
      <c r="Y141">
        <f t="shared" si="56"/>
        <v>0</v>
      </c>
    </row>
    <row r="142" spans="1:25" x14ac:dyDescent="0.25">
      <c r="A142" s="4" t="s">
        <v>933</v>
      </c>
      <c r="B142" s="7" t="s">
        <v>469</v>
      </c>
      <c r="C142" s="2" t="s">
        <v>934</v>
      </c>
      <c r="D142">
        <f>VLOOKUP(B142,'Model allocations'!$A$1:$L$319,5,FALSE)</f>
        <v>26312.538157377348</v>
      </c>
      <c r="E142" s="32">
        <f>VLOOKUP(B142,'Initial adjusted formula count'!$A$1:$P$319,12,FALSE)</f>
        <v>0.12937062937062899</v>
      </c>
      <c r="F142">
        <f>VLOOKUP(B142,'Model allocations'!$A$1:$L$319,10,FALSE)</f>
        <v>30465.418910383381</v>
      </c>
      <c r="G142" s="31">
        <f t="shared" si="45"/>
        <v>0.85</v>
      </c>
      <c r="H142">
        <f t="shared" si="46"/>
        <v>22365.657433770746</v>
      </c>
      <c r="I142">
        <f t="shared" si="38"/>
        <v>0</v>
      </c>
      <c r="J142">
        <f t="shared" si="39"/>
        <v>30465.418910383381</v>
      </c>
      <c r="K142">
        <f t="shared" si="40"/>
        <v>30458.971885786868</v>
      </c>
      <c r="L142">
        <f t="shared" si="47"/>
        <v>30458.971885786868</v>
      </c>
      <c r="M142">
        <f t="shared" si="41"/>
        <v>0</v>
      </c>
      <c r="N142" s="30">
        <f t="shared" si="48"/>
        <v>30458.971885786868</v>
      </c>
      <c r="O142" s="30">
        <f t="shared" si="42"/>
        <v>30458.126275983675</v>
      </c>
      <c r="P142" s="30">
        <f t="shared" si="49"/>
        <v>30458.126275983675</v>
      </c>
      <c r="Q142">
        <f t="shared" si="50"/>
        <v>0</v>
      </c>
      <c r="R142" s="30">
        <f t="shared" si="51"/>
        <v>30458.126275983675</v>
      </c>
      <c r="S142" s="30">
        <f t="shared" si="43"/>
        <v>30458.126275983668</v>
      </c>
      <c r="T142" s="30">
        <f t="shared" si="52"/>
        <v>30458.126275983668</v>
      </c>
      <c r="U142">
        <f t="shared" si="53"/>
        <v>0</v>
      </c>
      <c r="V142" s="30">
        <f t="shared" si="54"/>
        <v>30458.126275983668</v>
      </c>
      <c r="W142" s="30">
        <f t="shared" si="44"/>
        <v>30458.126275983675</v>
      </c>
      <c r="X142" s="30">
        <f t="shared" si="55"/>
        <v>30458.126275983675</v>
      </c>
      <c r="Y142">
        <f t="shared" si="56"/>
        <v>0</v>
      </c>
    </row>
    <row r="143" spans="1:25" x14ac:dyDescent="0.25">
      <c r="A143" s="4" t="s">
        <v>935</v>
      </c>
      <c r="B143" s="7" t="s">
        <v>169</v>
      </c>
      <c r="C143" s="2" t="s">
        <v>936</v>
      </c>
      <c r="D143">
        <f>VLOOKUP(B143,'Model allocations'!$A$1:$L$319,5,FALSE)</f>
        <v>462825.76445476414</v>
      </c>
      <c r="E143" s="32">
        <f>VLOOKUP(B143,'Initial adjusted formula count'!$A$1:$P$319,12,FALSE)</f>
        <v>8.5802263648468699E-2</v>
      </c>
      <c r="F143">
        <f>VLOOKUP(B143,'Model allocations'!$A$1:$L$319,10,FALSE)</f>
        <v>494445.51501851942</v>
      </c>
      <c r="G143" s="31">
        <f t="shared" si="45"/>
        <v>0.85</v>
      </c>
      <c r="H143">
        <f t="shared" si="46"/>
        <v>393401.8997865495</v>
      </c>
      <c r="I143">
        <f t="shared" si="38"/>
        <v>0</v>
      </c>
      <c r="J143">
        <f t="shared" si="39"/>
        <v>494445.51501851942</v>
      </c>
      <c r="K143">
        <f t="shared" si="40"/>
        <v>494340.88155175705</v>
      </c>
      <c r="L143">
        <f t="shared" si="47"/>
        <v>494340.88155175705</v>
      </c>
      <c r="M143">
        <f t="shared" si="41"/>
        <v>0</v>
      </c>
      <c r="N143" s="30">
        <f t="shared" si="48"/>
        <v>494340.88155175705</v>
      </c>
      <c r="O143" s="30">
        <f t="shared" si="42"/>
        <v>494327.1575331944</v>
      </c>
      <c r="P143" s="30">
        <f t="shared" si="49"/>
        <v>494327.1575331944</v>
      </c>
      <c r="Q143">
        <f t="shared" si="50"/>
        <v>0</v>
      </c>
      <c r="R143" s="30">
        <f t="shared" si="51"/>
        <v>494327.1575331944</v>
      </c>
      <c r="S143" s="30">
        <f t="shared" si="43"/>
        <v>494327.15753319435</v>
      </c>
      <c r="T143" s="30">
        <f t="shared" si="52"/>
        <v>494327.15753319435</v>
      </c>
      <c r="U143">
        <f t="shared" si="53"/>
        <v>0</v>
      </c>
      <c r="V143" s="30">
        <f t="shared" si="54"/>
        <v>494327.15753319435</v>
      </c>
      <c r="W143" s="30">
        <f t="shared" si="44"/>
        <v>494327.1575331944</v>
      </c>
      <c r="X143" s="30">
        <f t="shared" si="55"/>
        <v>494327.1575331944</v>
      </c>
      <c r="Y143">
        <f t="shared" si="56"/>
        <v>0</v>
      </c>
    </row>
    <row r="144" spans="1:25" x14ac:dyDescent="0.25">
      <c r="A144" s="4" t="s">
        <v>937</v>
      </c>
      <c r="B144" s="7" t="s">
        <v>171</v>
      </c>
      <c r="C144" s="2" t="s">
        <v>938</v>
      </c>
      <c r="D144">
        <f>VLOOKUP(B144,'Model allocations'!$A$1:$L$319,5,FALSE)</f>
        <v>71904.271798312024</v>
      </c>
      <c r="E144" s="32">
        <f>VLOOKUP(B144,'Initial adjusted formula count'!$A$1:$P$319,12,FALSE)</f>
        <v>0.117157134925042</v>
      </c>
      <c r="F144">
        <f>VLOOKUP(B144,'Model allocations'!$A$1:$L$319,10,FALSE)</f>
        <v>86867.613379606686</v>
      </c>
      <c r="G144" s="31">
        <f t="shared" si="45"/>
        <v>0.85</v>
      </c>
      <c r="H144">
        <f t="shared" si="46"/>
        <v>61118.631028565222</v>
      </c>
      <c r="I144">
        <f t="shared" si="38"/>
        <v>0</v>
      </c>
      <c r="J144">
        <f t="shared" si="39"/>
        <v>86867.613379606686</v>
      </c>
      <c r="K144">
        <f t="shared" si="40"/>
        <v>86849.230647311211</v>
      </c>
      <c r="L144">
        <f t="shared" si="47"/>
        <v>86849.230647311211</v>
      </c>
      <c r="M144">
        <f t="shared" si="41"/>
        <v>0</v>
      </c>
      <c r="N144" s="30">
        <f t="shared" si="48"/>
        <v>86849.230647311211</v>
      </c>
      <c r="O144" s="30">
        <f t="shared" si="42"/>
        <v>86846.819516656164</v>
      </c>
      <c r="P144" s="30">
        <f t="shared" si="49"/>
        <v>86846.819516656164</v>
      </c>
      <c r="Q144">
        <f t="shared" si="50"/>
        <v>0</v>
      </c>
      <c r="R144" s="30">
        <f t="shared" si="51"/>
        <v>86846.819516656164</v>
      </c>
      <c r="S144" s="30">
        <f t="shared" si="43"/>
        <v>86846.819516656149</v>
      </c>
      <c r="T144" s="30">
        <f t="shared" si="52"/>
        <v>86846.819516656149</v>
      </c>
      <c r="U144">
        <f t="shared" si="53"/>
        <v>0</v>
      </c>
      <c r="V144" s="30">
        <f t="shared" si="54"/>
        <v>86846.819516656149</v>
      </c>
      <c r="W144" s="30">
        <f t="shared" si="44"/>
        <v>86846.819516656164</v>
      </c>
      <c r="X144" s="30">
        <f t="shared" si="55"/>
        <v>86846.819516656164</v>
      </c>
      <c r="Y144">
        <f t="shared" si="56"/>
        <v>0</v>
      </c>
    </row>
    <row r="145" spans="1:25" x14ac:dyDescent="0.25">
      <c r="A145" s="4" t="s">
        <v>939</v>
      </c>
      <c r="B145" s="7" t="s">
        <v>173</v>
      </c>
      <c r="C145" s="2" t="s">
        <v>940</v>
      </c>
      <c r="D145">
        <f>VLOOKUP(B145,'Model allocations'!$A$1:$L$319,5,FALSE)</f>
        <v>0</v>
      </c>
      <c r="E145" s="32">
        <f>VLOOKUP(B145,'Initial adjusted formula count'!$A$1:$P$319,12,FALSE)</f>
        <v>2.4190241902418998E-2</v>
      </c>
      <c r="F145">
        <f>VLOOKUP(B145,'Model allocations'!$A$1:$L$319,10,FALSE)</f>
        <v>0</v>
      </c>
      <c r="G145" s="31">
        <f t="shared" si="45"/>
        <v>0.85</v>
      </c>
      <c r="H145">
        <f t="shared" si="46"/>
        <v>0</v>
      </c>
      <c r="I145">
        <f t="shared" si="38"/>
        <v>0</v>
      </c>
      <c r="J145">
        <f t="shared" si="39"/>
        <v>0</v>
      </c>
      <c r="K145">
        <f t="shared" si="40"/>
        <v>0</v>
      </c>
      <c r="L145">
        <f t="shared" si="47"/>
        <v>0</v>
      </c>
      <c r="M145">
        <f t="shared" si="41"/>
        <v>0</v>
      </c>
      <c r="N145" s="30">
        <f t="shared" si="48"/>
        <v>0</v>
      </c>
      <c r="O145" s="30">
        <f t="shared" si="42"/>
        <v>0</v>
      </c>
      <c r="P145" s="30">
        <f t="shared" si="49"/>
        <v>0</v>
      </c>
      <c r="Q145">
        <f t="shared" si="50"/>
        <v>0</v>
      </c>
      <c r="R145" s="30">
        <f t="shared" si="51"/>
        <v>0</v>
      </c>
      <c r="S145" s="30">
        <f t="shared" si="43"/>
        <v>0</v>
      </c>
      <c r="T145" s="30">
        <f t="shared" si="52"/>
        <v>0</v>
      </c>
      <c r="U145">
        <f t="shared" si="53"/>
        <v>0</v>
      </c>
      <c r="V145" s="30">
        <f t="shared" si="54"/>
        <v>0</v>
      </c>
      <c r="W145" s="30">
        <f t="shared" si="44"/>
        <v>0</v>
      </c>
      <c r="X145" s="30">
        <f t="shared" si="55"/>
        <v>0</v>
      </c>
      <c r="Y145">
        <f t="shared" si="56"/>
        <v>0</v>
      </c>
    </row>
    <row r="146" spans="1:25" x14ac:dyDescent="0.25">
      <c r="A146" s="4" t="s">
        <v>941</v>
      </c>
      <c r="B146" s="7" t="s">
        <v>175</v>
      </c>
      <c r="C146" s="2" t="s">
        <v>942</v>
      </c>
      <c r="D146">
        <f>VLOOKUP(B146,'Model allocations'!$A$1:$L$319,5,FALSE)</f>
        <v>93468.419126206078</v>
      </c>
      <c r="E146" s="32">
        <f>VLOOKUP(B146,'Initial adjusted formula count'!$A$1:$P$319,12,FALSE)</f>
        <v>0.120234604105572</v>
      </c>
      <c r="F146">
        <f>VLOOKUP(B146,'Model allocations'!$A$1:$L$319,10,FALSE)</f>
        <v>84397.444278764757</v>
      </c>
      <c r="G146" s="31">
        <f t="shared" si="45"/>
        <v>0.85</v>
      </c>
      <c r="H146">
        <f t="shared" si="46"/>
        <v>79448.156257275157</v>
      </c>
      <c r="I146">
        <f t="shared" si="38"/>
        <v>0</v>
      </c>
      <c r="J146">
        <f t="shared" si="39"/>
        <v>84397.444278764757</v>
      </c>
      <c r="K146">
        <f t="shared" si="40"/>
        <v>84379.584278193332</v>
      </c>
      <c r="L146">
        <f t="shared" si="47"/>
        <v>84379.584278193332</v>
      </c>
      <c r="M146">
        <f t="shared" si="41"/>
        <v>0</v>
      </c>
      <c r="N146" s="30">
        <f t="shared" si="48"/>
        <v>84379.584278193332</v>
      </c>
      <c r="O146" s="30">
        <f t="shared" si="42"/>
        <v>84377.241710495291</v>
      </c>
      <c r="P146" s="30">
        <f t="shared" si="49"/>
        <v>84377.241710495291</v>
      </c>
      <c r="Q146">
        <f t="shared" si="50"/>
        <v>0</v>
      </c>
      <c r="R146" s="30">
        <f t="shared" si="51"/>
        <v>84377.241710495291</v>
      </c>
      <c r="S146" s="30">
        <f t="shared" si="43"/>
        <v>84377.241710495276</v>
      </c>
      <c r="T146" s="30">
        <f t="shared" si="52"/>
        <v>84377.241710495276</v>
      </c>
      <c r="U146">
        <f t="shared" si="53"/>
        <v>0</v>
      </c>
      <c r="V146" s="30">
        <f t="shared" si="54"/>
        <v>84377.241710495276</v>
      </c>
      <c r="W146" s="30">
        <f t="shared" si="44"/>
        <v>84377.241710495291</v>
      </c>
      <c r="X146" s="30">
        <f t="shared" si="55"/>
        <v>84377.241710495291</v>
      </c>
      <c r="Y146">
        <f t="shared" si="56"/>
        <v>0</v>
      </c>
    </row>
    <row r="147" spans="1:25" x14ac:dyDescent="0.25">
      <c r="A147" s="4" t="s">
        <v>943</v>
      </c>
      <c r="B147" s="7" t="s">
        <v>471</v>
      </c>
      <c r="C147" s="2" t="s">
        <v>944</v>
      </c>
      <c r="D147">
        <f>VLOOKUP(B147,'Model allocations'!$A$1:$L$319,5,FALSE)</f>
        <v>40151.624612067884</v>
      </c>
      <c r="E147" s="32">
        <f>VLOOKUP(B147,'Initial adjusted formula count'!$A$1:$P$319,12,FALSE)</f>
        <v>8.1490104772991803E-2</v>
      </c>
      <c r="F147">
        <f>VLOOKUP(B147,'Model allocations'!$A$1:$L$319,10,FALSE)</f>
        <v>34128.880920257703</v>
      </c>
      <c r="G147" s="31">
        <f t="shared" si="45"/>
        <v>0.85</v>
      </c>
      <c r="H147">
        <f t="shared" si="46"/>
        <v>34128.880920257703</v>
      </c>
      <c r="I147">
        <f t="shared" si="38"/>
        <v>0</v>
      </c>
      <c r="J147">
        <f t="shared" si="39"/>
        <v>34128.880920257703</v>
      </c>
      <c r="K147">
        <f t="shared" si="40"/>
        <v>34121.658641929884</v>
      </c>
      <c r="L147">
        <f t="shared" si="47"/>
        <v>34121.658641929884</v>
      </c>
      <c r="M147">
        <f t="shared" si="41"/>
        <v>34128.880920257703</v>
      </c>
      <c r="N147" s="30">
        <f t="shared" si="48"/>
        <v>0</v>
      </c>
      <c r="O147" s="30">
        <f t="shared" si="42"/>
        <v>0</v>
      </c>
      <c r="P147" s="30">
        <f t="shared" si="49"/>
        <v>34128.880920257703</v>
      </c>
      <c r="Q147">
        <f t="shared" si="50"/>
        <v>0</v>
      </c>
      <c r="R147" s="30">
        <f t="shared" si="51"/>
        <v>0</v>
      </c>
      <c r="S147" s="30">
        <f t="shared" si="43"/>
        <v>0</v>
      </c>
      <c r="T147" s="30">
        <f t="shared" si="52"/>
        <v>34128.880920257703</v>
      </c>
      <c r="U147">
        <f t="shared" si="53"/>
        <v>0</v>
      </c>
      <c r="V147" s="30">
        <f t="shared" si="54"/>
        <v>0</v>
      </c>
      <c r="W147" s="30">
        <f t="shared" si="44"/>
        <v>0</v>
      </c>
      <c r="X147" s="30">
        <f t="shared" si="55"/>
        <v>34128.880920257703</v>
      </c>
      <c r="Y147">
        <f t="shared" si="56"/>
        <v>0</v>
      </c>
    </row>
    <row r="148" spans="1:25" x14ac:dyDescent="0.25">
      <c r="A148" s="4" t="s">
        <v>945</v>
      </c>
      <c r="B148" s="7" t="s">
        <v>473</v>
      </c>
      <c r="C148" s="2" t="s">
        <v>946</v>
      </c>
      <c r="D148">
        <f>VLOOKUP(B148,'Model allocations'!$A$1:$L$319,5,FALSE)</f>
        <v>4851.3644046551963</v>
      </c>
      <c r="E148" s="32">
        <f>VLOOKUP(B148,'Initial adjusted formula count'!$A$1:$P$319,12,FALSE)</f>
        <v>0.24324324324324301</v>
      </c>
      <c r="F148">
        <f>VLOOKUP(B148,'Model allocations'!$A$1:$L$319,10,FALSE)</f>
        <v>9914.4559658216021</v>
      </c>
      <c r="G148" s="31">
        <f t="shared" si="45"/>
        <v>0.9</v>
      </c>
      <c r="H148">
        <f t="shared" si="46"/>
        <v>4366.2279641896766</v>
      </c>
      <c r="I148">
        <f t="shared" si="38"/>
        <v>0</v>
      </c>
      <c r="J148">
        <f t="shared" si="39"/>
        <v>9914.4559658216021</v>
      </c>
      <c r="K148">
        <f t="shared" si="40"/>
        <v>9912.3578905691083</v>
      </c>
      <c r="L148">
        <f t="shared" si="47"/>
        <v>9912.3578905691083</v>
      </c>
      <c r="M148">
        <f t="shared" si="41"/>
        <v>0</v>
      </c>
      <c r="N148" s="30">
        <f t="shared" si="48"/>
        <v>9912.3578905691083</v>
      </c>
      <c r="O148" s="30">
        <f t="shared" si="42"/>
        <v>9912.0827011426081</v>
      </c>
      <c r="P148" s="30">
        <f t="shared" si="49"/>
        <v>9912.0827011426081</v>
      </c>
      <c r="Q148">
        <f t="shared" si="50"/>
        <v>0</v>
      </c>
      <c r="R148" s="30">
        <f t="shared" si="51"/>
        <v>9912.0827011426081</v>
      </c>
      <c r="S148" s="30">
        <f t="shared" si="43"/>
        <v>9912.0827011426063</v>
      </c>
      <c r="T148" s="30">
        <f t="shared" si="52"/>
        <v>9912.0827011426063</v>
      </c>
      <c r="U148">
        <f t="shared" si="53"/>
        <v>0</v>
      </c>
      <c r="V148" s="30">
        <f t="shared" si="54"/>
        <v>9912.0827011426063</v>
      </c>
      <c r="W148" s="30">
        <f t="shared" si="44"/>
        <v>9912.0827011426081</v>
      </c>
      <c r="X148" s="30">
        <f t="shared" si="55"/>
        <v>9912.0827011426081</v>
      </c>
      <c r="Y148">
        <f t="shared" si="56"/>
        <v>0</v>
      </c>
    </row>
    <row r="149" spans="1:25" x14ac:dyDescent="0.25">
      <c r="A149" s="4" t="s">
        <v>947</v>
      </c>
      <c r="B149" s="7" t="s">
        <v>177</v>
      </c>
      <c r="C149" s="2" t="s">
        <v>948</v>
      </c>
      <c r="D149">
        <f>VLOOKUP(B149,'Model allocations'!$A$1:$L$319,5,FALSE)</f>
        <v>160231.57564492468</v>
      </c>
      <c r="E149" s="32">
        <f>VLOOKUP(B149,'Initial adjusted formula count'!$A$1:$P$319,12,FALSE)</f>
        <v>6.6185318892900094E-2</v>
      </c>
      <c r="F149">
        <f>VLOOKUP(B149,'Model allocations'!$A$1:$L$319,10,FALSE)</f>
        <v>181145.73406173909</v>
      </c>
      <c r="G149" s="31">
        <f t="shared" si="45"/>
        <v>0.85</v>
      </c>
      <c r="H149">
        <f t="shared" si="46"/>
        <v>136196.83929818598</v>
      </c>
      <c r="I149">
        <f t="shared" si="38"/>
        <v>0</v>
      </c>
      <c r="J149">
        <f t="shared" si="39"/>
        <v>181145.73406173909</v>
      </c>
      <c r="K149">
        <f t="shared" si="40"/>
        <v>181107.40040197605</v>
      </c>
      <c r="L149">
        <f t="shared" si="47"/>
        <v>181107.40040197605</v>
      </c>
      <c r="M149">
        <f t="shared" si="41"/>
        <v>0</v>
      </c>
      <c r="N149" s="30">
        <f t="shared" si="48"/>
        <v>181107.40040197605</v>
      </c>
      <c r="O149" s="30">
        <f t="shared" si="42"/>
        <v>181102.37245179489</v>
      </c>
      <c r="P149" s="30">
        <f t="shared" si="49"/>
        <v>181102.37245179489</v>
      </c>
      <c r="Q149">
        <f t="shared" si="50"/>
        <v>0</v>
      </c>
      <c r="R149" s="30">
        <f t="shared" si="51"/>
        <v>181102.37245179489</v>
      </c>
      <c r="S149" s="30">
        <f t="shared" si="43"/>
        <v>181102.37245179486</v>
      </c>
      <c r="T149" s="30">
        <f t="shared" si="52"/>
        <v>181102.37245179486</v>
      </c>
      <c r="U149">
        <f t="shared" si="53"/>
        <v>0</v>
      </c>
      <c r="V149" s="30">
        <f t="shared" si="54"/>
        <v>181102.37245179486</v>
      </c>
      <c r="W149" s="30">
        <f t="shared" si="44"/>
        <v>181102.37245179489</v>
      </c>
      <c r="X149" s="30">
        <f t="shared" si="55"/>
        <v>181102.37245179489</v>
      </c>
      <c r="Y149">
        <f t="shared" si="56"/>
        <v>0</v>
      </c>
    </row>
    <row r="150" spans="1:25" x14ac:dyDescent="0.25">
      <c r="A150" s="4" t="s">
        <v>949</v>
      </c>
      <c r="B150" s="7" t="s">
        <v>475</v>
      </c>
      <c r="C150" s="2" t="s">
        <v>950</v>
      </c>
      <c r="D150">
        <f>VLOOKUP(B150,'Model allocations'!$A$1:$L$319,5,FALSE)</f>
        <v>65192.258718278186</v>
      </c>
      <c r="E150" s="32">
        <f>VLOOKUP(B150,'Initial adjusted formula count'!$A$1:$P$319,12,FALSE)</f>
        <v>0.15967016491754099</v>
      </c>
      <c r="F150">
        <f>VLOOKUP(B150,'Model allocations'!$A$1:$L$319,10,FALSE)</f>
        <v>89285.126709115662</v>
      </c>
      <c r="G150" s="31">
        <f t="shared" si="45"/>
        <v>0.9</v>
      </c>
      <c r="H150">
        <f t="shared" si="46"/>
        <v>58673.032846450369</v>
      </c>
      <c r="I150">
        <f t="shared" si="38"/>
        <v>0</v>
      </c>
      <c r="J150">
        <f t="shared" si="39"/>
        <v>89285.126709115662</v>
      </c>
      <c r="K150">
        <f t="shared" si="40"/>
        <v>89266.232387994067</v>
      </c>
      <c r="L150">
        <f t="shared" si="47"/>
        <v>89266.232387994067</v>
      </c>
      <c r="M150">
        <f t="shared" si="41"/>
        <v>0</v>
      </c>
      <c r="N150" s="30">
        <f t="shared" si="48"/>
        <v>89266.232387994067</v>
      </c>
      <c r="O150" s="30">
        <f t="shared" si="42"/>
        <v>89263.754155915696</v>
      </c>
      <c r="P150" s="30">
        <f t="shared" si="49"/>
        <v>89263.754155915696</v>
      </c>
      <c r="Q150">
        <f t="shared" si="50"/>
        <v>0</v>
      </c>
      <c r="R150" s="30">
        <f t="shared" si="51"/>
        <v>89263.754155915696</v>
      </c>
      <c r="S150" s="30">
        <f t="shared" si="43"/>
        <v>89263.754155915667</v>
      </c>
      <c r="T150" s="30">
        <f t="shared" si="52"/>
        <v>89263.754155915667</v>
      </c>
      <c r="U150">
        <f t="shared" si="53"/>
        <v>0</v>
      </c>
      <c r="V150" s="30">
        <f t="shared" si="54"/>
        <v>89263.754155915667</v>
      </c>
      <c r="W150" s="30">
        <f t="shared" si="44"/>
        <v>89263.754155915682</v>
      </c>
      <c r="X150" s="30">
        <f t="shared" si="55"/>
        <v>89263.754155915682</v>
      </c>
      <c r="Y150">
        <f t="shared" si="56"/>
        <v>0</v>
      </c>
    </row>
    <row r="151" spans="1:25" x14ac:dyDescent="0.25">
      <c r="A151" s="4" t="s">
        <v>951</v>
      </c>
      <c r="B151" s="7" t="s">
        <v>477</v>
      </c>
      <c r="C151" s="2" t="s">
        <v>952</v>
      </c>
      <c r="D151">
        <f>VLOOKUP(B151,'Model allocations'!$A$1:$L$319,5,FALSE)</f>
        <v>30124.243125256035</v>
      </c>
      <c r="E151" s="32">
        <f>VLOOKUP(B151,'Initial adjusted formula count'!$A$1:$P$319,12,FALSE)</f>
        <v>0.13213213213213201</v>
      </c>
      <c r="F151">
        <f>VLOOKUP(B151,'Model allocations'!$A$1:$L$319,10,FALSE)</f>
        <v>25605.606656467629</v>
      </c>
      <c r="G151" s="31">
        <f t="shared" si="45"/>
        <v>0.85</v>
      </c>
      <c r="H151">
        <f t="shared" si="46"/>
        <v>25605.606656467629</v>
      </c>
      <c r="I151">
        <f t="shared" si="38"/>
        <v>0</v>
      </c>
      <c r="J151">
        <f t="shared" si="39"/>
        <v>25605.606656467629</v>
      </c>
      <c r="K151">
        <f t="shared" si="40"/>
        <v>25600.188054596158</v>
      </c>
      <c r="L151">
        <f t="shared" si="47"/>
        <v>25600.188054596158</v>
      </c>
      <c r="M151">
        <f t="shared" si="41"/>
        <v>25605.606656467629</v>
      </c>
      <c r="N151" s="30">
        <f t="shared" si="48"/>
        <v>0</v>
      </c>
      <c r="O151" s="30">
        <f t="shared" si="42"/>
        <v>0</v>
      </c>
      <c r="P151" s="30">
        <f t="shared" si="49"/>
        <v>25605.606656467629</v>
      </c>
      <c r="Q151">
        <f t="shared" si="50"/>
        <v>0</v>
      </c>
      <c r="R151" s="30">
        <f t="shared" si="51"/>
        <v>0</v>
      </c>
      <c r="S151" s="30">
        <f t="shared" si="43"/>
        <v>0</v>
      </c>
      <c r="T151" s="30">
        <f t="shared" si="52"/>
        <v>25605.606656467629</v>
      </c>
      <c r="U151">
        <f t="shared" si="53"/>
        <v>0</v>
      </c>
      <c r="V151" s="30">
        <f t="shared" si="54"/>
        <v>0</v>
      </c>
      <c r="W151" s="30">
        <f t="shared" si="44"/>
        <v>0</v>
      </c>
      <c r="X151" s="30">
        <f t="shared" si="55"/>
        <v>25605.606656467629</v>
      </c>
      <c r="Y151">
        <f t="shared" si="56"/>
        <v>0</v>
      </c>
    </row>
    <row r="152" spans="1:25" x14ac:dyDescent="0.25">
      <c r="A152" s="4" t="s">
        <v>953</v>
      </c>
      <c r="B152" s="7" t="s">
        <v>479</v>
      </c>
      <c r="C152" s="2" t="s">
        <v>954</v>
      </c>
      <c r="D152">
        <f>VLOOKUP(B152,'Model allocations'!$A$1:$L$319,5,FALSE)</f>
        <v>684661.30646790774</v>
      </c>
      <c r="E152" s="32">
        <f>VLOOKUP(B152,'Initial adjusted formula count'!$A$1:$P$319,12,FALSE)</f>
        <v>0.141246412464125</v>
      </c>
      <c r="F152">
        <f>VLOOKUP(B152,'Model allocations'!$A$1:$L$319,10,FALSE)</f>
        <v>708732.68451655412</v>
      </c>
      <c r="G152" s="31">
        <f t="shared" si="45"/>
        <v>0.85</v>
      </c>
      <c r="H152">
        <f t="shared" si="46"/>
        <v>581962.11049772159</v>
      </c>
      <c r="I152">
        <f t="shared" si="38"/>
        <v>0</v>
      </c>
      <c r="J152">
        <f t="shared" si="39"/>
        <v>708732.68451655412</v>
      </c>
      <c r="K152">
        <f t="shared" si="40"/>
        <v>708582.70407273108</v>
      </c>
      <c r="L152">
        <f t="shared" si="47"/>
        <v>708582.70407273108</v>
      </c>
      <c r="M152">
        <f t="shared" si="41"/>
        <v>0</v>
      </c>
      <c r="N152" s="30">
        <f t="shared" si="48"/>
        <v>708582.70407273108</v>
      </c>
      <c r="O152" s="30">
        <f t="shared" si="42"/>
        <v>708563.03221764718</v>
      </c>
      <c r="P152" s="30">
        <f t="shared" si="49"/>
        <v>708563.03221764718</v>
      </c>
      <c r="Q152">
        <f t="shared" si="50"/>
        <v>0</v>
      </c>
      <c r="R152" s="30">
        <f t="shared" si="51"/>
        <v>708563.03221764718</v>
      </c>
      <c r="S152" s="30">
        <f t="shared" si="43"/>
        <v>708563.03221764707</v>
      </c>
      <c r="T152" s="30">
        <f t="shared" si="52"/>
        <v>708563.03221764707</v>
      </c>
      <c r="U152">
        <f t="shared" si="53"/>
        <v>0</v>
      </c>
      <c r="V152" s="30">
        <f t="shared" si="54"/>
        <v>708563.03221764707</v>
      </c>
      <c r="W152" s="30">
        <f t="shared" si="44"/>
        <v>708563.03221764718</v>
      </c>
      <c r="X152" s="30">
        <f t="shared" si="55"/>
        <v>708563.03221764718</v>
      </c>
      <c r="Y152">
        <f t="shared" si="56"/>
        <v>0</v>
      </c>
    </row>
    <row r="153" spans="1:25" x14ac:dyDescent="0.25">
      <c r="A153" s="4" t="s">
        <v>955</v>
      </c>
      <c r="B153" s="7" t="s">
        <v>481</v>
      </c>
      <c r="C153" s="2" t="s">
        <v>956</v>
      </c>
      <c r="D153">
        <f>VLOOKUP(B153,'Model allocations'!$A$1:$L$319,5,FALSE)</f>
        <v>42414.240611891859</v>
      </c>
      <c r="E153" s="32">
        <f>VLOOKUP(B153,'Initial adjusted formula count'!$A$1:$P$319,12,FALSE)</f>
        <v>0.18025751072961399</v>
      </c>
      <c r="F153">
        <f>VLOOKUP(B153,'Model allocations'!$A$1:$L$319,10,FALSE)</f>
        <v>57152.240731951439</v>
      </c>
      <c r="G153" s="31">
        <f t="shared" si="45"/>
        <v>0.9</v>
      </c>
      <c r="H153">
        <f t="shared" si="46"/>
        <v>38172.816550702672</v>
      </c>
      <c r="I153">
        <f t="shared" si="38"/>
        <v>0</v>
      </c>
      <c r="J153">
        <f t="shared" si="39"/>
        <v>57152.240731951439</v>
      </c>
      <c r="K153">
        <f t="shared" si="40"/>
        <v>57140.146301120578</v>
      </c>
      <c r="L153">
        <f t="shared" si="47"/>
        <v>57140.146301120578</v>
      </c>
      <c r="M153">
        <f t="shared" si="41"/>
        <v>0</v>
      </c>
      <c r="N153" s="30">
        <f t="shared" si="48"/>
        <v>57140.146301120578</v>
      </c>
      <c r="O153" s="30">
        <f t="shared" si="42"/>
        <v>57138.559961698171</v>
      </c>
      <c r="P153" s="30">
        <f t="shared" si="49"/>
        <v>57138.559961698171</v>
      </c>
      <c r="Q153">
        <f t="shared" si="50"/>
        <v>0</v>
      </c>
      <c r="R153" s="30">
        <f t="shared" si="51"/>
        <v>57138.559961698171</v>
      </c>
      <c r="S153" s="30">
        <f t="shared" si="43"/>
        <v>57138.559961698156</v>
      </c>
      <c r="T153" s="30">
        <f t="shared" si="52"/>
        <v>57138.559961698156</v>
      </c>
      <c r="U153">
        <f t="shared" si="53"/>
        <v>0</v>
      </c>
      <c r="V153" s="30">
        <f t="shared" si="54"/>
        <v>57138.559961698156</v>
      </c>
      <c r="W153" s="30">
        <f t="shared" si="44"/>
        <v>57138.559961698156</v>
      </c>
      <c r="X153" s="30">
        <f t="shared" si="55"/>
        <v>57138.559961698156</v>
      </c>
      <c r="Y153">
        <f t="shared" si="56"/>
        <v>0</v>
      </c>
    </row>
    <row r="154" spans="1:25" x14ac:dyDescent="0.25">
      <c r="A154" s="4" t="s">
        <v>957</v>
      </c>
      <c r="B154" s="7" t="s">
        <v>483</v>
      </c>
      <c r="C154" s="2" t="s">
        <v>958</v>
      </c>
      <c r="D154">
        <f>VLOOKUP(B154,'Model allocations'!$A$1:$L$319,5,FALSE)</f>
        <v>143574.11900294817</v>
      </c>
      <c r="E154" s="32">
        <f>VLOOKUP(B154,'Initial adjusted formula count'!$A$1:$P$319,12,FALSE)</f>
        <v>0.27354709418837703</v>
      </c>
      <c r="F154">
        <f>VLOOKUP(B154,'Model allocations'!$A$1:$L$319,10,FALSE)</f>
        <v>164838.64514087871</v>
      </c>
      <c r="G154" s="31">
        <f t="shared" si="45"/>
        <v>0.9</v>
      </c>
      <c r="H154">
        <f t="shared" si="46"/>
        <v>129216.70710265335</v>
      </c>
      <c r="I154">
        <f t="shared" si="38"/>
        <v>0</v>
      </c>
      <c r="J154">
        <f t="shared" si="39"/>
        <v>164838.64514087871</v>
      </c>
      <c r="K154">
        <f t="shared" si="40"/>
        <v>164803.76235122117</v>
      </c>
      <c r="L154">
        <f t="shared" si="47"/>
        <v>164803.76235122117</v>
      </c>
      <c r="M154">
        <f t="shared" si="41"/>
        <v>0</v>
      </c>
      <c r="N154" s="30">
        <f t="shared" si="48"/>
        <v>164803.76235122117</v>
      </c>
      <c r="O154" s="30">
        <f t="shared" si="42"/>
        <v>164799.18702682841</v>
      </c>
      <c r="P154" s="30">
        <f t="shared" si="49"/>
        <v>164799.18702682841</v>
      </c>
      <c r="Q154">
        <f t="shared" si="50"/>
        <v>0</v>
      </c>
      <c r="R154" s="30">
        <f t="shared" si="51"/>
        <v>164799.18702682841</v>
      </c>
      <c r="S154" s="30">
        <f t="shared" si="43"/>
        <v>164799.18702682838</v>
      </c>
      <c r="T154" s="30">
        <f t="shared" si="52"/>
        <v>164799.18702682838</v>
      </c>
      <c r="U154">
        <f t="shared" si="53"/>
        <v>0</v>
      </c>
      <c r="V154" s="30">
        <f t="shared" si="54"/>
        <v>164799.18702682838</v>
      </c>
      <c r="W154" s="30">
        <f t="shared" si="44"/>
        <v>164799.18702682841</v>
      </c>
      <c r="X154" s="30">
        <f t="shared" si="55"/>
        <v>164799.18702682841</v>
      </c>
      <c r="Y154">
        <f t="shared" si="56"/>
        <v>0</v>
      </c>
    </row>
    <row r="155" spans="1:25" x14ac:dyDescent="0.25">
      <c r="A155" s="4" t="s">
        <v>959</v>
      </c>
      <c r="B155" s="7" t="s">
        <v>485</v>
      </c>
      <c r="C155" s="2" t="s">
        <v>960</v>
      </c>
      <c r="D155">
        <f>VLOOKUP(B155,'Model allocations'!$A$1:$L$319,5,FALSE)</f>
        <v>177548.81918119756</v>
      </c>
      <c r="E155" s="32">
        <f>VLOOKUP(B155,'Initial adjusted formula count'!$A$1:$P$319,12,FALSE)</f>
        <v>0.11745379876796699</v>
      </c>
      <c r="F155">
        <f>VLOOKUP(B155,'Model allocations'!$A$1:$L$319,10,FALSE)</f>
        <v>150916.49630401793</v>
      </c>
      <c r="G155" s="31">
        <f t="shared" si="45"/>
        <v>0.85</v>
      </c>
      <c r="H155">
        <f t="shared" si="46"/>
        <v>150916.49630401793</v>
      </c>
      <c r="I155">
        <f t="shared" si="38"/>
        <v>0</v>
      </c>
      <c r="J155">
        <f t="shared" si="39"/>
        <v>150916.49630401793</v>
      </c>
      <c r="K155">
        <f t="shared" si="40"/>
        <v>150884.559688718</v>
      </c>
      <c r="L155">
        <f t="shared" si="47"/>
        <v>150884.559688718</v>
      </c>
      <c r="M155">
        <f t="shared" si="41"/>
        <v>150916.49630401793</v>
      </c>
      <c r="N155" s="30">
        <f t="shared" si="48"/>
        <v>0</v>
      </c>
      <c r="O155" s="30">
        <f t="shared" si="42"/>
        <v>0</v>
      </c>
      <c r="P155" s="30">
        <f t="shared" si="49"/>
        <v>150916.49630401793</v>
      </c>
      <c r="Q155">
        <f t="shared" si="50"/>
        <v>0</v>
      </c>
      <c r="R155" s="30">
        <f t="shared" si="51"/>
        <v>0</v>
      </c>
      <c r="S155" s="30">
        <f t="shared" si="43"/>
        <v>0</v>
      </c>
      <c r="T155" s="30">
        <f t="shared" si="52"/>
        <v>150916.49630401793</v>
      </c>
      <c r="U155">
        <f t="shared" si="53"/>
        <v>0</v>
      </c>
      <c r="V155" s="30">
        <f t="shared" si="54"/>
        <v>0</v>
      </c>
      <c r="W155" s="30">
        <f t="shared" si="44"/>
        <v>0</v>
      </c>
      <c r="X155" s="30">
        <f t="shared" si="55"/>
        <v>150916.49630401793</v>
      </c>
      <c r="Y155">
        <f t="shared" si="56"/>
        <v>0</v>
      </c>
    </row>
    <row r="156" spans="1:25" x14ac:dyDescent="0.25">
      <c r="A156" s="4" t="s">
        <v>961</v>
      </c>
      <c r="B156" s="7" t="s">
        <v>179</v>
      </c>
      <c r="C156" s="2" t="s">
        <v>962</v>
      </c>
      <c r="D156">
        <f>VLOOKUP(B156,'Model allocations'!$A$1:$L$319,5,FALSE)</f>
        <v>0</v>
      </c>
      <c r="E156" s="32">
        <f>VLOOKUP(B156,'Initial adjusted formula count'!$A$1:$P$319,12,FALSE)</f>
        <v>7.3170731707317097E-2</v>
      </c>
      <c r="F156">
        <f>VLOOKUP(B156,'Model allocations'!$A$1:$L$319,10,FALSE)</f>
        <v>0</v>
      </c>
      <c r="G156" s="31">
        <f t="shared" si="45"/>
        <v>0.85</v>
      </c>
      <c r="H156">
        <f t="shared" si="46"/>
        <v>0</v>
      </c>
      <c r="I156">
        <f t="shared" si="38"/>
        <v>0</v>
      </c>
      <c r="J156">
        <f t="shared" si="39"/>
        <v>0</v>
      </c>
      <c r="K156">
        <f t="shared" si="40"/>
        <v>0</v>
      </c>
      <c r="L156">
        <f t="shared" si="47"/>
        <v>0</v>
      </c>
      <c r="M156">
        <f t="shared" si="41"/>
        <v>0</v>
      </c>
      <c r="N156" s="30">
        <f t="shared" si="48"/>
        <v>0</v>
      </c>
      <c r="O156" s="30">
        <f t="shared" si="42"/>
        <v>0</v>
      </c>
      <c r="P156" s="30">
        <f t="shared" si="49"/>
        <v>0</v>
      </c>
      <c r="Q156">
        <f t="shared" si="50"/>
        <v>0</v>
      </c>
      <c r="R156" s="30">
        <f t="shared" si="51"/>
        <v>0</v>
      </c>
      <c r="S156" s="30">
        <f t="shared" si="43"/>
        <v>0</v>
      </c>
      <c r="T156" s="30">
        <f t="shared" si="52"/>
        <v>0</v>
      </c>
      <c r="U156">
        <f t="shared" si="53"/>
        <v>0</v>
      </c>
      <c r="V156" s="30">
        <f t="shared" si="54"/>
        <v>0</v>
      </c>
      <c r="W156" s="30">
        <f t="shared" si="44"/>
        <v>0</v>
      </c>
      <c r="X156" s="30">
        <f t="shared" si="55"/>
        <v>0</v>
      </c>
      <c r="Y156">
        <f t="shared" si="56"/>
        <v>0</v>
      </c>
    </row>
    <row r="157" spans="1:25" x14ac:dyDescent="0.25">
      <c r="A157" s="4" t="s">
        <v>963</v>
      </c>
      <c r="B157" s="7" t="s">
        <v>487</v>
      </c>
      <c r="C157" s="9" t="s">
        <v>964</v>
      </c>
      <c r="D157">
        <f>VLOOKUP(B157,'Model allocations'!$A$1:$L$319,5,FALSE)</f>
        <v>426891.4772696892</v>
      </c>
      <c r="E157" s="32">
        <f>VLOOKUP(B157,'Initial adjusted formula count'!$A$1:$P$319,12,FALSE)</f>
        <v>0.13510747185260999</v>
      </c>
      <c r="F157">
        <f>VLOOKUP(B157,'Model allocations'!$A$1:$L$319,10,FALSE)</f>
        <v>428368.49157099891</v>
      </c>
      <c r="G157" s="31">
        <f t="shared" si="45"/>
        <v>0.85</v>
      </c>
      <c r="H157">
        <f t="shared" si="46"/>
        <v>362857.75567923579</v>
      </c>
      <c r="I157">
        <f t="shared" si="38"/>
        <v>0</v>
      </c>
      <c r="J157">
        <f t="shared" si="39"/>
        <v>428368.49157099891</v>
      </c>
      <c r="K157">
        <f t="shared" si="40"/>
        <v>428277.84117785469</v>
      </c>
      <c r="L157">
        <f t="shared" si="47"/>
        <v>428277.84117785469</v>
      </c>
      <c r="M157">
        <f t="shared" si="41"/>
        <v>0</v>
      </c>
      <c r="N157" s="30">
        <f t="shared" si="48"/>
        <v>428277.84117785469</v>
      </c>
      <c r="O157" s="30">
        <f t="shared" si="42"/>
        <v>428265.95121839218</v>
      </c>
      <c r="P157" s="30">
        <f t="shared" si="49"/>
        <v>428265.95121839218</v>
      </c>
      <c r="Q157">
        <f t="shared" si="50"/>
        <v>0</v>
      </c>
      <c r="R157" s="30">
        <f t="shared" si="51"/>
        <v>428265.95121839218</v>
      </c>
      <c r="S157" s="30">
        <f t="shared" si="43"/>
        <v>428265.95121839212</v>
      </c>
      <c r="T157" s="30">
        <f t="shared" si="52"/>
        <v>428265.95121839212</v>
      </c>
      <c r="U157">
        <f t="shared" si="53"/>
        <v>0</v>
      </c>
      <c r="V157" s="30">
        <f t="shared" si="54"/>
        <v>428265.95121839212</v>
      </c>
      <c r="W157" s="30">
        <f t="shared" si="44"/>
        <v>428265.95121839212</v>
      </c>
      <c r="X157" s="30">
        <f t="shared" si="55"/>
        <v>428265.95121839212</v>
      </c>
      <c r="Y157">
        <f t="shared" si="56"/>
        <v>0</v>
      </c>
    </row>
    <row r="158" spans="1:25" x14ac:dyDescent="0.25">
      <c r="A158" s="4" t="s">
        <v>965</v>
      </c>
      <c r="B158" s="7" t="s">
        <v>290</v>
      </c>
      <c r="C158" s="2" t="s">
        <v>966</v>
      </c>
      <c r="D158">
        <f>VLOOKUP(B158,'Model allocations'!$A$1:$L$319,5,FALSE)</f>
        <v>983578.38530076959</v>
      </c>
      <c r="E158" s="32">
        <f>VLOOKUP(B158,'Initial adjusted formula count'!$A$1:$P$319,12,FALSE)</f>
        <v>0.13751771374586699</v>
      </c>
      <c r="F158">
        <f>VLOOKUP(B158,'Model allocations'!$A$1:$L$319,10,FALSE)</f>
        <v>1309807.1657214162</v>
      </c>
      <c r="G158" s="31">
        <f t="shared" si="45"/>
        <v>0.85</v>
      </c>
      <c r="H158">
        <f t="shared" si="46"/>
        <v>836041.62750565412</v>
      </c>
      <c r="I158">
        <f t="shared" si="38"/>
        <v>0</v>
      </c>
      <c r="J158">
        <f t="shared" si="39"/>
        <v>1309807.1657214162</v>
      </c>
      <c r="K158">
        <f t="shared" si="40"/>
        <v>1309529.9872247432</v>
      </c>
      <c r="L158">
        <f t="shared" si="47"/>
        <v>1309529.9872247432</v>
      </c>
      <c r="M158">
        <f t="shared" si="41"/>
        <v>0</v>
      </c>
      <c r="N158" s="30">
        <f t="shared" si="48"/>
        <v>1309529.9872247432</v>
      </c>
      <c r="O158" s="30">
        <f t="shared" si="42"/>
        <v>1309493.6317167857</v>
      </c>
      <c r="P158" s="30">
        <f t="shared" si="49"/>
        <v>1309493.6317167857</v>
      </c>
      <c r="Q158">
        <f t="shared" si="50"/>
        <v>0</v>
      </c>
      <c r="R158" s="30">
        <f t="shared" si="51"/>
        <v>1309493.6317167857</v>
      </c>
      <c r="S158" s="30">
        <f t="shared" si="43"/>
        <v>1309493.6317167855</v>
      </c>
      <c r="T158" s="30">
        <f t="shared" si="52"/>
        <v>1309493.6317167855</v>
      </c>
      <c r="U158">
        <f t="shared" si="53"/>
        <v>0</v>
      </c>
      <c r="V158" s="30">
        <f t="shared" si="54"/>
        <v>1309493.6317167855</v>
      </c>
      <c r="W158" s="30">
        <f t="shared" si="44"/>
        <v>1309493.6317167857</v>
      </c>
      <c r="X158" s="30">
        <f t="shared" si="55"/>
        <v>1309493.6317167857</v>
      </c>
      <c r="Y158">
        <f t="shared" si="56"/>
        <v>0</v>
      </c>
    </row>
    <row r="159" spans="1:25" x14ac:dyDescent="0.25">
      <c r="A159" s="4" t="s">
        <v>967</v>
      </c>
      <c r="B159" s="7" t="s">
        <v>489</v>
      </c>
      <c r="C159" s="2" t="s">
        <v>968</v>
      </c>
      <c r="D159">
        <f>VLOOKUP(B159,'Model allocations'!$A$1:$L$319,5,FALSE)</f>
        <v>81293.961172792726</v>
      </c>
      <c r="E159" s="32">
        <f>VLOOKUP(B159,'Initial adjusted formula count'!$A$1:$P$319,12,FALSE)</f>
        <v>0.138251704897706</v>
      </c>
      <c r="F159">
        <f>VLOOKUP(B159,'Model allocations'!$A$1:$L$319,10,FALSE)</f>
        <v>91807.951581290457</v>
      </c>
      <c r="G159" s="31">
        <f t="shared" si="45"/>
        <v>0.85</v>
      </c>
      <c r="H159">
        <f t="shared" si="46"/>
        <v>69099.86699687381</v>
      </c>
      <c r="I159">
        <f t="shared" si="38"/>
        <v>0</v>
      </c>
      <c r="J159">
        <f t="shared" si="39"/>
        <v>91807.951581290457</v>
      </c>
      <c r="K159">
        <f t="shared" si="40"/>
        <v>91788.523385546912</v>
      </c>
      <c r="L159">
        <f t="shared" si="47"/>
        <v>91788.523385546912</v>
      </c>
      <c r="M159">
        <f t="shared" si="41"/>
        <v>0</v>
      </c>
      <c r="N159" s="30">
        <f t="shared" si="48"/>
        <v>91788.523385546912</v>
      </c>
      <c r="O159" s="30">
        <f t="shared" si="42"/>
        <v>91785.975128977836</v>
      </c>
      <c r="P159" s="30">
        <f t="shared" si="49"/>
        <v>91785.975128977836</v>
      </c>
      <c r="Q159">
        <f t="shared" si="50"/>
        <v>0</v>
      </c>
      <c r="R159" s="30">
        <f t="shared" si="51"/>
        <v>91785.975128977836</v>
      </c>
      <c r="S159" s="30">
        <f t="shared" si="43"/>
        <v>91785.975128977821</v>
      </c>
      <c r="T159" s="30">
        <f t="shared" si="52"/>
        <v>91785.975128977821</v>
      </c>
      <c r="U159">
        <f t="shared" si="53"/>
        <v>0</v>
      </c>
      <c r="V159" s="30">
        <f t="shared" si="54"/>
        <v>91785.975128977821</v>
      </c>
      <c r="W159" s="30">
        <f t="shared" si="44"/>
        <v>91785.975128977836</v>
      </c>
      <c r="X159" s="30">
        <f t="shared" si="55"/>
        <v>91785.975128977836</v>
      </c>
      <c r="Y159">
        <f t="shared" si="56"/>
        <v>0</v>
      </c>
    </row>
    <row r="160" spans="1:25" x14ac:dyDescent="0.25">
      <c r="A160" s="4" t="s">
        <v>969</v>
      </c>
      <c r="B160" s="7" t="s">
        <v>491</v>
      </c>
      <c r="C160" s="2" t="s">
        <v>970</v>
      </c>
      <c r="D160">
        <f>VLOOKUP(B160,'Model allocations'!$A$1:$L$319,5,FALSE)</f>
        <v>34555.936446761589</v>
      </c>
      <c r="E160" s="32">
        <f>VLOOKUP(B160,'Initial adjusted formula count'!$A$1:$P$319,12,FALSE)</f>
        <v>8.5271317829457405E-2</v>
      </c>
      <c r="F160">
        <f>VLOOKUP(B160,'Model allocations'!$A$1:$L$319,10,FALSE)</f>
        <v>29372.545979747349</v>
      </c>
      <c r="G160" s="31">
        <f t="shared" si="45"/>
        <v>0.85</v>
      </c>
      <c r="H160">
        <f t="shared" si="46"/>
        <v>29372.545979747349</v>
      </c>
      <c r="I160">
        <f t="shared" si="38"/>
        <v>0</v>
      </c>
      <c r="J160">
        <f t="shared" si="39"/>
        <v>29372.545979747349</v>
      </c>
      <c r="K160">
        <f t="shared" si="40"/>
        <v>29366.33022650428</v>
      </c>
      <c r="L160">
        <f t="shared" si="47"/>
        <v>29366.33022650428</v>
      </c>
      <c r="M160">
        <f t="shared" si="41"/>
        <v>29372.545979747349</v>
      </c>
      <c r="N160" s="30">
        <f t="shared" si="48"/>
        <v>0</v>
      </c>
      <c r="O160" s="30">
        <f t="shared" si="42"/>
        <v>0</v>
      </c>
      <c r="P160" s="30">
        <f t="shared" si="49"/>
        <v>29372.545979747349</v>
      </c>
      <c r="Q160">
        <f t="shared" si="50"/>
        <v>0</v>
      </c>
      <c r="R160" s="30">
        <f t="shared" si="51"/>
        <v>0</v>
      </c>
      <c r="S160" s="30">
        <f t="shared" si="43"/>
        <v>0</v>
      </c>
      <c r="T160" s="30">
        <f t="shared" si="52"/>
        <v>29372.545979747349</v>
      </c>
      <c r="U160">
        <f t="shared" si="53"/>
        <v>0</v>
      </c>
      <c r="V160" s="30">
        <f t="shared" si="54"/>
        <v>0</v>
      </c>
      <c r="W160" s="30">
        <f t="shared" si="44"/>
        <v>0</v>
      </c>
      <c r="X160" s="30">
        <f t="shared" si="55"/>
        <v>29372.545979747349</v>
      </c>
      <c r="Y160">
        <f t="shared" si="56"/>
        <v>0</v>
      </c>
    </row>
    <row r="161" spans="1:25" x14ac:dyDescent="0.25">
      <c r="A161" s="4" t="s">
        <v>971</v>
      </c>
      <c r="B161" s="7" t="s">
        <v>493</v>
      </c>
      <c r="C161" s="2" t="s">
        <v>972</v>
      </c>
      <c r="D161">
        <f>VLOOKUP(B161,'Model allocations'!$A$1:$L$319,5,FALSE)</f>
        <v>18850.773605285267</v>
      </c>
      <c r="E161" s="32">
        <f>VLOOKUP(B161,'Initial adjusted formula count'!$A$1:$P$319,12,FALSE)</f>
        <v>0.10294117647058799</v>
      </c>
      <c r="F161">
        <f>VLOOKUP(B161,'Model allocations'!$A$1:$L$319,10,FALSE)</f>
        <v>16023.157564492476</v>
      </c>
      <c r="G161" s="31">
        <f t="shared" si="45"/>
        <v>0.85</v>
      </c>
      <c r="H161">
        <f t="shared" si="46"/>
        <v>16023.157564492476</v>
      </c>
      <c r="I161">
        <f t="shared" si="38"/>
        <v>0</v>
      </c>
      <c r="J161">
        <f t="shared" si="39"/>
        <v>16023.157564492476</v>
      </c>
      <c r="K161">
        <f t="shared" si="40"/>
        <v>16019.76677931286</v>
      </c>
      <c r="L161">
        <f t="shared" si="47"/>
        <v>16019.76677931286</v>
      </c>
      <c r="M161">
        <f t="shared" si="41"/>
        <v>16023.157564492476</v>
      </c>
      <c r="N161" s="30">
        <f t="shared" si="48"/>
        <v>0</v>
      </c>
      <c r="O161" s="30">
        <f t="shared" si="42"/>
        <v>0</v>
      </c>
      <c r="P161" s="30">
        <f t="shared" si="49"/>
        <v>16023.157564492476</v>
      </c>
      <c r="Q161">
        <f t="shared" si="50"/>
        <v>0</v>
      </c>
      <c r="R161" s="30">
        <f t="shared" si="51"/>
        <v>0</v>
      </c>
      <c r="S161" s="30">
        <f t="shared" si="43"/>
        <v>0</v>
      </c>
      <c r="T161" s="30">
        <f t="shared" si="52"/>
        <v>16023.157564492476</v>
      </c>
      <c r="U161">
        <f t="shared" si="53"/>
        <v>0</v>
      </c>
      <c r="V161" s="30">
        <f t="shared" si="54"/>
        <v>0</v>
      </c>
      <c r="W161" s="30">
        <f t="shared" si="44"/>
        <v>0</v>
      </c>
      <c r="X161" s="30">
        <f t="shared" si="55"/>
        <v>16023.157564492476</v>
      </c>
      <c r="Y161">
        <f t="shared" si="56"/>
        <v>0</v>
      </c>
    </row>
    <row r="162" spans="1:25" x14ac:dyDescent="0.25">
      <c r="A162" s="4" t="s">
        <v>973</v>
      </c>
      <c r="B162" s="7" t="s">
        <v>495</v>
      </c>
      <c r="C162" s="2" t="s">
        <v>974</v>
      </c>
      <c r="D162">
        <f>VLOOKUP(B162,'Model allocations'!$A$1:$L$319,5,FALSE)</f>
        <v>44631.800745773297</v>
      </c>
      <c r="E162" s="32">
        <f>VLOOKUP(B162,'Initial adjusted formula count'!$A$1:$P$319,12,FALSE)</f>
        <v>0.27667984189723299</v>
      </c>
      <c r="F162">
        <f>VLOOKUP(B162,'Model allocations'!$A$1:$L$319,10,FALSE)</f>
        <v>42603.510808411607</v>
      </c>
      <c r="G162" s="31">
        <f t="shared" si="45"/>
        <v>0.9</v>
      </c>
      <c r="H162">
        <f t="shared" si="46"/>
        <v>40168.620671195968</v>
      </c>
      <c r="I162">
        <f t="shared" si="38"/>
        <v>0</v>
      </c>
      <c r="J162">
        <f t="shared" si="39"/>
        <v>42603.510808411607</v>
      </c>
      <c r="K162">
        <f t="shared" si="40"/>
        <v>42594.495147642665</v>
      </c>
      <c r="L162">
        <f t="shared" si="47"/>
        <v>42594.495147642665</v>
      </c>
      <c r="M162">
        <f t="shared" si="41"/>
        <v>0</v>
      </c>
      <c r="N162" s="30">
        <f t="shared" si="48"/>
        <v>42594.495147642665</v>
      </c>
      <c r="O162" s="30">
        <f t="shared" si="42"/>
        <v>42593.31262832474</v>
      </c>
      <c r="P162" s="30">
        <f t="shared" si="49"/>
        <v>42593.31262832474</v>
      </c>
      <c r="Q162">
        <f t="shared" si="50"/>
        <v>0</v>
      </c>
      <c r="R162" s="30">
        <f t="shared" si="51"/>
        <v>42593.31262832474</v>
      </c>
      <c r="S162" s="30">
        <f t="shared" si="43"/>
        <v>42593.312628324726</v>
      </c>
      <c r="T162" s="30">
        <f t="shared" si="52"/>
        <v>42593.312628324726</v>
      </c>
      <c r="U162">
        <f t="shared" si="53"/>
        <v>0</v>
      </c>
      <c r="V162" s="30">
        <f t="shared" si="54"/>
        <v>42593.312628324726</v>
      </c>
      <c r="W162" s="30">
        <f t="shared" si="44"/>
        <v>42593.312628324726</v>
      </c>
      <c r="X162" s="30">
        <f t="shared" si="55"/>
        <v>42593.312628324726</v>
      </c>
      <c r="Y162">
        <f t="shared" si="56"/>
        <v>0</v>
      </c>
    </row>
    <row r="163" spans="1:25" x14ac:dyDescent="0.25">
      <c r="A163" s="4" t="s">
        <v>975</v>
      </c>
      <c r="B163" s="7" t="s">
        <v>497</v>
      </c>
      <c r="C163" s="2" t="s">
        <v>976</v>
      </c>
      <c r="D163">
        <f>VLOOKUP(B163,'Model allocations'!$A$1:$L$319,5,FALSE)</f>
        <v>159308.73209583346</v>
      </c>
      <c r="E163" s="32">
        <f>VLOOKUP(B163,'Initial adjusted formula count'!$A$1:$P$319,12,FALSE)</f>
        <v>0.19442458899213699</v>
      </c>
      <c r="F163">
        <f>VLOOKUP(B163,'Model allocations'!$A$1:$L$319,10,FALSE)</f>
        <v>143377.85888625012</v>
      </c>
      <c r="G163" s="31">
        <f t="shared" si="45"/>
        <v>0.9</v>
      </c>
      <c r="H163">
        <f t="shared" si="46"/>
        <v>143377.85888625012</v>
      </c>
      <c r="I163">
        <f t="shared" si="38"/>
        <v>0</v>
      </c>
      <c r="J163">
        <f t="shared" si="39"/>
        <v>143377.85888625012</v>
      </c>
      <c r="K163">
        <f t="shared" si="40"/>
        <v>143347.51758073404</v>
      </c>
      <c r="L163">
        <f t="shared" si="47"/>
        <v>143347.51758073404</v>
      </c>
      <c r="M163">
        <f t="shared" si="41"/>
        <v>143377.85888625012</v>
      </c>
      <c r="N163" s="30">
        <f t="shared" si="48"/>
        <v>0</v>
      </c>
      <c r="O163" s="30">
        <f t="shared" si="42"/>
        <v>0</v>
      </c>
      <c r="P163" s="30">
        <f t="shared" si="49"/>
        <v>143377.85888625012</v>
      </c>
      <c r="Q163">
        <f t="shared" si="50"/>
        <v>0</v>
      </c>
      <c r="R163" s="30">
        <f t="shared" si="51"/>
        <v>0</v>
      </c>
      <c r="S163" s="30">
        <f t="shared" si="43"/>
        <v>0</v>
      </c>
      <c r="T163" s="30">
        <f t="shared" si="52"/>
        <v>143377.85888625012</v>
      </c>
      <c r="U163">
        <f t="shared" si="53"/>
        <v>0</v>
      </c>
      <c r="V163" s="30">
        <f t="shared" si="54"/>
        <v>0</v>
      </c>
      <c r="W163" s="30">
        <f t="shared" si="44"/>
        <v>0</v>
      </c>
      <c r="X163" s="30">
        <f t="shared" si="55"/>
        <v>143377.85888625012</v>
      </c>
      <c r="Y163">
        <f t="shared" si="56"/>
        <v>0</v>
      </c>
    </row>
    <row r="164" spans="1:25" x14ac:dyDescent="0.25">
      <c r="A164" s="4" t="s">
        <v>977</v>
      </c>
      <c r="B164" s="7" t="s">
        <v>499</v>
      </c>
      <c r="C164" s="2" t="s">
        <v>978</v>
      </c>
      <c r="D164">
        <f>VLOOKUP(B164,'Model allocations'!$A$1:$L$319,5,FALSE)</f>
        <v>100472.86868087744</v>
      </c>
      <c r="E164" s="32">
        <f>VLOOKUP(B164,'Initial adjusted formula count'!$A$1:$P$319,12,FALSE)</f>
        <v>6.8458093410108806E-2</v>
      </c>
      <c r="F164">
        <f>VLOOKUP(B164,'Model allocations'!$A$1:$L$319,10,FALSE)</f>
        <v>85401.938378745821</v>
      </c>
      <c r="G164" s="31">
        <f t="shared" si="45"/>
        <v>0.85</v>
      </c>
      <c r="H164">
        <f t="shared" si="46"/>
        <v>85401.938378745821</v>
      </c>
      <c r="I164">
        <f t="shared" si="38"/>
        <v>0</v>
      </c>
      <c r="J164">
        <f t="shared" si="39"/>
        <v>85401.938378745821</v>
      </c>
      <c r="K164">
        <f t="shared" si="40"/>
        <v>85383.865809353709</v>
      </c>
      <c r="L164">
        <f t="shared" si="47"/>
        <v>85383.865809353709</v>
      </c>
      <c r="M164">
        <f t="shared" si="41"/>
        <v>85401.938378745821</v>
      </c>
      <c r="N164" s="30">
        <f t="shared" si="48"/>
        <v>0</v>
      </c>
      <c r="O164" s="30">
        <f t="shared" si="42"/>
        <v>0</v>
      </c>
      <c r="P164" s="30">
        <f t="shared" si="49"/>
        <v>85401.938378745821</v>
      </c>
      <c r="Q164">
        <f t="shared" si="50"/>
        <v>0</v>
      </c>
      <c r="R164" s="30">
        <f t="shared" si="51"/>
        <v>0</v>
      </c>
      <c r="S164" s="30">
        <f t="shared" si="43"/>
        <v>0</v>
      </c>
      <c r="T164" s="30">
        <f t="shared" si="52"/>
        <v>85401.938378745821</v>
      </c>
      <c r="U164">
        <f t="shared" si="53"/>
        <v>0</v>
      </c>
      <c r="V164" s="30">
        <f t="shared" si="54"/>
        <v>0</v>
      </c>
      <c r="W164" s="30">
        <f t="shared" si="44"/>
        <v>0</v>
      </c>
      <c r="X164" s="30">
        <f t="shared" si="55"/>
        <v>85401.938378745821</v>
      </c>
      <c r="Y164">
        <f t="shared" si="56"/>
        <v>0</v>
      </c>
    </row>
    <row r="165" spans="1:25" x14ac:dyDescent="0.25">
      <c r="A165" s="4" t="s">
        <v>979</v>
      </c>
      <c r="B165" s="7" t="s">
        <v>181</v>
      </c>
      <c r="C165" s="2" t="s">
        <v>980</v>
      </c>
      <c r="D165">
        <f>VLOOKUP(B165,'Model allocations'!$A$1:$L$319,5,FALSE)</f>
        <v>118602.78393325309</v>
      </c>
      <c r="E165" s="32">
        <f>VLOOKUP(B165,'Initial adjusted formula count'!$A$1:$P$319,12,FALSE)</f>
        <v>9.41176470588235E-2</v>
      </c>
      <c r="F165">
        <f>VLOOKUP(B165,'Model allocations'!$A$1:$L$319,10,FALSE)</f>
        <v>100812.36634326512</v>
      </c>
      <c r="G165" s="31">
        <f t="shared" si="45"/>
        <v>0.85</v>
      </c>
      <c r="H165">
        <f t="shared" si="46"/>
        <v>100812.36634326512</v>
      </c>
      <c r="I165">
        <f t="shared" si="38"/>
        <v>0</v>
      </c>
      <c r="J165">
        <f t="shared" si="39"/>
        <v>100812.36634326512</v>
      </c>
      <c r="K165">
        <f t="shared" si="40"/>
        <v>100791.03265317671</v>
      </c>
      <c r="L165">
        <f t="shared" si="47"/>
        <v>100791.03265317671</v>
      </c>
      <c r="M165">
        <f t="shared" si="41"/>
        <v>100812.36634326512</v>
      </c>
      <c r="N165" s="30">
        <f t="shared" si="48"/>
        <v>0</v>
      </c>
      <c r="O165" s="30">
        <f t="shared" si="42"/>
        <v>0</v>
      </c>
      <c r="P165" s="30">
        <f t="shared" si="49"/>
        <v>100812.36634326512</v>
      </c>
      <c r="Q165">
        <f t="shared" si="50"/>
        <v>0</v>
      </c>
      <c r="R165" s="30">
        <f t="shared" si="51"/>
        <v>0</v>
      </c>
      <c r="S165" s="30">
        <f t="shared" si="43"/>
        <v>0</v>
      </c>
      <c r="T165" s="30">
        <f t="shared" si="52"/>
        <v>100812.36634326512</v>
      </c>
      <c r="U165">
        <f t="shared" si="53"/>
        <v>0</v>
      </c>
      <c r="V165" s="30">
        <f t="shared" si="54"/>
        <v>0</v>
      </c>
      <c r="W165" s="30">
        <f t="shared" si="44"/>
        <v>0</v>
      </c>
      <c r="X165" s="30">
        <f t="shared" si="55"/>
        <v>100812.36634326512</v>
      </c>
      <c r="Y165">
        <f t="shared" si="56"/>
        <v>0</v>
      </c>
    </row>
    <row r="166" spans="1:25" x14ac:dyDescent="0.25">
      <c r="A166" s="4" t="s">
        <v>981</v>
      </c>
      <c r="B166" s="7" t="s">
        <v>501</v>
      </c>
      <c r="C166" s="2" t="s">
        <v>982</v>
      </c>
      <c r="D166">
        <f>VLOOKUP(B166,'Model allocations'!$A$1:$L$319,5,FALSE)</f>
        <v>87755.348551230549</v>
      </c>
      <c r="E166" s="32">
        <f>VLOOKUP(B166,'Initial adjusted formula count'!$A$1:$P$319,12,FALSE)</f>
        <v>0.23613086770981501</v>
      </c>
      <c r="F166">
        <f>VLOOKUP(B166,'Model allocations'!$A$1:$L$319,10,FALSE)</f>
        <v>89041.146048551265</v>
      </c>
      <c r="G166" s="31">
        <f t="shared" si="45"/>
        <v>0.9</v>
      </c>
      <c r="H166">
        <f t="shared" si="46"/>
        <v>78979.813696107492</v>
      </c>
      <c r="I166">
        <f t="shared" si="38"/>
        <v>0</v>
      </c>
      <c r="J166">
        <f t="shared" si="39"/>
        <v>89041.146048551265</v>
      </c>
      <c r="K166">
        <f t="shared" si="40"/>
        <v>89022.303358077668</v>
      </c>
      <c r="L166">
        <f t="shared" si="47"/>
        <v>89022.303358077668</v>
      </c>
      <c r="M166">
        <f t="shared" si="41"/>
        <v>0</v>
      </c>
      <c r="N166" s="30">
        <f t="shared" si="48"/>
        <v>89022.303358077668</v>
      </c>
      <c r="O166" s="30">
        <f t="shared" si="42"/>
        <v>89019.831898019707</v>
      </c>
      <c r="P166" s="30">
        <f t="shared" si="49"/>
        <v>89019.831898019707</v>
      </c>
      <c r="Q166">
        <f t="shared" si="50"/>
        <v>0</v>
      </c>
      <c r="R166" s="30">
        <f t="shared" si="51"/>
        <v>89019.831898019707</v>
      </c>
      <c r="S166" s="30">
        <f t="shared" si="43"/>
        <v>89019.831898019693</v>
      </c>
      <c r="T166" s="30">
        <f t="shared" si="52"/>
        <v>89019.831898019693</v>
      </c>
      <c r="U166">
        <f t="shared" si="53"/>
        <v>0</v>
      </c>
      <c r="V166" s="30">
        <f t="shared" si="54"/>
        <v>89019.831898019693</v>
      </c>
      <c r="W166" s="30">
        <f t="shared" si="44"/>
        <v>89019.831898019707</v>
      </c>
      <c r="X166" s="30">
        <f t="shared" si="55"/>
        <v>89019.831898019707</v>
      </c>
      <c r="Y166">
        <f t="shared" si="56"/>
        <v>0</v>
      </c>
    </row>
    <row r="167" spans="1:25" x14ac:dyDescent="0.25">
      <c r="A167" s="4" t="s">
        <v>983</v>
      </c>
      <c r="B167" s="7" t="s">
        <v>503</v>
      </c>
      <c r="C167" s="2" t="s">
        <v>984</v>
      </c>
      <c r="D167">
        <f>VLOOKUP(B167,'Model allocations'!$A$1:$L$319,5,FALSE)</f>
        <v>137299.1975059282</v>
      </c>
      <c r="E167" s="32">
        <f>VLOOKUP(B167,'Initial adjusted formula count'!$A$1:$P$319,12,FALSE)</f>
        <v>0.187245590230665</v>
      </c>
      <c r="F167">
        <f>VLOOKUP(B167,'Model allocations'!$A$1:$L$319,10,FALSE)</f>
        <v>191909.35182546006</v>
      </c>
      <c r="G167" s="31">
        <f t="shared" si="45"/>
        <v>0.9</v>
      </c>
      <c r="H167">
        <f t="shared" si="46"/>
        <v>123569.27775533538</v>
      </c>
      <c r="I167">
        <f t="shared" si="38"/>
        <v>0</v>
      </c>
      <c r="J167">
        <f t="shared" si="39"/>
        <v>191909.35182546006</v>
      </c>
      <c r="K167">
        <f t="shared" si="40"/>
        <v>191868.74039270217</v>
      </c>
      <c r="L167">
        <f t="shared" si="47"/>
        <v>191868.74039270217</v>
      </c>
      <c r="M167">
        <f t="shared" si="41"/>
        <v>0</v>
      </c>
      <c r="N167" s="30">
        <f t="shared" si="48"/>
        <v>191868.74039270217</v>
      </c>
      <c r="O167" s="30">
        <f t="shared" si="42"/>
        <v>191863.41368343533</v>
      </c>
      <c r="P167" s="30">
        <f t="shared" si="49"/>
        <v>191863.41368343533</v>
      </c>
      <c r="Q167">
        <f t="shared" si="50"/>
        <v>0</v>
      </c>
      <c r="R167" s="30">
        <f t="shared" si="51"/>
        <v>191863.41368343533</v>
      </c>
      <c r="S167" s="30">
        <f t="shared" si="43"/>
        <v>191863.41368343527</v>
      </c>
      <c r="T167" s="30">
        <f t="shared" si="52"/>
        <v>191863.41368343527</v>
      </c>
      <c r="U167">
        <f t="shared" si="53"/>
        <v>0</v>
      </c>
      <c r="V167" s="30">
        <f t="shared" si="54"/>
        <v>191863.41368343527</v>
      </c>
      <c r="W167" s="30">
        <f t="shared" si="44"/>
        <v>191863.4136834353</v>
      </c>
      <c r="X167" s="30">
        <f t="shared" si="55"/>
        <v>191863.4136834353</v>
      </c>
      <c r="Y167">
        <f t="shared" si="56"/>
        <v>0</v>
      </c>
    </row>
    <row r="168" spans="1:25" x14ac:dyDescent="0.25">
      <c r="A168" s="4" t="s">
        <v>985</v>
      </c>
      <c r="B168" s="7" t="s">
        <v>183</v>
      </c>
      <c r="C168" s="2" t="s">
        <v>986</v>
      </c>
      <c r="D168">
        <f>VLOOKUP(B168,'Model allocations'!$A$1:$L$319,5,FALSE)</f>
        <v>247416.40356936914</v>
      </c>
      <c r="E168" s="32">
        <f>VLOOKUP(B168,'Initial adjusted formula count'!$A$1:$P$319,12,FALSE)</f>
        <v>8.0519118057493705E-2</v>
      </c>
      <c r="F168">
        <f>VLOOKUP(B168,'Model allocations'!$A$1:$L$319,10,FALSE)</f>
        <v>237547.92853096235</v>
      </c>
      <c r="G168" s="31">
        <f t="shared" si="45"/>
        <v>0.85</v>
      </c>
      <c r="H168">
        <f t="shared" si="46"/>
        <v>210303.94303396376</v>
      </c>
      <c r="I168">
        <f t="shared" si="38"/>
        <v>0</v>
      </c>
      <c r="J168">
        <f t="shared" si="39"/>
        <v>237547.92853096235</v>
      </c>
      <c r="K168">
        <f t="shared" si="40"/>
        <v>237497.65916350033</v>
      </c>
      <c r="L168">
        <f t="shared" si="47"/>
        <v>237497.65916350033</v>
      </c>
      <c r="M168">
        <f t="shared" si="41"/>
        <v>0</v>
      </c>
      <c r="N168" s="30">
        <f t="shared" si="48"/>
        <v>237497.65916350033</v>
      </c>
      <c r="O168" s="30">
        <f t="shared" si="42"/>
        <v>237491.06569246732</v>
      </c>
      <c r="P168" s="30">
        <f t="shared" si="49"/>
        <v>237491.06569246732</v>
      </c>
      <c r="Q168">
        <f t="shared" si="50"/>
        <v>0</v>
      </c>
      <c r="R168" s="30">
        <f t="shared" si="51"/>
        <v>237491.06569246732</v>
      </c>
      <c r="S168" s="30">
        <f t="shared" si="43"/>
        <v>237491.06569246727</v>
      </c>
      <c r="T168" s="30">
        <f t="shared" si="52"/>
        <v>237491.06569246727</v>
      </c>
      <c r="U168">
        <f t="shared" si="53"/>
        <v>0</v>
      </c>
      <c r="V168" s="30">
        <f t="shared" si="54"/>
        <v>237491.06569246727</v>
      </c>
      <c r="W168" s="30">
        <f t="shared" si="44"/>
        <v>237491.06569246729</v>
      </c>
      <c r="X168" s="30">
        <f t="shared" si="55"/>
        <v>237491.06569246729</v>
      </c>
      <c r="Y168">
        <f t="shared" si="56"/>
        <v>0</v>
      </c>
    </row>
    <row r="169" spans="1:25" x14ac:dyDescent="0.25">
      <c r="A169" s="4" t="s">
        <v>987</v>
      </c>
      <c r="B169" s="7" t="s">
        <v>505</v>
      </c>
      <c r="C169" s="2" t="s">
        <v>988</v>
      </c>
      <c r="D169">
        <f>VLOOKUP(B169,'Model allocations'!$A$1:$L$319,5,FALSE)</f>
        <v>163163.16548388416</v>
      </c>
      <c r="E169" s="32">
        <f>VLOOKUP(B169,'Initial adjusted formula count'!$A$1:$P$319,12,FALSE)</f>
        <v>0.14198036006546599</v>
      </c>
      <c r="F169">
        <f>VLOOKUP(B169,'Model allocations'!$A$1:$L$319,10,FALSE)</f>
        <v>142858.11299868961</v>
      </c>
      <c r="G169" s="31">
        <f t="shared" si="45"/>
        <v>0.85</v>
      </c>
      <c r="H169">
        <f t="shared" si="46"/>
        <v>138688.69066130155</v>
      </c>
      <c r="I169">
        <f t="shared" si="38"/>
        <v>0</v>
      </c>
      <c r="J169">
        <f t="shared" si="39"/>
        <v>142858.11299868961</v>
      </c>
      <c r="K169">
        <f t="shared" si="40"/>
        <v>142827.88168064921</v>
      </c>
      <c r="L169">
        <f t="shared" si="47"/>
        <v>142827.88168064921</v>
      </c>
      <c r="M169">
        <f t="shared" si="41"/>
        <v>0</v>
      </c>
      <c r="N169" s="30">
        <f t="shared" si="48"/>
        <v>142827.88168064921</v>
      </c>
      <c r="O169" s="30">
        <f t="shared" si="42"/>
        <v>142823.91645630181</v>
      </c>
      <c r="P169" s="30">
        <f t="shared" si="49"/>
        <v>142823.91645630181</v>
      </c>
      <c r="Q169">
        <f t="shared" si="50"/>
        <v>0</v>
      </c>
      <c r="R169" s="30">
        <f t="shared" si="51"/>
        <v>142823.91645630181</v>
      </c>
      <c r="S169" s="30">
        <f t="shared" si="43"/>
        <v>142823.91645630178</v>
      </c>
      <c r="T169" s="30">
        <f t="shared" si="52"/>
        <v>142823.91645630178</v>
      </c>
      <c r="U169">
        <f t="shared" si="53"/>
        <v>0</v>
      </c>
      <c r="V169" s="30">
        <f t="shared" si="54"/>
        <v>142823.91645630178</v>
      </c>
      <c r="W169" s="30">
        <f t="shared" si="44"/>
        <v>142823.91645630181</v>
      </c>
      <c r="X169" s="30">
        <f t="shared" si="55"/>
        <v>142823.91645630181</v>
      </c>
      <c r="Y169">
        <f t="shared" si="56"/>
        <v>0</v>
      </c>
    </row>
    <row r="170" spans="1:25" x14ac:dyDescent="0.25">
      <c r="A170" s="4" t="s">
        <v>989</v>
      </c>
      <c r="B170" s="7" t="s">
        <v>507</v>
      </c>
      <c r="C170" s="2" t="s">
        <v>990</v>
      </c>
      <c r="D170">
        <f>VLOOKUP(B170,'Model allocations'!$A$1:$L$319,5,FALSE)</f>
        <v>0</v>
      </c>
      <c r="E170" s="32">
        <f>VLOOKUP(B170,'Initial adjusted formula count'!$A$1:$P$319,12,FALSE)</f>
        <v>0.134615384615385</v>
      </c>
      <c r="F170">
        <f>VLOOKUP(B170,'Model allocations'!$A$1:$L$319,10,FALSE)</f>
        <v>0</v>
      </c>
      <c r="G170" s="31">
        <f t="shared" si="45"/>
        <v>0.85</v>
      </c>
      <c r="H170">
        <f t="shared" si="46"/>
        <v>0</v>
      </c>
      <c r="I170">
        <f t="shared" si="38"/>
        <v>0</v>
      </c>
      <c r="J170">
        <f t="shared" si="39"/>
        <v>0</v>
      </c>
      <c r="K170">
        <f t="shared" si="40"/>
        <v>0</v>
      </c>
      <c r="L170">
        <f t="shared" si="47"/>
        <v>0</v>
      </c>
      <c r="M170">
        <f t="shared" si="41"/>
        <v>0</v>
      </c>
      <c r="N170" s="30">
        <f t="shared" si="48"/>
        <v>0</v>
      </c>
      <c r="O170" s="30">
        <f t="shared" si="42"/>
        <v>0</v>
      </c>
      <c r="P170" s="30">
        <f t="shared" si="49"/>
        <v>0</v>
      </c>
      <c r="Q170">
        <f t="shared" si="50"/>
        <v>0</v>
      </c>
      <c r="R170" s="30">
        <f t="shared" si="51"/>
        <v>0</v>
      </c>
      <c r="S170" s="30">
        <f t="shared" si="43"/>
        <v>0</v>
      </c>
      <c r="T170" s="30">
        <f t="shared" si="52"/>
        <v>0</v>
      </c>
      <c r="U170">
        <f t="shared" si="53"/>
        <v>0</v>
      </c>
      <c r="V170" s="30">
        <f t="shared" si="54"/>
        <v>0</v>
      </c>
      <c r="W170" s="30">
        <f t="shared" si="44"/>
        <v>0</v>
      </c>
      <c r="X170" s="30">
        <f t="shared" si="55"/>
        <v>0</v>
      </c>
      <c r="Y170">
        <f t="shared" si="56"/>
        <v>0</v>
      </c>
    </row>
    <row r="171" spans="1:25" x14ac:dyDescent="0.25">
      <c r="A171" s="4" t="s">
        <v>991</v>
      </c>
      <c r="B171" s="7" t="s">
        <v>185</v>
      </c>
      <c r="C171" s="2" t="s">
        <v>992</v>
      </c>
      <c r="D171">
        <f>VLOOKUP(B171,'Model allocations'!$A$1:$L$319,5,FALSE)</f>
        <v>939985.9713385473</v>
      </c>
      <c r="E171" s="32">
        <f>VLOOKUP(B171,'Initial adjusted formula count'!$A$1:$P$319,12,FALSE)</f>
        <v>8.7953436416014996E-2</v>
      </c>
      <c r="F171">
        <f>VLOOKUP(B171,'Model allocations'!$A$1:$L$319,10,FALSE)</f>
        <v>798988.07563776523</v>
      </c>
      <c r="G171" s="31">
        <f t="shared" si="45"/>
        <v>0.85</v>
      </c>
      <c r="H171">
        <f t="shared" si="46"/>
        <v>798988.07563776523</v>
      </c>
      <c r="I171">
        <f t="shared" si="38"/>
        <v>0</v>
      </c>
      <c r="J171">
        <f t="shared" si="39"/>
        <v>798988.07563776523</v>
      </c>
      <c r="K171">
        <f t="shared" si="40"/>
        <v>798818.99554761092</v>
      </c>
      <c r="L171">
        <f t="shared" si="47"/>
        <v>798818.99554761092</v>
      </c>
      <c r="M171">
        <f t="shared" si="41"/>
        <v>798988.07563776523</v>
      </c>
      <c r="N171" s="30">
        <f t="shared" si="48"/>
        <v>0</v>
      </c>
      <c r="O171" s="30">
        <f t="shared" si="42"/>
        <v>0</v>
      </c>
      <c r="P171" s="30">
        <f t="shared" si="49"/>
        <v>798988.07563776523</v>
      </c>
      <c r="Q171">
        <f t="shared" si="50"/>
        <v>0</v>
      </c>
      <c r="R171" s="30">
        <f t="shared" si="51"/>
        <v>0</v>
      </c>
      <c r="S171" s="30">
        <f t="shared" si="43"/>
        <v>0</v>
      </c>
      <c r="T171" s="30">
        <f t="shared" si="52"/>
        <v>798988.07563776523</v>
      </c>
      <c r="U171">
        <f t="shared" si="53"/>
        <v>0</v>
      </c>
      <c r="V171" s="30">
        <f t="shared" si="54"/>
        <v>0</v>
      </c>
      <c r="W171" s="30">
        <f t="shared" si="44"/>
        <v>0</v>
      </c>
      <c r="X171" s="30">
        <f t="shared" si="55"/>
        <v>798988.07563776523</v>
      </c>
      <c r="Y171">
        <f t="shared" si="56"/>
        <v>0</v>
      </c>
    </row>
    <row r="172" spans="1:25" x14ac:dyDescent="0.25">
      <c r="A172" s="4" t="s">
        <v>993</v>
      </c>
      <c r="B172" s="7" t="s">
        <v>509</v>
      </c>
      <c r="C172" s="2" t="s">
        <v>994</v>
      </c>
      <c r="D172">
        <f>VLOOKUP(B172,'Model allocations'!$A$1:$L$319,5,FALSE)</f>
        <v>36654.062739125584</v>
      </c>
      <c r="E172" s="32">
        <f>VLOOKUP(B172,'Initial adjusted formula count'!$A$1:$P$319,12,FALSE)</f>
        <v>0.32444444444444398</v>
      </c>
      <c r="F172">
        <f>VLOOKUP(B172,'Model allocations'!$A$1:$L$319,10,FALSE)</f>
        <v>50536.829401130482</v>
      </c>
      <c r="G172" s="31">
        <f t="shared" si="45"/>
        <v>0.95</v>
      </c>
      <c r="H172">
        <f t="shared" si="46"/>
        <v>34821.359602169301</v>
      </c>
      <c r="I172">
        <f t="shared" si="38"/>
        <v>0</v>
      </c>
      <c r="J172">
        <f t="shared" si="39"/>
        <v>50536.829401130482</v>
      </c>
      <c r="K172">
        <f t="shared" si="40"/>
        <v>50526.134909020016</v>
      </c>
      <c r="L172">
        <f t="shared" si="47"/>
        <v>50526.134909020016</v>
      </c>
      <c r="M172">
        <f t="shared" si="41"/>
        <v>0</v>
      </c>
      <c r="N172" s="30">
        <f t="shared" si="48"/>
        <v>50526.134909020016</v>
      </c>
      <c r="O172" s="30">
        <f t="shared" si="42"/>
        <v>50524.73218948119</v>
      </c>
      <c r="P172" s="30">
        <f t="shared" si="49"/>
        <v>50524.73218948119</v>
      </c>
      <c r="Q172">
        <f t="shared" si="50"/>
        <v>0</v>
      </c>
      <c r="R172" s="30">
        <f t="shared" si="51"/>
        <v>50524.73218948119</v>
      </c>
      <c r="S172" s="30">
        <f t="shared" si="43"/>
        <v>50524.732189481176</v>
      </c>
      <c r="T172" s="30">
        <f t="shared" si="52"/>
        <v>50524.732189481176</v>
      </c>
      <c r="U172">
        <f t="shared" si="53"/>
        <v>0</v>
      </c>
      <c r="V172" s="30">
        <f t="shared" si="54"/>
        <v>50524.732189481176</v>
      </c>
      <c r="W172" s="30">
        <f t="shared" si="44"/>
        <v>50524.732189481183</v>
      </c>
      <c r="X172" s="30">
        <f t="shared" si="55"/>
        <v>50524.732189481183</v>
      </c>
      <c r="Y172">
        <f t="shared" si="56"/>
        <v>0</v>
      </c>
    </row>
    <row r="173" spans="1:25" x14ac:dyDescent="0.25">
      <c r="A173" s="4" t="s">
        <v>995</v>
      </c>
      <c r="B173" s="7" t="s">
        <v>187</v>
      </c>
      <c r="C173" s="2" t="s">
        <v>996</v>
      </c>
      <c r="D173">
        <f>VLOOKUP(B173,'Model allocations'!$A$1:$L$319,5,FALSE)</f>
        <v>0</v>
      </c>
      <c r="E173" s="32">
        <f>VLOOKUP(B173,'Initial adjusted formula count'!$A$1:$P$319,12,FALSE)</f>
        <v>3.7772526299740802E-2</v>
      </c>
      <c r="F173">
        <f>VLOOKUP(B173,'Model allocations'!$A$1:$L$319,10,FALSE)</f>
        <v>0</v>
      </c>
      <c r="G173" s="31">
        <f t="shared" si="45"/>
        <v>0.85</v>
      </c>
      <c r="H173">
        <f t="shared" si="46"/>
        <v>0</v>
      </c>
      <c r="I173">
        <f t="shared" si="38"/>
        <v>0</v>
      </c>
      <c r="J173">
        <f t="shared" si="39"/>
        <v>0</v>
      </c>
      <c r="K173">
        <f t="shared" si="40"/>
        <v>0</v>
      </c>
      <c r="L173">
        <f t="shared" si="47"/>
        <v>0</v>
      </c>
      <c r="M173">
        <f t="shared" si="41"/>
        <v>0</v>
      </c>
      <c r="N173" s="30">
        <f t="shared" si="48"/>
        <v>0</v>
      </c>
      <c r="O173" s="30">
        <f t="shared" si="42"/>
        <v>0</v>
      </c>
      <c r="P173" s="30">
        <f t="shared" si="49"/>
        <v>0</v>
      </c>
      <c r="Q173">
        <f t="shared" si="50"/>
        <v>0</v>
      </c>
      <c r="R173" s="30">
        <f t="shared" si="51"/>
        <v>0</v>
      </c>
      <c r="S173" s="30">
        <f t="shared" si="43"/>
        <v>0</v>
      </c>
      <c r="T173" s="30">
        <f t="shared" si="52"/>
        <v>0</v>
      </c>
      <c r="U173">
        <f t="shared" si="53"/>
        <v>0</v>
      </c>
      <c r="V173" s="30">
        <f t="shared" si="54"/>
        <v>0</v>
      </c>
      <c r="W173" s="30">
        <f t="shared" si="44"/>
        <v>0</v>
      </c>
      <c r="X173" s="30">
        <f t="shared" si="55"/>
        <v>0</v>
      </c>
      <c r="Y173">
        <f t="shared" si="56"/>
        <v>0</v>
      </c>
    </row>
    <row r="174" spans="1:25" x14ac:dyDescent="0.25">
      <c r="A174" s="4" t="s">
        <v>997</v>
      </c>
      <c r="B174" s="7" t="s">
        <v>189</v>
      </c>
      <c r="C174" s="2" t="s">
        <v>998</v>
      </c>
      <c r="D174">
        <f>VLOOKUP(B174,'Model allocations'!$A$1:$L$319,5,FALSE)</f>
        <v>219925.69206166142</v>
      </c>
      <c r="E174" s="32">
        <f>VLOOKUP(B174,'Initial adjusted formula count'!$A$1:$P$319,12,FALSE)</f>
        <v>6.9097569097569103E-2</v>
      </c>
      <c r="F174">
        <f>VLOOKUP(B174,'Model allocations'!$A$1:$L$319,10,FALSE)</f>
        <v>186936.83825241221</v>
      </c>
      <c r="G174" s="31">
        <f t="shared" si="45"/>
        <v>0.85</v>
      </c>
      <c r="H174">
        <f t="shared" si="46"/>
        <v>186936.83825241221</v>
      </c>
      <c r="I174">
        <f t="shared" si="38"/>
        <v>0</v>
      </c>
      <c r="J174">
        <f t="shared" si="39"/>
        <v>186936.83825241221</v>
      </c>
      <c r="K174">
        <f t="shared" si="40"/>
        <v>186897.27909198336</v>
      </c>
      <c r="L174">
        <f t="shared" si="47"/>
        <v>186897.27909198336</v>
      </c>
      <c r="M174">
        <f t="shared" si="41"/>
        <v>186936.83825241221</v>
      </c>
      <c r="N174" s="30">
        <f t="shared" si="48"/>
        <v>0</v>
      </c>
      <c r="O174" s="30">
        <f t="shared" si="42"/>
        <v>0</v>
      </c>
      <c r="P174" s="30">
        <f t="shared" si="49"/>
        <v>186936.83825241221</v>
      </c>
      <c r="Q174">
        <f t="shared" si="50"/>
        <v>0</v>
      </c>
      <c r="R174" s="30">
        <f t="shared" si="51"/>
        <v>0</v>
      </c>
      <c r="S174" s="30">
        <f t="shared" si="43"/>
        <v>0</v>
      </c>
      <c r="T174" s="30">
        <f t="shared" si="52"/>
        <v>186936.83825241221</v>
      </c>
      <c r="U174">
        <f t="shared" si="53"/>
        <v>0</v>
      </c>
      <c r="V174" s="30">
        <f t="shared" si="54"/>
        <v>0</v>
      </c>
      <c r="W174" s="30">
        <f t="shared" si="44"/>
        <v>0</v>
      </c>
      <c r="X174" s="30">
        <f t="shared" si="55"/>
        <v>186936.83825241221</v>
      </c>
      <c r="Y174">
        <f t="shared" si="56"/>
        <v>0</v>
      </c>
    </row>
    <row r="175" spans="1:25" x14ac:dyDescent="0.25">
      <c r="A175" s="4" t="s">
        <v>999</v>
      </c>
      <c r="B175" s="7" t="s">
        <v>191</v>
      </c>
      <c r="C175" s="2" t="s">
        <v>1000</v>
      </c>
      <c r="D175">
        <f>VLOOKUP(B175,'Model allocations'!$A$1:$L$319,5,FALSE)</f>
        <v>4712.6934013213167</v>
      </c>
      <c r="E175" s="32">
        <f>VLOOKUP(B175,'Initial adjusted formula count'!$A$1:$P$319,12,FALSE)</f>
        <v>0.134920634920635</v>
      </c>
      <c r="F175">
        <f>VLOOKUP(B175,'Model allocations'!$A$1:$L$319,10,FALSE)</f>
        <v>6998.8124523853721</v>
      </c>
      <c r="G175" s="31">
        <f t="shared" si="45"/>
        <v>0.85</v>
      </c>
      <c r="H175">
        <f t="shared" si="46"/>
        <v>4005.789391123119</v>
      </c>
      <c r="I175">
        <f t="shared" si="38"/>
        <v>0</v>
      </c>
      <c r="J175">
        <f t="shared" si="39"/>
        <v>6998.8124523853721</v>
      </c>
      <c r="K175">
        <f t="shared" si="40"/>
        <v>6997.3313791672545</v>
      </c>
      <c r="L175">
        <f t="shared" si="47"/>
        <v>6997.3313791672545</v>
      </c>
      <c r="M175">
        <f t="shared" si="41"/>
        <v>0</v>
      </c>
      <c r="N175" s="30">
        <f t="shared" si="48"/>
        <v>6997.3313791672545</v>
      </c>
      <c r="O175" s="30">
        <f t="shared" si="42"/>
        <v>6997.1371174557098</v>
      </c>
      <c r="P175" s="30">
        <f t="shared" si="49"/>
        <v>6997.1371174557098</v>
      </c>
      <c r="Q175">
        <f t="shared" si="50"/>
        <v>0</v>
      </c>
      <c r="R175" s="30">
        <f t="shared" si="51"/>
        <v>6997.1371174557098</v>
      </c>
      <c r="S175" s="30">
        <f t="shared" si="43"/>
        <v>6997.137117455708</v>
      </c>
      <c r="T175" s="30">
        <f t="shared" si="52"/>
        <v>6997.137117455708</v>
      </c>
      <c r="U175">
        <f t="shared" si="53"/>
        <v>0</v>
      </c>
      <c r="V175" s="30">
        <f t="shared" si="54"/>
        <v>6997.137117455708</v>
      </c>
      <c r="W175" s="30">
        <f t="shared" si="44"/>
        <v>6997.1371174557089</v>
      </c>
      <c r="X175" s="30">
        <f t="shared" si="55"/>
        <v>6997.1371174557089</v>
      </c>
      <c r="Y175">
        <f t="shared" si="56"/>
        <v>0</v>
      </c>
    </row>
    <row r="176" spans="1:25" x14ac:dyDescent="0.25">
      <c r="A176" s="4" t="s">
        <v>1001</v>
      </c>
      <c r="B176" s="7" t="s">
        <v>511</v>
      </c>
      <c r="C176" s="2" t="s">
        <v>1002</v>
      </c>
      <c r="D176">
        <f>VLOOKUP(B176,'Model allocations'!$A$1:$L$319,5,FALSE)</f>
        <v>34381.881705910215</v>
      </c>
      <c r="E176" s="32">
        <f>VLOOKUP(B176,'Initial adjusted formula count'!$A$1:$P$319,12,FALSE)</f>
        <v>0.25333333333333302</v>
      </c>
      <c r="F176">
        <f>VLOOKUP(B176,'Model allocations'!$A$1:$L$319,10,FALSE)</f>
        <v>64963.903496453851</v>
      </c>
      <c r="G176" s="31">
        <f t="shared" si="45"/>
        <v>0.9</v>
      </c>
      <c r="H176">
        <f t="shared" si="46"/>
        <v>30943.693535319195</v>
      </c>
      <c r="I176">
        <f t="shared" si="38"/>
        <v>0</v>
      </c>
      <c r="J176">
        <f t="shared" si="39"/>
        <v>64963.903496453851</v>
      </c>
      <c r="K176">
        <f t="shared" si="40"/>
        <v>64950.155978818882</v>
      </c>
      <c r="L176">
        <f t="shared" si="47"/>
        <v>64950.155978818882</v>
      </c>
      <c r="M176">
        <f t="shared" si="41"/>
        <v>0</v>
      </c>
      <c r="N176" s="30">
        <f t="shared" si="48"/>
        <v>64950.155978818882</v>
      </c>
      <c r="O176" s="30">
        <f t="shared" si="42"/>
        <v>64948.352815901213</v>
      </c>
      <c r="P176" s="30">
        <f t="shared" si="49"/>
        <v>64948.352815901213</v>
      </c>
      <c r="Q176">
        <f t="shared" si="50"/>
        <v>0</v>
      </c>
      <c r="R176" s="30">
        <f t="shared" si="51"/>
        <v>64948.352815901213</v>
      </c>
      <c r="S176" s="30">
        <f t="shared" si="43"/>
        <v>64948.352815901198</v>
      </c>
      <c r="T176" s="30">
        <f t="shared" si="52"/>
        <v>64948.352815901198</v>
      </c>
      <c r="U176">
        <f t="shared" si="53"/>
        <v>0</v>
      </c>
      <c r="V176" s="30">
        <f t="shared" si="54"/>
        <v>64948.352815901198</v>
      </c>
      <c r="W176" s="30">
        <f t="shared" si="44"/>
        <v>64948.352815901213</v>
      </c>
      <c r="X176" s="30">
        <f t="shared" si="55"/>
        <v>64948.352815901213</v>
      </c>
      <c r="Y176">
        <f t="shared" si="56"/>
        <v>0</v>
      </c>
    </row>
    <row r="177" spans="1:25" x14ac:dyDescent="0.25">
      <c r="A177" s="4" t="s">
        <v>1003</v>
      </c>
      <c r="B177" s="7" t="s">
        <v>513</v>
      </c>
      <c r="C177" s="2" t="s">
        <v>1004</v>
      </c>
      <c r="D177">
        <f>VLOOKUP(B177,'Model allocations'!$A$1:$L$319,5,FALSE)</f>
        <v>96782.188763790196</v>
      </c>
      <c r="E177" s="32">
        <f>VLOOKUP(B177,'Initial adjusted formula count'!$A$1:$P$319,12,FALSE)</f>
        <v>0.182425978987584</v>
      </c>
      <c r="F177">
        <f>VLOOKUP(B177,'Model allocations'!$A$1:$L$319,10,FALSE)</f>
        <v>87241.452888276603</v>
      </c>
      <c r="G177" s="31">
        <f t="shared" si="45"/>
        <v>0.9</v>
      </c>
      <c r="H177">
        <f t="shared" si="46"/>
        <v>87103.969887411178</v>
      </c>
      <c r="I177">
        <f t="shared" si="38"/>
        <v>0</v>
      </c>
      <c r="J177">
        <f t="shared" si="39"/>
        <v>87241.452888276603</v>
      </c>
      <c r="K177">
        <f t="shared" si="40"/>
        <v>87222.991044890805</v>
      </c>
      <c r="L177">
        <f t="shared" si="47"/>
        <v>87222.991044890805</v>
      </c>
      <c r="M177">
        <f t="shared" si="41"/>
        <v>0</v>
      </c>
      <c r="N177" s="30">
        <f t="shared" si="48"/>
        <v>87222.991044890805</v>
      </c>
      <c r="O177" s="30">
        <f t="shared" si="42"/>
        <v>87220.56953780356</v>
      </c>
      <c r="P177" s="30">
        <f t="shared" si="49"/>
        <v>87220.56953780356</v>
      </c>
      <c r="Q177">
        <f t="shared" si="50"/>
        <v>0</v>
      </c>
      <c r="R177" s="30">
        <f t="shared" si="51"/>
        <v>87220.56953780356</v>
      </c>
      <c r="S177" s="30">
        <f t="shared" si="43"/>
        <v>87220.569537803531</v>
      </c>
      <c r="T177" s="30">
        <f t="shared" si="52"/>
        <v>87220.569537803531</v>
      </c>
      <c r="U177">
        <f t="shared" si="53"/>
        <v>0</v>
      </c>
      <c r="V177" s="30">
        <f t="shared" si="54"/>
        <v>87220.569537803531</v>
      </c>
      <c r="W177" s="30">
        <f t="shared" si="44"/>
        <v>87220.569537803545</v>
      </c>
      <c r="X177" s="30">
        <f t="shared" si="55"/>
        <v>87220.569537803545</v>
      </c>
      <c r="Y177">
        <f t="shared" si="56"/>
        <v>0</v>
      </c>
    </row>
    <row r="178" spans="1:25" x14ac:dyDescent="0.25">
      <c r="A178" s="4" t="s">
        <v>1005</v>
      </c>
      <c r="B178" s="7" t="s">
        <v>515</v>
      </c>
      <c r="C178" s="2" t="s">
        <v>1006</v>
      </c>
      <c r="D178">
        <f>VLOOKUP(B178,'Model allocations'!$A$1:$L$319,5,FALSE)</f>
        <v>118167.02670152215</v>
      </c>
      <c r="E178" s="32">
        <f>VLOOKUP(B178,'Initial adjusted formula count'!$A$1:$P$319,12,FALSE)</f>
        <v>0.30151515151515201</v>
      </c>
      <c r="F178">
        <f>VLOOKUP(B178,'Model allocations'!$A$1:$L$319,10,FALSE)</f>
        <v>128010.13238095408</v>
      </c>
      <c r="G178" s="31">
        <f t="shared" si="45"/>
        <v>0.95</v>
      </c>
      <c r="H178">
        <f t="shared" si="46"/>
        <v>112258.67536644604</v>
      </c>
      <c r="I178">
        <f t="shared" si="38"/>
        <v>0</v>
      </c>
      <c r="J178">
        <f t="shared" si="39"/>
        <v>128010.13238095408</v>
      </c>
      <c r="K178">
        <f t="shared" si="40"/>
        <v>127983.04315974591</v>
      </c>
      <c r="L178">
        <f t="shared" si="47"/>
        <v>127983.04315974591</v>
      </c>
      <c r="M178">
        <f t="shared" si="41"/>
        <v>0</v>
      </c>
      <c r="N178" s="30">
        <f t="shared" si="48"/>
        <v>127983.04315974591</v>
      </c>
      <c r="O178" s="30">
        <f t="shared" si="42"/>
        <v>127979.49006161955</v>
      </c>
      <c r="P178" s="30">
        <f t="shared" si="49"/>
        <v>127979.49006161955</v>
      </c>
      <c r="Q178">
        <f t="shared" si="50"/>
        <v>0</v>
      </c>
      <c r="R178" s="30">
        <f t="shared" si="51"/>
        <v>127979.49006161955</v>
      </c>
      <c r="S178" s="30">
        <f t="shared" si="43"/>
        <v>127979.49006161952</v>
      </c>
      <c r="T178" s="30">
        <f t="shared" si="52"/>
        <v>127979.49006161952</v>
      </c>
      <c r="U178">
        <f t="shared" si="53"/>
        <v>0</v>
      </c>
      <c r="V178" s="30">
        <f t="shared" si="54"/>
        <v>127979.49006161952</v>
      </c>
      <c r="W178" s="30">
        <f t="shared" si="44"/>
        <v>127979.49006161955</v>
      </c>
      <c r="X178" s="30">
        <f t="shared" si="55"/>
        <v>127979.49006161955</v>
      </c>
      <c r="Y178">
        <f t="shared" si="56"/>
        <v>0</v>
      </c>
    </row>
    <row r="179" spans="1:25" x14ac:dyDescent="0.25">
      <c r="A179" s="4" t="s">
        <v>1007</v>
      </c>
      <c r="B179" s="7" t="s">
        <v>292</v>
      </c>
      <c r="C179" s="2" t="s">
        <v>1008</v>
      </c>
      <c r="D179">
        <f>VLOOKUP(B179,'Model allocations'!$A$1:$L$319,5,FALSE)</f>
        <v>16101.702454514492</v>
      </c>
      <c r="E179" s="32">
        <f>VLOOKUP(B179,'Initial adjusted formula count'!$A$1:$P$319,12,FALSE)</f>
        <v>0.106451612903226</v>
      </c>
      <c r="F179">
        <f>VLOOKUP(B179,'Model allocations'!$A$1:$L$319,10,FALSE)</f>
        <v>13686.447086337319</v>
      </c>
      <c r="G179" s="31">
        <f t="shared" si="45"/>
        <v>0.85</v>
      </c>
      <c r="H179">
        <f t="shared" si="46"/>
        <v>13686.447086337319</v>
      </c>
      <c r="I179">
        <f t="shared" si="38"/>
        <v>0</v>
      </c>
      <c r="J179">
        <f t="shared" si="39"/>
        <v>13686.447086337319</v>
      </c>
      <c r="K179">
        <f t="shared" si="40"/>
        <v>13683.550790663065</v>
      </c>
      <c r="L179">
        <f t="shared" si="47"/>
        <v>13683.550790663065</v>
      </c>
      <c r="M179">
        <f t="shared" si="41"/>
        <v>13686.447086337319</v>
      </c>
      <c r="N179" s="30">
        <f t="shared" si="48"/>
        <v>0</v>
      </c>
      <c r="O179" s="30">
        <f t="shared" si="42"/>
        <v>0</v>
      </c>
      <c r="P179" s="30">
        <f t="shared" si="49"/>
        <v>13686.447086337319</v>
      </c>
      <c r="Q179">
        <f t="shared" si="50"/>
        <v>0</v>
      </c>
      <c r="R179" s="30">
        <f t="shared" si="51"/>
        <v>0</v>
      </c>
      <c r="S179" s="30">
        <f t="shared" si="43"/>
        <v>0</v>
      </c>
      <c r="T179" s="30">
        <f t="shared" si="52"/>
        <v>13686.447086337319</v>
      </c>
      <c r="U179">
        <f t="shared" si="53"/>
        <v>0</v>
      </c>
      <c r="V179" s="30">
        <f t="shared" si="54"/>
        <v>0</v>
      </c>
      <c r="W179" s="30">
        <f t="shared" si="44"/>
        <v>0</v>
      </c>
      <c r="X179" s="30">
        <f t="shared" si="55"/>
        <v>13686.447086337319</v>
      </c>
      <c r="Y179">
        <f t="shared" si="56"/>
        <v>0</v>
      </c>
    </row>
    <row r="180" spans="1:25" x14ac:dyDescent="0.25">
      <c r="A180" s="4" t="s">
        <v>1009</v>
      </c>
      <c r="B180" s="7" t="s">
        <v>517</v>
      </c>
      <c r="C180" s="2" t="s">
        <v>1010</v>
      </c>
      <c r="D180">
        <f>VLOOKUP(B180,'Model allocations'!$A$1:$L$319,5,FALSE)</f>
        <v>132952.33931720001</v>
      </c>
      <c r="E180" s="32">
        <f>VLOOKUP(B180,'Initial adjusted formula count'!$A$1:$P$319,12,FALSE)</f>
        <v>0.18061224489795899</v>
      </c>
      <c r="F180">
        <f>VLOOKUP(B180,'Model allocations'!$A$1:$L$319,10,FALSE)</f>
        <v>119657.10538548001</v>
      </c>
      <c r="G180" s="31">
        <f t="shared" si="45"/>
        <v>0.9</v>
      </c>
      <c r="H180">
        <f t="shared" si="46"/>
        <v>119657.10538548001</v>
      </c>
      <c r="I180">
        <f t="shared" si="38"/>
        <v>0</v>
      </c>
      <c r="J180">
        <f t="shared" si="39"/>
        <v>119657.10538548001</v>
      </c>
      <c r="K180">
        <f t="shared" si="40"/>
        <v>119631.78381337765</v>
      </c>
      <c r="L180">
        <f t="shared" si="47"/>
        <v>119631.78381337765</v>
      </c>
      <c r="M180">
        <f t="shared" si="41"/>
        <v>119657.10538548001</v>
      </c>
      <c r="N180" s="30">
        <f t="shared" si="48"/>
        <v>0</v>
      </c>
      <c r="O180" s="30">
        <f t="shared" si="42"/>
        <v>0</v>
      </c>
      <c r="P180" s="30">
        <f t="shared" si="49"/>
        <v>119657.10538548001</v>
      </c>
      <c r="Q180">
        <f t="shared" si="50"/>
        <v>0</v>
      </c>
      <c r="R180" s="30">
        <f t="shared" si="51"/>
        <v>0</v>
      </c>
      <c r="S180" s="30">
        <f t="shared" si="43"/>
        <v>0</v>
      </c>
      <c r="T180" s="30">
        <f t="shared" si="52"/>
        <v>119657.10538548001</v>
      </c>
      <c r="U180">
        <f t="shared" si="53"/>
        <v>0</v>
      </c>
      <c r="V180" s="30">
        <f t="shared" si="54"/>
        <v>0</v>
      </c>
      <c r="W180" s="30">
        <f t="shared" si="44"/>
        <v>0</v>
      </c>
      <c r="X180" s="30">
        <f t="shared" si="55"/>
        <v>119657.10538548001</v>
      </c>
      <c r="Y180">
        <f t="shared" si="56"/>
        <v>0</v>
      </c>
    </row>
    <row r="181" spans="1:25" x14ac:dyDescent="0.25">
      <c r="A181" s="4" t="s">
        <v>1011</v>
      </c>
      <c r="B181" s="7" t="s">
        <v>193</v>
      </c>
      <c r="C181" s="2" t="s">
        <v>1012</v>
      </c>
      <c r="D181">
        <f>VLOOKUP(B181,'Model allocations'!$A$1:$L$319,5,FALSE)</f>
        <v>565326.84593350277</v>
      </c>
      <c r="E181" s="32">
        <f>VLOOKUP(B181,'Initial adjusted formula count'!$A$1:$P$319,12,FALSE)</f>
        <v>0.105926496055417</v>
      </c>
      <c r="F181">
        <f>VLOOKUP(B181,'Model allocations'!$A$1:$L$319,10,FALSE)</f>
        <v>537673.47428325249</v>
      </c>
      <c r="G181" s="31">
        <f t="shared" si="45"/>
        <v>0.85</v>
      </c>
      <c r="H181">
        <f t="shared" si="46"/>
        <v>480527.81904347736</v>
      </c>
      <c r="I181">
        <f t="shared" si="38"/>
        <v>0</v>
      </c>
      <c r="J181">
        <f t="shared" si="39"/>
        <v>537673.47428325249</v>
      </c>
      <c r="K181">
        <f t="shared" si="40"/>
        <v>537559.69301131938</v>
      </c>
      <c r="L181">
        <f t="shared" si="47"/>
        <v>537559.69301131938</v>
      </c>
      <c r="M181">
        <f t="shared" si="41"/>
        <v>0</v>
      </c>
      <c r="N181" s="30">
        <f t="shared" si="48"/>
        <v>537559.69301131938</v>
      </c>
      <c r="O181" s="30">
        <f t="shared" si="42"/>
        <v>537544.76914100884</v>
      </c>
      <c r="P181" s="30">
        <f t="shared" si="49"/>
        <v>537544.76914100884</v>
      </c>
      <c r="Q181">
        <f t="shared" si="50"/>
        <v>0</v>
      </c>
      <c r="R181" s="30">
        <f t="shared" si="51"/>
        <v>537544.76914100884</v>
      </c>
      <c r="S181" s="30">
        <f t="shared" si="43"/>
        <v>537544.76914100873</v>
      </c>
      <c r="T181" s="30">
        <f t="shared" si="52"/>
        <v>537544.76914100873</v>
      </c>
      <c r="U181">
        <f t="shared" si="53"/>
        <v>0</v>
      </c>
      <c r="V181" s="30">
        <f t="shared" si="54"/>
        <v>537544.76914100873</v>
      </c>
      <c r="W181" s="30">
        <f t="shared" si="44"/>
        <v>537544.76914100873</v>
      </c>
      <c r="X181" s="30">
        <f t="shared" si="55"/>
        <v>537544.76914100873</v>
      </c>
      <c r="Y181">
        <f t="shared" si="56"/>
        <v>0</v>
      </c>
    </row>
    <row r="182" spans="1:25" x14ac:dyDescent="0.25">
      <c r="A182" s="4" t="s">
        <v>1013</v>
      </c>
      <c r="B182" s="7" t="s">
        <v>519</v>
      </c>
      <c r="C182" s="2" t="s">
        <v>1014</v>
      </c>
      <c r="D182">
        <f>VLOOKUP(B182,'Model allocations'!$A$1:$L$319,5,FALSE)</f>
        <v>260951.27917541607</v>
      </c>
      <c r="E182" s="32">
        <f>VLOOKUP(B182,'Initial adjusted formula count'!$A$1:$P$319,12,FALSE)</f>
        <v>0.196373056994819</v>
      </c>
      <c r="F182">
        <f>VLOOKUP(B182,'Model allocations'!$A$1:$L$319,10,FALSE)</f>
        <v>234856.15125787447</v>
      </c>
      <c r="G182" s="31">
        <f t="shared" si="45"/>
        <v>0.9</v>
      </c>
      <c r="H182">
        <f t="shared" si="46"/>
        <v>234856.15125787447</v>
      </c>
      <c r="I182">
        <f t="shared" si="38"/>
        <v>0</v>
      </c>
      <c r="J182">
        <f t="shared" si="39"/>
        <v>234856.15125787447</v>
      </c>
      <c r="K182">
        <f t="shared" si="40"/>
        <v>234806.45151836798</v>
      </c>
      <c r="L182">
        <f t="shared" si="47"/>
        <v>234806.45151836798</v>
      </c>
      <c r="M182">
        <f t="shared" si="41"/>
        <v>234856.15125787447</v>
      </c>
      <c r="N182" s="30">
        <f t="shared" si="48"/>
        <v>0</v>
      </c>
      <c r="O182" s="30">
        <f t="shared" si="42"/>
        <v>0</v>
      </c>
      <c r="P182" s="30">
        <f t="shared" si="49"/>
        <v>234856.15125787447</v>
      </c>
      <c r="Q182">
        <f t="shared" si="50"/>
        <v>0</v>
      </c>
      <c r="R182" s="30">
        <f t="shared" si="51"/>
        <v>0</v>
      </c>
      <c r="S182" s="30">
        <f t="shared" si="43"/>
        <v>0</v>
      </c>
      <c r="T182" s="30">
        <f t="shared" si="52"/>
        <v>234856.15125787447</v>
      </c>
      <c r="U182">
        <f t="shared" si="53"/>
        <v>0</v>
      </c>
      <c r="V182" s="30">
        <f t="shared" si="54"/>
        <v>0</v>
      </c>
      <c r="W182" s="30">
        <f t="shared" si="44"/>
        <v>0</v>
      </c>
      <c r="X182" s="30">
        <f t="shared" si="55"/>
        <v>234856.15125787447</v>
      </c>
      <c r="Y182">
        <f t="shared" si="56"/>
        <v>0</v>
      </c>
    </row>
    <row r="183" spans="1:25" x14ac:dyDescent="0.25">
      <c r="A183" s="4" t="s">
        <v>1015</v>
      </c>
      <c r="B183" s="7" t="s">
        <v>521</v>
      </c>
      <c r="C183" s="2" t="s">
        <v>1016</v>
      </c>
      <c r="D183">
        <f>VLOOKUP(B183,'Model allocations'!$A$1:$L$319,5,FALSE)</f>
        <v>57571.754943451611</v>
      </c>
      <c r="E183" s="32">
        <f>VLOOKUP(B183,'Initial adjusted formula count'!$A$1:$P$319,12,FALSE)</f>
        <v>0.14040728831725599</v>
      </c>
      <c r="F183">
        <f>VLOOKUP(B183,'Model allocations'!$A$1:$L$319,10,FALSE)</f>
        <v>53932.025368381408</v>
      </c>
      <c r="G183" s="31">
        <f t="shared" si="45"/>
        <v>0.85</v>
      </c>
      <c r="H183">
        <f t="shared" si="46"/>
        <v>48935.991701933868</v>
      </c>
      <c r="I183">
        <f t="shared" si="38"/>
        <v>0</v>
      </c>
      <c r="J183">
        <f t="shared" si="39"/>
        <v>53932.025368381408</v>
      </c>
      <c r="K183">
        <f t="shared" si="40"/>
        <v>53920.612392406496</v>
      </c>
      <c r="L183">
        <f t="shared" si="47"/>
        <v>53920.612392406496</v>
      </c>
      <c r="M183">
        <f t="shared" si="41"/>
        <v>0</v>
      </c>
      <c r="N183" s="30">
        <f t="shared" si="48"/>
        <v>53920.612392406496</v>
      </c>
      <c r="O183" s="30">
        <f t="shared" si="42"/>
        <v>53919.115434511645</v>
      </c>
      <c r="P183" s="30">
        <f t="shared" si="49"/>
        <v>53919.115434511645</v>
      </c>
      <c r="Q183">
        <f t="shared" si="50"/>
        <v>0</v>
      </c>
      <c r="R183" s="30">
        <f t="shared" si="51"/>
        <v>53919.115434511645</v>
      </c>
      <c r="S183" s="30">
        <f t="shared" si="43"/>
        <v>53919.115434511637</v>
      </c>
      <c r="T183" s="30">
        <f t="shared" si="52"/>
        <v>53919.115434511637</v>
      </c>
      <c r="U183">
        <f t="shared" si="53"/>
        <v>0</v>
      </c>
      <c r="V183" s="30">
        <f t="shared" si="54"/>
        <v>53919.115434511637</v>
      </c>
      <c r="W183" s="30">
        <f t="shared" si="44"/>
        <v>53919.115434511645</v>
      </c>
      <c r="X183" s="30">
        <f t="shared" si="55"/>
        <v>53919.115434511645</v>
      </c>
      <c r="Y183">
        <f t="shared" si="56"/>
        <v>0</v>
      </c>
    </row>
    <row r="184" spans="1:25" x14ac:dyDescent="0.25">
      <c r="A184" s="4" t="s">
        <v>1017</v>
      </c>
      <c r="B184" s="7" t="s">
        <v>523</v>
      </c>
      <c r="C184" s="2" t="s">
        <v>1018</v>
      </c>
      <c r="D184">
        <f>VLOOKUP(B184,'Model allocations'!$A$1:$L$319,5,FALSE)</f>
        <v>11652.788424494389</v>
      </c>
      <c r="E184" s="32">
        <f>VLOOKUP(B184,'Initial adjusted formula count'!$A$1:$P$319,12,FALSE)</f>
        <v>0.30645161290322598</v>
      </c>
      <c r="F184">
        <f>VLOOKUP(B184,'Model allocations'!$A$1:$L$319,10,FALSE)</f>
        <v>12433.081550525007</v>
      </c>
      <c r="G184" s="31">
        <f t="shared" si="45"/>
        <v>0.95</v>
      </c>
      <c r="H184">
        <f t="shared" si="46"/>
        <v>11070.149003269669</v>
      </c>
      <c r="I184">
        <f t="shared" si="38"/>
        <v>0</v>
      </c>
      <c r="J184">
        <f t="shared" si="39"/>
        <v>12433.081550525007</v>
      </c>
      <c r="K184">
        <f t="shared" si="40"/>
        <v>12430.450489294484</v>
      </c>
      <c r="L184">
        <f t="shared" si="47"/>
        <v>12430.450489294484</v>
      </c>
      <c r="M184">
        <f t="shared" si="41"/>
        <v>0</v>
      </c>
      <c r="N184" s="30">
        <f t="shared" si="48"/>
        <v>12430.450489294484</v>
      </c>
      <c r="O184" s="30">
        <f t="shared" si="42"/>
        <v>12430.105391934294</v>
      </c>
      <c r="P184" s="30">
        <f t="shared" si="49"/>
        <v>12430.105391934294</v>
      </c>
      <c r="Q184">
        <f t="shared" si="50"/>
        <v>0</v>
      </c>
      <c r="R184" s="30">
        <f t="shared" si="51"/>
        <v>12430.105391934294</v>
      </c>
      <c r="S184" s="30">
        <f t="shared" si="43"/>
        <v>12430.105391934292</v>
      </c>
      <c r="T184" s="30">
        <f t="shared" si="52"/>
        <v>12430.105391934292</v>
      </c>
      <c r="U184">
        <f t="shared" si="53"/>
        <v>0</v>
      </c>
      <c r="V184" s="30">
        <f t="shared" si="54"/>
        <v>12430.105391934292</v>
      </c>
      <c r="W184" s="30">
        <f t="shared" si="44"/>
        <v>12430.105391934292</v>
      </c>
      <c r="X184" s="30">
        <f t="shared" si="55"/>
        <v>12430.105391934292</v>
      </c>
      <c r="Y184">
        <f t="shared" si="56"/>
        <v>0</v>
      </c>
    </row>
    <row r="185" spans="1:25" x14ac:dyDescent="0.25">
      <c r="A185" s="4" t="s">
        <v>1019</v>
      </c>
      <c r="B185" s="7" t="s">
        <v>525</v>
      </c>
      <c r="C185" s="2" t="s">
        <v>1020</v>
      </c>
      <c r="D185">
        <f>VLOOKUP(B185,'Model allocations'!$A$1:$L$319,5,FALSE)</f>
        <v>33381.578259359303</v>
      </c>
      <c r="E185" s="32">
        <f>VLOOKUP(B185,'Initial adjusted formula count'!$A$1:$P$319,12,FALSE)</f>
        <v>0.13458262350937</v>
      </c>
      <c r="F185">
        <f>VLOOKUP(B185,'Model allocations'!$A$1:$L$319,10,FALSE)</f>
        <v>32523.893161084965</v>
      </c>
      <c r="G185" s="31">
        <f t="shared" si="45"/>
        <v>0.85</v>
      </c>
      <c r="H185">
        <f t="shared" si="46"/>
        <v>28374.341520455408</v>
      </c>
      <c r="I185">
        <f t="shared" si="38"/>
        <v>0</v>
      </c>
      <c r="J185">
        <f t="shared" si="39"/>
        <v>32523.893161084965</v>
      </c>
      <c r="K185">
        <f t="shared" si="40"/>
        <v>32517.010526718415</v>
      </c>
      <c r="L185">
        <f t="shared" si="47"/>
        <v>32517.010526718415</v>
      </c>
      <c r="M185">
        <f t="shared" si="41"/>
        <v>0</v>
      </c>
      <c r="N185" s="30">
        <f t="shared" si="48"/>
        <v>32517.010526718415</v>
      </c>
      <c r="O185" s="30">
        <f t="shared" si="42"/>
        <v>32516.107781117709</v>
      </c>
      <c r="P185" s="30">
        <f t="shared" si="49"/>
        <v>32516.107781117709</v>
      </c>
      <c r="Q185">
        <f t="shared" si="50"/>
        <v>0</v>
      </c>
      <c r="R185" s="30">
        <f t="shared" si="51"/>
        <v>32516.107781117709</v>
      </c>
      <c r="S185" s="30">
        <f t="shared" si="43"/>
        <v>32516.107781117702</v>
      </c>
      <c r="T185" s="30">
        <f t="shared" si="52"/>
        <v>32516.107781117702</v>
      </c>
      <c r="U185">
        <f t="shared" si="53"/>
        <v>0</v>
      </c>
      <c r="V185" s="30">
        <f t="shared" si="54"/>
        <v>32516.107781117702</v>
      </c>
      <c r="W185" s="30">
        <f t="shared" si="44"/>
        <v>32516.107781117702</v>
      </c>
      <c r="X185" s="30">
        <f t="shared" si="55"/>
        <v>32516.107781117702</v>
      </c>
      <c r="Y185">
        <f t="shared" si="56"/>
        <v>0</v>
      </c>
    </row>
    <row r="186" spans="1:25" x14ac:dyDescent="0.25">
      <c r="A186" s="4" t="s">
        <v>1021</v>
      </c>
      <c r="B186" s="7" t="s">
        <v>294</v>
      </c>
      <c r="C186" s="2" t="s">
        <v>1022</v>
      </c>
      <c r="D186">
        <f>VLOOKUP(B186,'Model allocations'!$A$1:$L$319,5,FALSE)</f>
        <v>0</v>
      </c>
      <c r="E186" s="32">
        <f>VLOOKUP(B186,'Initial adjusted formula count'!$A$1:$P$319,12,FALSE)</f>
        <v>0.13559322033898299</v>
      </c>
      <c r="F186">
        <f>VLOOKUP(B186,'Model allocations'!$A$1:$L$319,10,FALSE)</f>
        <v>9880.6764033675863</v>
      </c>
      <c r="G186" s="31">
        <f t="shared" si="45"/>
        <v>0.85</v>
      </c>
      <c r="H186">
        <f t="shared" si="46"/>
        <v>0</v>
      </c>
      <c r="I186">
        <f t="shared" si="38"/>
        <v>0</v>
      </c>
      <c r="J186">
        <f t="shared" si="39"/>
        <v>9880.6764033675863</v>
      </c>
      <c r="K186">
        <f t="shared" si="40"/>
        <v>9878.5854764714186</v>
      </c>
      <c r="L186">
        <f t="shared" si="47"/>
        <v>9878.5854764714186</v>
      </c>
      <c r="M186">
        <f t="shared" si="41"/>
        <v>0</v>
      </c>
      <c r="N186" s="30">
        <f t="shared" si="48"/>
        <v>9878.5854764714186</v>
      </c>
      <c r="O186" s="30">
        <f t="shared" si="42"/>
        <v>9878.3112246433539</v>
      </c>
      <c r="P186" s="30">
        <f t="shared" si="49"/>
        <v>9878.3112246433539</v>
      </c>
      <c r="Q186">
        <f t="shared" si="50"/>
        <v>0</v>
      </c>
      <c r="R186" s="30">
        <f t="shared" si="51"/>
        <v>9878.3112246433539</v>
      </c>
      <c r="S186" s="30">
        <f t="shared" si="43"/>
        <v>9878.311224643352</v>
      </c>
      <c r="T186" s="30">
        <f t="shared" si="52"/>
        <v>9878.311224643352</v>
      </c>
      <c r="U186">
        <f t="shared" si="53"/>
        <v>0</v>
      </c>
      <c r="V186" s="30">
        <f t="shared" si="54"/>
        <v>9878.311224643352</v>
      </c>
      <c r="W186" s="30">
        <f t="shared" si="44"/>
        <v>9878.311224643352</v>
      </c>
      <c r="X186" s="30">
        <f t="shared" si="55"/>
        <v>9878.311224643352</v>
      </c>
      <c r="Y186">
        <f t="shared" si="56"/>
        <v>0</v>
      </c>
    </row>
    <row r="187" spans="1:25" x14ac:dyDescent="0.25">
      <c r="A187" s="4" t="s">
        <v>1023</v>
      </c>
      <c r="B187" s="7" t="s">
        <v>527</v>
      </c>
      <c r="C187" s="2" t="s">
        <v>1024</v>
      </c>
      <c r="D187">
        <f>VLOOKUP(B187,'Model allocations'!$A$1:$L$319,5,FALSE)</f>
        <v>16337.445123804338</v>
      </c>
      <c r="E187" s="32">
        <f>VLOOKUP(B187,'Initial adjusted formula count'!$A$1:$P$319,12,FALSE)</f>
        <v>0.28125</v>
      </c>
      <c r="F187">
        <f>VLOOKUP(B187,'Model allocations'!$A$1:$L$319,10,FALSE)</f>
        <v>22156.428766911478</v>
      </c>
      <c r="G187" s="31">
        <f t="shared" si="45"/>
        <v>0.9</v>
      </c>
      <c r="H187">
        <f t="shared" si="46"/>
        <v>14703.700611423905</v>
      </c>
      <c r="I187">
        <f t="shared" si="38"/>
        <v>0</v>
      </c>
      <c r="J187">
        <f t="shared" si="39"/>
        <v>22156.428766911478</v>
      </c>
      <c r="K187">
        <f t="shared" si="40"/>
        <v>22151.740072439512</v>
      </c>
      <c r="L187">
        <f t="shared" si="47"/>
        <v>22151.740072439512</v>
      </c>
      <c r="M187">
        <f t="shared" si="41"/>
        <v>0</v>
      </c>
      <c r="N187" s="30">
        <f t="shared" si="48"/>
        <v>22151.740072439512</v>
      </c>
      <c r="O187" s="30">
        <f t="shared" si="42"/>
        <v>22151.12509014026</v>
      </c>
      <c r="P187" s="30">
        <f t="shared" si="49"/>
        <v>22151.12509014026</v>
      </c>
      <c r="Q187">
        <f t="shared" si="50"/>
        <v>0</v>
      </c>
      <c r="R187" s="30">
        <f t="shared" si="51"/>
        <v>22151.12509014026</v>
      </c>
      <c r="S187" s="30">
        <f t="shared" si="43"/>
        <v>22151.125090140256</v>
      </c>
      <c r="T187" s="30">
        <f t="shared" si="52"/>
        <v>22151.125090140256</v>
      </c>
      <c r="U187">
        <f t="shared" si="53"/>
        <v>0</v>
      </c>
      <c r="V187" s="30">
        <f t="shared" si="54"/>
        <v>22151.125090140256</v>
      </c>
      <c r="W187" s="30">
        <f t="shared" si="44"/>
        <v>22151.125090140256</v>
      </c>
      <c r="X187" s="30">
        <f t="shared" si="55"/>
        <v>22151.125090140256</v>
      </c>
      <c r="Y187">
        <f t="shared" si="56"/>
        <v>0</v>
      </c>
    </row>
    <row r="188" spans="1:25" x14ac:dyDescent="0.25">
      <c r="A188" s="4" t="s">
        <v>1025</v>
      </c>
      <c r="B188" s="7" t="s">
        <v>529</v>
      </c>
      <c r="C188" s="2" t="s">
        <v>1026</v>
      </c>
      <c r="D188">
        <f>VLOOKUP(B188,'Model allocations'!$A$1:$L$319,5,FALSE)</f>
        <v>30284.323765961064</v>
      </c>
      <c r="E188" s="32">
        <f>VLOOKUP(B188,'Initial adjusted formula count'!$A$1:$P$319,12,FALSE)</f>
        <v>0.13026819923371599</v>
      </c>
      <c r="F188">
        <f>VLOOKUP(B188,'Model allocations'!$A$1:$L$319,10,FALSE)</f>
        <v>25741.675201066904</v>
      </c>
      <c r="G188" s="31">
        <f t="shared" si="45"/>
        <v>0.85</v>
      </c>
      <c r="H188">
        <f t="shared" si="46"/>
        <v>25741.675201066904</v>
      </c>
      <c r="I188">
        <f t="shared" si="38"/>
        <v>0</v>
      </c>
      <c r="J188">
        <f t="shared" si="39"/>
        <v>25741.675201066904</v>
      </c>
      <c r="K188">
        <f t="shared" si="40"/>
        <v>25736.227804670849</v>
      </c>
      <c r="L188">
        <f t="shared" si="47"/>
        <v>25736.227804670849</v>
      </c>
      <c r="M188">
        <f t="shared" si="41"/>
        <v>25741.675201066904</v>
      </c>
      <c r="N188" s="30">
        <f t="shared" si="48"/>
        <v>0</v>
      </c>
      <c r="O188" s="30">
        <f t="shared" si="42"/>
        <v>0</v>
      </c>
      <c r="P188" s="30">
        <f t="shared" si="49"/>
        <v>25741.675201066904</v>
      </c>
      <c r="Q188">
        <f t="shared" si="50"/>
        <v>0</v>
      </c>
      <c r="R188" s="30">
        <f t="shared" si="51"/>
        <v>0</v>
      </c>
      <c r="S188" s="30">
        <f t="shared" si="43"/>
        <v>0</v>
      </c>
      <c r="T188" s="30">
        <f t="shared" si="52"/>
        <v>25741.675201066904</v>
      </c>
      <c r="U188">
        <f t="shared" si="53"/>
        <v>0</v>
      </c>
      <c r="V188" s="30">
        <f t="shared" si="54"/>
        <v>0</v>
      </c>
      <c r="W188" s="30">
        <f t="shared" si="44"/>
        <v>0</v>
      </c>
      <c r="X188" s="30">
        <f t="shared" si="55"/>
        <v>25741.675201066904</v>
      </c>
      <c r="Y188">
        <f t="shared" si="56"/>
        <v>0</v>
      </c>
    </row>
    <row r="189" spans="1:25" x14ac:dyDescent="0.25">
      <c r="A189" s="4" t="s">
        <v>1027</v>
      </c>
      <c r="B189" s="7" t="s">
        <v>531</v>
      </c>
      <c r="C189" s="2" t="s">
        <v>1028</v>
      </c>
      <c r="D189">
        <f>VLOOKUP(B189,'Model allocations'!$A$1:$L$319,5,FALSE)</f>
        <v>216910.63543749013</v>
      </c>
      <c r="E189" s="32">
        <f>VLOOKUP(B189,'Initial adjusted formula count'!$A$1:$P$319,12,FALSE)</f>
        <v>0.26056338028169002</v>
      </c>
      <c r="F189">
        <f>VLOOKUP(B189,'Model allocations'!$A$1:$L$319,10,FALSE)</f>
        <v>195219.57189374111</v>
      </c>
      <c r="G189" s="31">
        <f t="shared" si="45"/>
        <v>0.9</v>
      </c>
      <c r="H189">
        <f t="shared" si="46"/>
        <v>195219.57189374111</v>
      </c>
      <c r="I189">
        <f t="shared" si="38"/>
        <v>0</v>
      </c>
      <c r="J189">
        <f t="shared" si="39"/>
        <v>195219.57189374111</v>
      </c>
      <c r="K189">
        <f t="shared" si="40"/>
        <v>195178.25995953064</v>
      </c>
      <c r="L189">
        <f t="shared" si="47"/>
        <v>195178.25995953064</v>
      </c>
      <c r="M189">
        <f t="shared" si="41"/>
        <v>195219.57189374111</v>
      </c>
      <c r="N189" s="30">
        <f t="shared" si="48"/>
        <v>0</v>
      </c>
      <c r="O189" s="30">
        <f t="shared" si="42"/>
        <v>0</v>
      </c>
      <c r="P189" s="30">
        <f t="shared" si="49"/>
        <v>195219.57189374111</v>
      </c>
      <c r="Q189">
        <f t="shared" si="50"/>
        <v>0</v>
      </c>
      <c r="R189" s="30">
        <f t="shared" si="51"/>
        <v>0</v>
      </c>
      <c r="S189" s="30">
        <f t="shared" si="43"/>
        <v>0</v>
      </c>
      <c r="T189" s="30">
        <f t="shared" si="52"/>
        <v>195219.57189374111</v>
      </c>
      <c r="U189">
        <f t="shared" si="53"/>
        <v>0</v>
      </c>
      <c r="V189" s="30">
        <f t="shared" si="54"/>
        <v>0</v>
      </c>
      <c r="W189" s="30">
        <f t="shared" si="44"/>
        <v>0</v>
      </c>
      <c r="X189" s="30">
        <f t="shared" si="55"/>
        <v>195219.57189374111</v>
      </c>
      <c r="Y189">
        <f t="shared" si="56"/>
        <v>0</v>
      </c>
    </row>
    <row r="190" spans="1:25" x14ac:dyDescent="0.25">
      <c r="A190" s="4" t="s">
        <v>1029</v>
      </c>
      <c r="B190" s="7" t="s">
        <v>296</v>
      </c>
      <c r="C190" s="2" t="s">
        <v>1030</v>
      </c>
      <c r="D190">
        <f>VLOOKUP(B190,'Model allocations'!$A$1:$L$319,5,FALSE)</f>
        <v>81293.961172792726</v>
      </c>
      <c r="E190" s="32">
        <f>VLOOKUP(B190,'Initial adjusted formula count'!$A$1:$P$319,12,FALSE)</f>
        <v>5.4478301015697103E-2</v>
      </c>
      <c r="F190">
        <f>VLOOKUP(B190,'Model allocations'!$A$1:$L$319,10,FALSE)</f>
        <v>72869.988474835933</v>
      </c>
      <c r="G190" s="31">
        <f t="shared" si="45"/>
        <v>0.85</v>
      </c>
      <c r="H190">
        <f t="shared" si="46"/>
        <v>69099.86699687381</v>
      </c>
      <c r="I190">
        <f t="shared" si="38"/>
        <v>0</v>
      </c>
      <c r="J190">
        <f t="shared" si="39"/>
        <v>72869.988474835933</v>
      </c>
      <c r="K190">
        <f t="shared" si="40"/>
        <v>72854.5678889767</v>
      </c>
      <c r="L190">
        <f t="shared" si="47"/>
        <v>72854.5678889767</v>
      </c>
      <c r="M190">
        <f t="shared" si="41"/>
        <v>0</v>
      </c>
      <c r="N190" s="30">
        <f t="shared" si="48"/>
        <v>72854.5678889767</v>
      </c>
      <c r="O190" s="30">
        <f t="shared" si="42"/>
        <v>72852.545281744722</v>
      </c>
      <c r="P190" s="30">
        <f t="shared" si="49"/>
        <v>72852.545281744722</v>
      </c>
      <c r="Q190">
        <f t="shared" si="50"/>
        <v>0</v>
      </c>
      <c r="R190" s="30">
        <f t="shared" si="51"/>
        <v>72852.545281744722</v>
      </c>
      <c r="S190" s="30">
        <f t="shared" si="43"/>
        <v>72852.545281744708</v>
      </c>
      <c r="T190" s="30">
        <f t="shared" si="52"/>
        <v>72852.545281744708</v>
      </c>
      <c r="U190">
        <f t="shared" si="53"/>
        <v>0</v>
      </c>
      <c r="V190" s="30">
        <f t="shared" si="54"/>
        <v>72852.545281744708</v>
      </c>
      <c r="W190" s="30">
        <f t="shared" si="44"/>
        <v>72852.545281744722</v>
      </c>
      <c r="X190" s="30">
        <f t="shared" si="55"/>
        <v>72852.545281744722</v>
      </c>
      <c r="Y190">
        <f t="shared" si="56"/>
        <v>0</v>
      </c>
    </row>
    <row r="191" spans="1:25" x14ac:dyDescent="0.25">
      <c r="A191" s="4" t="s">
        <v>1031</v>
      </c>
      <c r="B191" s="7" t="s">
        <v>533</v>
      </c>
      <c r="C191" s="2" t="s">
        <v>1032</v>
      </c>
      <c r="D191">
        <f>VLOOKUP(B191,'Model allocations'!$A$1:$L$319,5,FALSE)</f>
        <v>403273.87319763488</v>
      </c>
      <c r="E191" s="32">
        <f>VLOOKUP(B191,'Initial adjusted formula count'!$A$1:$P$319,12,FALSE)</f>
        <v>0.16240796881767</v>
      </c>
      <c r="F191">
        <f>VLOOKUP(B191,'Model allocations'!$A$1:$L$319,10,FALSE)</f>
        <v>362946.4858778714</v>
      </c>
      <c r="G191" s="31">
        <f t="shared" si="45"/>
        <v>0.9</v>
      </c>
      <c r="H191">
        <f t="shared" si="46"/>
        <v>362946.4858778714</v>
      </c>
      <c r="I191">
        <f t="shared" si="38"/>
        <v>0</v>
      </c>
      <c r="J191">
        <f t="shared" si="39"/>
        <v>362946.4858778714</v>
      </c>
      <c r="K191">
        <f t="shared" si="40"/>
        <v>362869.67994493619</v>
      </c>
      <c r="L191">
        <f t="shared" si="47"/>
        <v>362869.67994493619</v>
      </c>
      <c r="M191">
        <f t="shared" si="41"/>
        <v>362946.4858778714</v>
      </c>
      <c r="N191" s="30">
        <f t="shared" si="48"/>
        <v>0</v>
      </c>
      <c r="O191" s="30">
        <f t="shared" si="42"/>
        <v>0</v>
      </c>
      <c r="P191" s="30">
        <f t="shared" si="49"/>
        <v>362946.4858778714</v>
      </c>
      <c r="Q191">
        <f t="shared" si="50"/>
        <v>0</v>
      </c>
      <c r="R191" s="30">
        <f t="shared" si="51"/>
        <v>0</v>
      </c>
      <c r="S191" s="30">
        <f t="shared" si="43"/>
        <v>0</v>
      </c>
      <c r="T191" s="30">
        <f t="shared" si="52"/>
        <v>362946.4858778714</v>
      </c>
      <c r="U191">
        <f t="shared" si="53"/>
        <v>0</v>
      </c>
      <c r="V191" s="30">
        <f t="shared" si="54"/>
        <v>0</v>
      </c>
      <c r="W191" s="30">
        <f t="shared" si="44"/>
        <v>0</v>
      </c>
      <c r="X191" s="30">
        <f t="shared" si="55"/>
        <v>362946.4858778714</v>
      </c>
      <c r="Y191">
        <f t="shared" si="56"/>
        <v>0</v>
      </c>
    </row>
    <row r="192" spans="1:25" x14ac:dyDescent="0.25">
      <c r="A192" s="4" t="s">
        <v>1033</v>
      </c>
      <c r="B192" s="7" t="s">
        <v>535</v>
      </c>
      <c r="C192" s="2" t="s">
        <v>1034</v>
      </c>
      <c r="D192">
        <f>VLOOKUP(B192,'Model allocations'!$A$1:$L$319,5,FALSE)</f>
        <v>5644.1116474905275</v>
      </c>
      <c r="E192" s="32">
        <f>VLOOKUP(B192,'Initial adjusted formula count'!$A$1:$P$319,12,FALSE)</f>
        <v>0.217391304347826</v>
      </c>
      <c r="F192">
        <f>VLOOKUP(B192,'Model allocations'!$A$1:$L$319,10,FALSE)</f>
        <v>5079.7004827414748</v>
      </c>
      <c r="G192" s="31">
        <f t="shared" si="45"/>
        <v>0.9</v>
      </c>
      <c r="H192">
        <f t="shared" si="46"/>
        <v>5079.7004827414748</v>
      </c>
      <c r="I192">
        <f t="shared" si="38"/>
        <v>0</v>
      </c>
      <c r="J192">
        <f t="shared" si="39"/>
        <v>5079.7004827414748</v>
      </c>
      <c r="K192">
        <f t="shared" si="40"/>
        <v>5078.6255277555774</v>
      </c>
      <c r="L192">
        <f t="shared" si="47"/>
        <v>5078.6255277555774</v>
      </c>
      <c r="M192">
        <f t="shared" si="41"/>
        <v>5079.7004827414748</v>
      </c>
      <c r="N192" s="30">
        <f t="shared" si="48"/>
        <v>0</v>
      </c>
      <c r="O192" s="30">
        <f t="shared" si="42"/>
        <v>0</v>
      </c>
      <c r="P192" s="30">
        <f t="shared" si="49"/>
        <v>5079.7004827414748</v>
      </c>
      <c r="Q192">
        <f t="shared" si="50"/>
        <v>0</v>
      </c>
      <c r="R192" s="30">
        <f t="shared" si="51"/>
        <v>0</v>
      </c>
      <c r="S192" s="30">
        <f t="shared" si="43"/>
        <v>0</v>
      </c>
      <c r="T192" s="30">
        <f t="shared" si="52"/>
        <v>5079.7004827414748</v>
      </c>
      <c r="U192">
        <f t="shared" si="53"/>
        <v>0</v>
      </c>
      <c r="V192" s="30">
        <f t="shared" si="54"/>
        <v>0</v>
      </c>
      <c r="W192" s="30">
        <f t="shared" si="44"/>
        <v>0</v>
      </c>
      <c r="X192" s="30">
        <f t="shared" si="55"/>
        <v>5079.7004827414748</v>
      </c>
      <c r="Y192">
        <f t="shared" si="56"/>
        <v>0</v>
      </c>
    </row>
    <row r="193" spans="1:25" x14ac:dyDescent="0.25">
      <c r="A193" s="4" t="s">
        <v>1035</v>
      </c>
      <c r="B193" s="7" t="s">
        <v>537</v>
      </c>
      <c r="C193" s="2" t="s">
        <v>1036</v>
      </c>
      <c r="D193">
        <f>VLOOKUP(B193,'Model allocations'!$A$1:$L$319,5,FALSE)</f>
        <v>9032.6623525325231</v>
      </c>
      <c r="E193" s="32">
        <f>VLOOKUP(B193,'Initial adjusted formula count'!$A$1:$P$319,12,FALSE)</f>
        <v>4.6413502109704602E-2</v>
      </c>
      <c r="F193">
        <f>VLOOKUP(B193,'Model allocations'!$A$1:$L$319,10,FALSE)</f>
        <v>0</v>
      </c>
      <c r="G193" s="31">
        <f t="shared" si="45"/>
        <v>0.85</v>
      </c>
      <c r="H193">
        <f t="shared" si="46"/>
        <v>0</v>
      </c>
      <c r="I193">
        <f t="shared" si="38"/>
        <v>0</v>
      </c>
      <c r="J193">
        <f t="shared" si="39"/>
        <v>0</v>
      </c>
      <c r="K193">
        <f t="shared" si="40"/>
        <v>0</v>
      </c>
      <c r="L193">
        <f t="shared" si="47"/>
        <v>0</v>
      </c>
      <c r="M193">
        <f t="shared" si="41"/>
        <v>0</v>
      </c>
      <c r="N193" s="30">
        <f t="shared" si="48"/>
        <v>0</v>
      </c>
      <c r="O193" s="30">
        <f t="shared" si="42"/>
        <v>0</v>
      </c>
      <c r="P193" s="30">
        <f t="shared" si="49"/>
        <v>0</v>
      </c>
      <c r="Q193">
        <f t="shared" si="50"/>
        <v>0</v>
      </c>
      <c r="R193" s="30">
        <f t="shared" si="51"/>
        <v>0</v>
      </c>
      <c r="S193" s="30">
        <f t="shared" si="43"/>
        <v>0</v>
      </c>
      <c r="T193" s="30">
        <f t="shared" si="52"/>
        <v>0</v>
      </c>
      <c r="U193">
        <f t="shared" si="53"/>
        <v>0</v>
      </c>
      <c r="V193" s="30">
        <f t="shared" si="54"/>
        <v>0</v>
      </c>
      <c r="W193" s="30">
        <f t="shared" si="44"/>
        <v>0</v>
      </c>
      <c r="X193" s="30">
        <f t="shared" si="55"/>
        <v>0</v>
      </c>
      <c r="Y193">
        <f t="shared" si="56"/>
        <v>0</v>
      </c>
    </row>
    <row r="194" spans="1:25" x14ac:dyDescent="0.25">
      <c r="A194" s="4" t="s">
        <v>1037</v>
      </c>
      <c r="B194" s="7" t="s">
        <v>539</v>
      </c>
      <c r="C194" s="2" t="s">
        <v>1038</v>
      </c>
      <c r="D194">
        <f>VLOOKUP(B194,'Model allocations'!$A$1:$L$319,5,FALSE)</f>
        <v>1622541.0656299179</v>
      </c>
      <c r="E194" s="32">
        <f>VLOOKUP(B194,'Initial adjusted formula count'!$A$1:$P$319,12,FALSE)</f>
        <v>0.11864739034550401</v>
      </c>
      <c r="F194">
        <f>VLOOKUP(B194,'Model allocations'!$A$1:$L$319,10,FALSE)</f>
        <v>1385559.0181472341</v>
      </c>
      <c r="G194" s="31">
        <f t="shared" si="45"/>
        <v>0.85</v>
      </c>
      <c r="H194">
        <f t="shared" si="46"/>
        <v>1379159.9057854302</v>
      </c>
      <c r="I194">
        <f t="shared" si="38"/>
        <v>0</v>
      </c>
      <c r="J194">
        <f t="shared" si="39"/>
        <v>1385559.0181472341</v>
      </c>
      <c r="K194">
        <f t="shared" si="40"/>
        <v>1385265.8092110236</v>
      </c>
      <c r="L194">
        <f t="shared" si="47"/>
        <v>1385265.8092110236</v>
      </c>
      <c r="M194">
        <f t="shared" si="41"/>
        <v>0</v>
      </c>
      <c r="N194" s="30">
        <f t="shared" si="48"/>
        <v>1385265.8092110236</v>
      </c>
      <c r="O194" s="30">
        <f t="shared" si="42"/>
        <v>1385227.3511057175</v>
      </c>
      <c r="P194" s="30">
        <f t="shared" si="49"/>
        <v>1385227.3511057175</v>
      </c>
      <c r="Q194">
        <f t="shared" si="50"/>
        <v>0</v>
      </c>
      <c r="R194" s="30">
        <f t="shared" si="51"/>
        <v>1385227.3511057175</v>
      </c>
      <c r="S194" s="30">
        <f t="shared" si="43"/>
        <v>1385227.351105717</v>
      </c>
      <c r="T194" s="30">
        <f t="shared" si="52"/>
        <v>1385227.351105717</v>
      </c>
      <c r="U194">
        <f t="shared" si="53"/>
        <v>0</v>
      </c>
      <c r="V194" s="30">
        <f t="shared" si="54"/>
        <v>1385227.351105717</v>
      </c>
      <c r="W194" s="30">
        <f t="shared" si="44"/>
        <v>1385227.351105717</v>
      </c>
      <c r="X194" s="30">
        <f t="shared" si="55"/>
        <v>1385227.351105717</v>
      </c>
      <c r="Y194">
        <f t="shared" si="56"/>
        <v>0</v>
      </c>
    </row>
    <row r="195" spans="1:25" x14ac:dyDescent="0.25">
      <c r="A195" s="4" t="s">
        <v>1039</v>
      </c>
      <c r="B195" s="7" t="s">
        <v>541</v>
      </c>
      <c r="C195" s="2" t="s">
        <v>1040</v>
      </c>
      <c r="D195">
        <f>VLOOKUP(B195,'Model allocations'!$A$1:$L$319,5,FALSE)</f>
        <v>32895.541152987847</v>
      </c>
      <c r="E195" s="32">
        <f>VLOOKUP(B195,'Initial adjusted formula count'!$A$1:$P$319,12,FALSE)</f>
        <v>0.13265306122449</v>
      </c>
      <c r="F195">
        <f>VLOOKUP(B195,'Model allocations'!$A$1:$L$319,10,FALSE)</f>
        <v>27961.209980039668</v>
      </c>
      <c r="G195" s="31">
        <f t="shared" si="45"/>
        <v>0.85</v>
      </c>
      <c r="H195">
        <f t="shared" si="46"/>
        <v>27961.209980039668</v>
      </c>
      <c r="I195">
        <f t="shared" si="38"/>
        <v>0</v>
      </c>
      <c r="J195">
        <f t="shared" si="39"/>
        <v>27961.209980039668</v>
      </c>
      <c r="K195">
        <f t="shared" si="40"/>
        <v>27955.29289060066</v>
      </c>
      <c r="L195">
        <f t="shared" si="47"/>
        <v>27955.29289060066</v>
      </c>
      <c r="M195">
        <f t="shared" si="41"/>
        <v>27961.209980039668</v>
      </c>
      <c r="N195" s="30">
        <f t="shared" si="48"/>
        <v>0</v>
      </c>
      <c r="O195" s="30">
        <f t="shared" si="42"/>
        <v>0</v>
      </c>
      <c r="P195" s="30">
        <f t="shared" si="49"/>
        <v>27961.209980039668</v>
      </c>
      <c r="Q195">
        <f t="shared" si="50"/>
        <v>0</v>
      </c>
      <c r="R195" s="30">
        <f t="shared" si="51"/>
        <v>0</v>
      </c>
      <c r="S195" s="30">
        <f t="shared" si="43"/>
        <v>0</v>
      </c>
      <c r="T195" s="30">
        <f t="shared" si="52"/>
        <v>27961.209980039668</v>
      </c>
      <c r="U195">
        <f t="shared" si="53"/>
        <v>0</v>
      </c>
      <c r="V195" s="30">
        <f t="shared" si="54"/>
        <v>0</v>
      </c>
      <c r="W195" s="30">
        <f t="shared" si="44"/>
        <v>0</v>
      </c>
      <c r="X195" s="30">
        <f t="shared" si="55"/>
        <v>27961.209980039668</v>
      </c>
      <c r="Y195">
        <f t="shared" si="56"/>
        <v>0</v>
      </c>
    </row>
    <row r="196" spans="1:25" x14ac:dyDescent="0.25">
      <c r="A196" s="4" t="s">
        <v>1041</v>
      </c>
      <c r="B196" s="7" t="s">
        <v>195</v>
      </c>
      <c r="C196" s="2" t="s">
        <v>1042</v>
      </c>
      <c r="D196">
        <f>VLOOKUP(B196,'Model allocations'!$A$1:$L$319,5,FALSE)</f>
        <v>3927.244501101095</v>
      </c>
      <c r="E196" s="32">
        <f>VLOOKUP(B196,'Initial adjusted formula count'!$A$1:$P$319,12,FALSE)</f>
        <v>8.04597701149425E-2</v>
      </c>
      <c r="F196">
        <f>VLOOKUP(B196,'Model allocations'!$A$1:$L$319,10,FALSE)</f>
        <v>0</v>
      </c>
      <c r="G196" s="31">
        <f t="shared" si="45"/>
        <v>0.85</v>
      </c>
      <c r="H196">
        <f t="shared" si="46"/>
        <v>0</v>
      </c>
      <c r="I196">
        <f t="shared" ref="I196:I259" si="57">IF(F196&lt;H196,H196,0)</f>
        <v>0</v>
      </c>
      <c r="J196">
        <f t="shared" ref="J196:J259" si="58">IF(I196=0,F196,0)</f>
        <v>0</v>
      </c>
      <c r="K196">
        <f t="shared" ref="K196:K259" si="59">(J196/$J$3)*($F$3-$I$3)</f>
        <v>0</v>
      </c>
      <c r="L196">
        <f t="shared" si="47"/>
        <v>0</v>
      </c>
      <c r="M196">
        <f t="shared" ref="M196:M259" si="60">IF(L196&lt;H196,H196,0)</f>
        <v>0</v>
      </c>
      <c r="N196" s="30">
        <f t="shared" si="48"/>
        <v>0</v>
      </c>
      <c r="O196" s="30">
        <f t="shared" ref="O196:O259" si="61">((N196/$N$3)*($F$3-$I$3-$M$3))</f>
        <v>0</v>
      </c>
      <c r="P196" s="30">
        <f t="shared" si="49"/>
        <v>0</v>
      </c>
      <c r="Q196">
        <f t="shared" si="50"/>
        <v>0</v>
      </c>
      <c r="R196" s="30">
        <f t="shared" si="51"/>
        <v>0</v>
      </c>
      <c r="S196" s="30">
        <f t="shared" ref="S196:S259" si="62">((R196/$R$3)*($F$3-$I$3-$M$3-$Q$3))</f>
        <v>0</v>
      </c>
      <c r="T196" s="30">
        <f t="shared" si="52"/>
        <v>0</v>
      </c>
      <c r="U196">
        <f t="shared" si="53"/>
        <v>0</v>
      </c>
      <c r="V196" s="30">
        <f t="shared" si="54"/>
        <v>0</v>
      </c>
      <c r="W196" s="30">
        <f t="shared" ref="W196:W259" si="63">((V196/$V$3)*($F$3-$I$3-$M$3-$Q$3-$U$3))</f>
        <v>0</v>
      </c>
      <c r="X196" s="30">
        <f t="shared" si="55"/>
        <v>0</v>
      </c>
      <c r="Y196">
        <f t="shared" si="56"/>
        <v>0</v>
      </c>
    </row>
    <row r="197" spans="1:25" x14ac:dyDescent="0.25">
      <c r="A197" s="4" t="s">
        <v>1043</v>
      </c>
      <c r="B197" s="7" t="s">
        <v>298</v>
      </c>
      <c r="C197" s="2" t="s">
        <v>1044</v>
      </c>
      <c r="D197">
        <f>VLOOKUP(B197,'Model allocations'!$A$1:$L$319,5,FALSE)</f>
        <v>15009.144113239883</v>
      </c>
      <c r="E197" s="32">
        <f>VLOOKUP(B197,'Initial adjusted formula count'!$A$1:$P$319,12,FALSE)</f>
        <v>0.120481927710843</v>
      </c>
      <c r="F197">
        <f>VLOOKUP(B197,'Model allocations'!$A$1:$L$319,10,FALSE)</f>
        <v>12757.7724962539</v>
      </c>
      <c r="G197" s="31">
        <f t="shared" ref="G197:G260" si="64">IF(E197&lt;0.15,0.85,IF(AND(E197&gt;=0.15,E197&lt;0.3),0.9,0.95))</f>
        <v>0.85</v>
      </c>
      <c r="H197">
        <f t="shared" ref="H197:H260" si="65">IF(F197 = 0, 0, D197*G197)</f>
        <v>12757.7724962539</v>
      </c>
      <c r="I197">
        <f t="shared" si="57"/>
        <v>0</v>
      </c>
      <c r="J197">
        <f t="shared" si="58"/>
        <v>12757.7724962539</v>
      </c>
      <c r="K197">
        <f t="shared" si="59"/>
        <v>12755.072724643273</v>
      </c>
      <c r="L197">
        <f t="shared" ref="L197:L260" si="66">I197+K197</f>
        <v>12755.072724643273</v>
      </c>
      <c r="M197">
        <f t="shared" si="60"/>
        <v>12757.7724962539</v>
      </c>
      <c r="N197" s="30">
        <f t="shared" ref="N197:N260" si="67">IF($I197+$M197=0,L197,0)</f>
        <v>0</v>
      </c>
      <c r="O197" s="30">
        <f t="shared" si="61"/>
        <v>0</v>
      </c>
      <c r="P197" s="30">
        <f t="shared" ref="P197:P260" si="68">$I197+$M197+O197</f>
        <v>12757.7724962539</v>
      </c>
      <c r="Q197">
        <f t="shared" ref="Q197:Q260" si="69">IF(P197&lt;H197,H197,0)</f>
        <v>0</v>
      </c>
      <c r="R197" s="30">
        <f t="shared" ref="R197:R260" si="70">IF($I197+$M197+$Q197=0,P197,0)</f>
        <v>0</v>
      </c>
      <c r="S197" s="30">
        <f t="shared" si="62"/>
        <v>0</v>
      </c>
      <c r="T197" s="30">
        <f t="shared" ref="T197:T260" si="71">$I197+$M197+$Q197+S197</f>
        <v>12757.7724962539</v>
      </c>
      <c r="U197">
        <f t="shared" ref="U197:U260" si="72">IF(T197&lt;H197,H197,0)</f>
        <v>0</v>
      </c>
      <c r="V197" s="30">
        <f t="shared" ref="V197:V260" si="73">IF($I197+$M197+$Q197+U197=0,T197,0)</f>
        <v>0</v>
      </c>
      <c r="W197" s="30">
        <f t="shared" si="63"/>
        <v>0</v>
      </c>
      <c r="X197" s="30">
        <f t="shared" ref="X197:X260" si="74">$I197+$M197+$Q197+$U197+W197</f>
        <v>12757.7724962539</v>
      </c>
      <c r="Y197">
        <f t="shared" ref="Y197:Y260" si="75">IF(X197&lt;H197,H197,0)</f>
        <v>0</v>
      </c>
    </row>
    <row r="198" spans="1:25" x14ac:dyDescent="0.25">
      <c r="A198" s="4" t="s">
        <v>1045</v>
      </c>
      <c r="B198" s="7" t="s">
        <v>197</v>
      </c>
      <c r="C198" s="2" t="s">
        <v>1046</v>
      </c>
      <c r="D198">
        <f>VLOOKUP(B198,'Model allocations'!$A$1:$L$319,5,FALSE)</f>
        <v>250558.19917024989</v>
      </c>
      <c r="E198" s="32">
        <f>VLOOKUP(B198,'Initial adjusted formula count'!$A$1:$P$319,12,FALSE)</f>
        <v>4.5707438158007402E-2</v>
      </c>
      <c r="F198">
        <f>VLOOKUP(B198,'Model allocations'!$A$1:$L$319,10,FALSE)</f>
        <v>0</v>
      </c>
      <c r="G198" s="31">
        <f t="shared" si="64"/>
        <v>0.85</v>
      </c>
      <c r="H198">
        <f t="shared" si="65"/>
        <v>0</v>
      </c>
      <c r="I198">
        <f t="shared" si="57"/>
        <v>0</v>
      </c>
      <c r="J198">
        <f t="shared" si="58"/>
        <v>0</v>
      </c>
      <c r="K198">
        <f t="shared" si="59"/>
        <v>0</v>
      </c>
      <c r="L198">
        <f t="shared" si="66"/>
        <v>0</v>
      </c>
      <c r="M198">
        <f t="shared" si="60"/>
        <v>0</v>
      </c>
      <c r="N198" s="30">
        <f t="shared" si="67"/>
        <v>0</v>
      </c>
      <c r="O198" s="30">
        <f t="shared" si="61"/>
        <v>0</v>
      </c>
      <c r="P198" s="30">
        <f t="shared" si="68"/>
        <v>0</v>
      </c>
      <c r="Q198">
        <f t="shared" si="69"/>
        <v>0</v>
      </c>
      <c r="R198" s="30">
        <f t="shared" si="70"/>
        <v>0</v>
      </c>
      <c r="S198" s="30">
        <f t="shared" si="62"/>
        <v>0</v>
      </c>
      <c r="T198" s="30">
        <f t="shared" si="71"/>
        <v>0</v>
      </c>
      <c r="U198">
        <f t="shared" si="72"/>
        <v>0</v>
      </c>
      <c r="V198" s="30">
        <f t="shared" si="73"/>
        <v>0</v>
      </c>
      <c r="W198" s="30">
        <f t="shared" si="63"/>
        <v>0</v>
      </c>
      <c r="X198" s="30">
        <f t="shared" si="74"/>
        <v>0</v>
      </c>
      <c r="Y198">
        <f t="shared" si="75"/>
        <v>0</v>
      </c>
    </row>
    <row r="199" spans="1:25" x14ac:dyDescent="0.25">
      <c r="A199" s="4" t="s">
        <v>55</v>
      </c>
      <c r="B199" s="7" t="s">
        <v>87</v>
      </c>
      <c r="C199" s="2" t="s">
        <v>1047</v>
      </c>
      <c r="D199">
        <f>VLOOKUP(B199,'Model allocations'!$A$1:$L$319,5,FALSE)</f>
        <v>13059.260033584029</v>
      </c>
      <c r="E199" s="32">
        <f>VLOOKUP(B199,'Initial adjusted formula count'!$A$1:$P$319,12,FALSE)</f>
        <v>9.7774084557936902E-2</v>
      </c>
      <c r="F199">
        <f>VLOOKUP(B199,'Model allocations'!$A$1:$L$319,10,FALSE)</f>
        <v>13733.03213131986</v>
      </c>
      <c r="G199" s="31">
        <f t="shared" si="64"/>
        <v>0.85</v>
      </c>
      <c r="H199">
        <f t="shared" si="65"/>
        <v>11100.371028546424</v>
      </c>
      <c r="I199">
        <f t="shared" si="57"/>
        <v>0</v>
      </c>
      <c r="J199">
        <f t="shared" si="58"/>
        <v>13733.03213131986</v>
      </c>
      <c r="K199">
        <f t="shared" si="59"/>
        <v>13730.125977421378</v>
      </c>
      <c r="L199">
        <f t="shared" si="66"/>
        <v>13730.125977421378</v>
      </c>
      <c r="M199">
        <f t="shared" si="60"/>
        <v>0</v>
      </c>
      <c r="N199" s="30">
        <f t="shared" si="67"/>
        <v>13730.125977421378</v>
      </c>
      <c r="O199" s="30">
        <f t="shared" si="61"/>
        <v>13729.744798136368</v>
      </c>
      <c r="P199" s="30">
        <f t="shared" si="68"/>
        <v>13729.744798136368</v>
      </c>
      <c r="Q199">
        <f t="shared" si="69"/>
        <v>0</v>
      </c>
      <c r="R199" s="30">
        <f t="shared" si="70"/>
        <v>13729.744798136368</v>
      </c>
      <c r="S199" s="30">
        <f t="shared" si="62"/>
        <v>13729.744798136366</v>
      </c>
      <c r="T199" s="30">
        <f t="shared" si="71"/>
        <v>13729.744798136366</v>
      </c>
      <c r="U199">
        <f t="shared" si="72"/>
        <v>0</v>
      </c>
      <c r="V199" s="30">
        <f t="shared" si="73"/>
        <v>13729.744798136366</v>
      </c>
      <c r="W199" s="30">
        <f t="shared" si="63"/>
        <v>13729.744798136368</v>
      </c>
      <c r="X199" s="30">
        <f t="shared" si="74"/>
        <v>13729.744798136368</v>
      </c>
      <c r="Y199">
        <f t="shared" si="75"/>
        <v>0</v>
      </c>
    </row>
    <row r="200" spans="1:25" x14ac:dyDescent="0.25">
      <c r="A200" s="4" t="s">
        <v>1048</v>
      </c>
      <c r="B200" s="7" t="s">
        <v>543</v>
      </c>
      <c r="C200" s="2" t="s">
        <v>1049</v>
      </c>
      <c r="D200">
        <f>VLOOKUP(B200,'Model allocations'!$A$1:$L$319,5,FALSE)</f>
        <v>102111.34173444932</v>
      </c>
      <c r="E200" s="32">
        <f>VLOOKUP(B200,'Initial adjusted formula count'!$A$1:$P$319,12,FALSE)</f>
        <v>0.124748490945674</v>
      </c>
      <c r="F200">
        <f>VLOOKUP(B200,'Model allocations'!$A$1:$L$319,10,FALSE)</f>
        <v>86794.640474281914</v>
      </c>
      <c r="G200" s="31">
        <f t="shared" si="64"/>
        <v>0.85</v>
      </c>
      <c r="H200">
        <f t="shared" si="65"/>
        <v>86794.640474281914</v>
      </c>
      <c r="I200">
        <f t="shared" si="57"/>
        <v>0</v>
      </c>
      <c r="J200">
        <f t="shared" si="58"/>
        <v>86794.640474281914</v>
      </c>
      <c r="K200">
        <f t="shared" si="59"/>
        <v>86776.273184351347</v>
      </c>
      <c r="L200">
        <f t="shared" si="66"/>
        <v>86776.273184351347</v>
      </c>
      <c r="M200">
        <f t="shared" si="60"/>
        <v>86794.640474281914</v>
      </c>
      <c r="N200" s="30">
        <f t="shared" si="67"/>
        <v>0</v>
      </c>
      <c r="O200" s="30">
        <f t="shared" si="61"/>
        <v>0</v>
      </c>
      <c r="P200" s="30">
        <f t="shared" si="68"/>
        <v>86794.640474281914</v>
      </c>
      <c r="Q200">
        <f t="shared" si="69"/>
        <v>0</v>
      </c>
      <c r="R200" s="30">
        <f t="shared" si="70"/>
        <v>0</v>
      </c>
      <c r="S200" s="30">
        <f t="shared" si="62"/>
        <v>0</v>
      </c>
      <c r="T200" s="30">
        <f t="shared" si="71"/>
        <v>86794.640474281914</v>
      </c>
      <c r="U200">
        <f t="shared" si="72"/>
        <v>0</v>
      </c>
      <c r="V200" s="30">
        <f t="shared" si="73"/>
        <v>0</v>
      </c>
      <c r="W200" s="30">
        <f t="shared" si="63"/>
        <v>0</v>
      </c>
      <c r="X200" s="30">
        <f t="shared" si="74"/>
        <v>86794.640474281914</v>
      </c>
      <c r="Y200">
        <f t="shared" si="75"/>
        <v>0</v>
      </c>
    </row>
    <row r="201" spans="1:25" x14ac:dyDescent="0.25">
      <c r="A201" s="4" t="s">
        <v>1050</v>
      </c>
      <c r="B201" s="7" t="s">
        <v>545</v>
      </c>
      <c r="C201" s="2" t="s">
        <v>1051</v>
      </c>
      <c r="D201">
        <f>VLOOKUP(B201,'Model allocations'!$A$1:$L$319,5,FALSE)</f>
        <v>23890.783199550857</v>
      </c>
      <c r="E201" s="32">
        <f>VLOOKUP(B201,'Initial adjusted formula count'!$A$1:$P$319,12,FALSE)</f>
        <v>0.17241379310344801</v>
      </c>
      <c r="F201">
        <f>VLOOKUP(B201,'Model allocations'!$A$1:$L$319,10,FALSE)</f>
        <v>28694.122402397192</v>
      </c>
      <c r="G201" s="31">
        <f t="shared" si="64"/>
        <v>0.9</v>
      </c>
      <c r="H201">
        <f t="shared" si="65"/>
        <v>21501.704879595771</v>
      </c>
      <c r="I201">
        <f t="shared" si="57"/>
        <v>0</v>
      </c>
      <c r="J201">
        <f t="shared" si="58"/>
        <v>28694.122402397192</v>
      </c>
      <c r="K201">
        <f t="shared" si="59"/>
        <v>28688.050215651696</v>
      </c>
      <c r="L201">
        <f t="shared" si="66"/>
        <v>28688.050215651696</v>
      </c>
      <c r="M201">
        <f t="shared" si="60"/>
        <v>0</v>
      </c>
      <c r="N201" s="30">
        <f t="shared" si="67"/>
        <v>28688.050215651696</v>
      </c>
      <c r="O201" s="30">
        <f t="shared" si="61"/>
        <v>28687.253770630901</v>
      </c>
      <c r="P201" s="30">
        <f t="shared" si="68"/>
        <v>28687.253770630901</v>
      </c>
      <c r="Q201">
        <f t="shared" si="69"/>
        <v>0</v>
      </c>
      <c r="R201" s="30">
        <f t="shared" si="70"/>
        <v>28687.253770630901</v>
      </c>
      <c r="S201" s="30">
        <f t="shared" si="62"/>
        <v>28687.253770630894</v>
      </c>
      <c r="T201" s="30">
        <f t="shared" si="71"/>
        <v>28687.253770630894</v>
      </c>
      <c r="U201">
        <f t="shared" si="72"/>
        <v>0</v>
      </c>
      <c r="V201" s="30">
        <f t="shared" si="73"/>
        <v>28687.253770630894</v>
      </c>
      <c r="W201" s="30">
        <f t="shared" si="63"/>
        <v>28687.253770630898</v>
      </c>
      <c r="X201" s="30">
        <f t="shared" si="74"/>
        <v>28687.253770630898</v>
      </c>
      <c r="Y201">
        <f t="shared" si="75"/>
        <v>0</v>
      </c>
    </row>
    <row r="202" spans="1:25" x14ac:dyDescent="0.25">
      <c r="A202" s="4" t="s">
        <v>1052</v>
      </c>
      <c r="B202" s="7" t="s">
        <v>547</v>
      </c>
      <c r="C202" s="2" t="s">
        <v>1053</v>
      </c>
      <c r="D202">
        <f>VLOOKUP(B202,'Model allocations'!$A$1:$L$319,5,FALSE)</f>
        <v>270979.87057597557</v>
      </c>
      <c r="E202" s="32">
        <f>VLOOKUP(B202,'Initial adjusted formula count'!$A$1:$P$319,12,FALSE)</f>
        <v>0.140625</v>
      </c>
      <c r="F202">
        <f>VLOOKUP(B202,'Model allocations'!$A$1:$L$319,10,FALSE)</f>
        <v>248251.99463461054</v>
      </c>
      <c r="G202" s="31">
        <f t="shared" si="64"/>
        <v>0.85</v>
      </c>
      <c r="H202">
        <f t="shared" si="65"/>
        <v>230332.88998957921</v>
      </c>
      <c r="I202">
        <f t="shared" si="57"/>
        <v>0</v>
      </c>
      <c r="J202">
        <f t="shared" si="58"/>
        <v>248251.99463461054</v>
      </c>
      <c r="K202">
        <f t="shared" si="59"/>
        <v>248199.46009634435</v>
      </c>
      <c r="L202">
        <f t="shared" si="66"/>
        <v>248199.46009634435</v>
      </c>
      <c r="M202">
        <f t="shared" si="60"/>
        <v>0</v>
      </c>
      <c r="N202" s="30">
        <f t="shared" si="67"/>
        <v>248199.46009634435</v>
      </c>
      <c r="O202" s="30">
        <f t="shared" si="61"/>
        <v>248192.56951916424</v>
      </c>
      <c r="P202" s="30">
        <f t="shared" si="68"/>
        <v>248192.56951916424</v>
      </c>
      <c r="Q202">
        <f t="shared" si="69"/>
        <v>0</v>
      </c>
      <c r="R202" s="30">
        <f t="shared" si="70"/>
        <v>248192.56951916424</v>
      </c>
      <c r="S202" s="30">
        <f t="shared" si="62"/>
        <v>248192.56951916419</v>
      </c>
      <c r="T202" s="30">
        <f t="shared" si="71"/>
        <v>248192.56951916419</v>
      </c>
      <c r="U202">
        <f t="shared" si="72"/>
        <v>0</v>
      </c>
      <c r="V202" s="30">
        <f t="shared" si="73"/>
        <v>248192.56951916419</v>
      </c>
      <c r="W202" s="30">
        <f t="shared" si="63"/>
        <v>248192.56951916419</v>
      </c>
      <c r="X202" s="30">
        <f t="shared" si="74"/>
        <v>248192.56951916419</v>
      </c>
      <c r="Y202">
        <f t="shared" si="75"/>
        <v>0</v>
      </c>
    </row>
    <row r="203" spans="1:25" x14ac:dyDescent="0.25">
      <c r="A203" s="4" t="s">
        <v>1054</v>
      </c>
      <c r="B203" s="7" t="s">
        <v>549</v>
      </c>
      <c r="C203" s="2" t="s">
        <v>1055</v>
      </c>
      <c r="D203">
        <f>VLOOKUP(B203,'Model allocations'!$A$1:$L$319,5,FALSE)</f>
        <v>121684.70869171467</v>
      </c>
      <c r="E203" s="32">
        <f>VLOOKUP(B203,'Initial adjusted formula count'!$A$1:$P$319,12,FALSE)</f>
        <v>0.13839285714285701</v>
      </c>
      <c r="F203">
        <f>VLOOKUP(B203,'Model allocations'!$A$1:$L$319,10,FALSE)</f>
        <v>103432.00238795746</v>
      </c>
      <c r="G203" s="31">
        <f t="shared" si="64"/>
        <v>0.85</v>
      </c>
      <c r="H203">
        <f t="shared" si="65"/>
        <v>103432.00238795746</v>
      </c>
      <c r="I203">
        <f t="shared" si="57"/>
        <v>0</v>
      </c>
      <c r="J203">
        <f t="shared" si="58"/>
        <v>103432.00238795746</v>
      </c>
      <c r="K203">
        <f t="shared" si="59"/>
        <v>103410.11433628079</v>
      </c>
      <c r="L203">
        <f t="shared" si="66"/>
        <v>103410.11433628079</v>
      </c>
      <c r="M203">
        <f t="shared" si="60"/>
        <v>103432.00238795746</v>
      </c>
      <c r="N203" s="30">
        <f t="shared" si="67"/>
        <v>0</v>
      </c>
      <c r="O203" s="30">
        <f t="shared" si="61"/>
        <v>0</v>
      </c>
      <c r="P203" s="30">
        <f t="shared" si="68"/>
        <v>103432.00238795746</v>
      </c>
      <c r="Q203">
        <f t="shared" si="69"/>
        <v>0</v>
      </c>
      <c r="R203" s="30">
        <f t="shared" si="70"/>
        <v>0</v>
      </c>
      <c r="S203" s="30">
        <f t="shared" si="62"/>
        <v>0</v>
      </c>
      <c r="T203" s="30">
        <f t="shared" si="71"/>
        <v>103432.00238795746</v>
      </c>
      <c r="U203">
        <f t="shared" si="72"/>
        <v>0</v>
      </c>
      <c r="V203" s="30">
        <f t="shared" si="73"/>
        <v>0</v>
      </c>
      <c r="W203" s="30">
        <f t="shared" si="63"/>
        <v>0</v>
      </c>
      <c r="X203" s="30">
        <f t="shared" si="74"/>
        <v>103432.00238795746</v>
      </c>
      <c r="Y203">
        <f t="shared" si="75"/>
        <v>0</v>
      </c>
    </row>
    <row r="204" spans="1:25" x14ac:dyDescent="0.25">
      <c r="A204" s="4" t="s">
        <v>1056</v>
      </c>
      <c r="B204" s="7" t="s">
        <v>551</v>
      </c>
      <c r="C204" s="2" t="s">
        <v>1057</v>
      </c>
      <c r="D204">
        <f>VLOOKUP(B204,'Model allocations'!$A$1:$L$319,5,FALSE)</f>
        <v>19243.498055395372</v>
      </c>
      <c r="E204" s="32">
        <f>VLOOKUP(B204,'Initial adjusted formula count'!$A$1:$P$319,12,FALSE)</f>
        <v>0.14202898550724599</v>
      </c>
      <c r="F204">
        <f>VLOOKUP(B204,'Model allocations'!$A$1:$L$319,10,FALSE)</f>
        <v>20173.047656875482</v>
      </c>
      <c r="G204" s="31">
        <f t="shared" si="64"/>
        <v>0.85</v>
      </c>
      <c r="H204">
        <f t="shared" si="65"/>
        <v>16356.973347086066</v>
      </c>
      <c r="I204">
        <f t="shared" si="57"/>
        <v>0</v>
      </c>
      <c r="J204">
        <f t="shared" si="58"/>
        <v>20173.047656875482</v>
      </c>
      <c r="K204">
        <f t="shared" si="59"/>
        <v>20168.778681129141</v>
      </c>
      <c r="L204">
        <f t="shared" si="66"/>
        <v>20168.778681129141</v>
      </c>
      <c r="M204">
        <f t="shared" si="60"/>
        <v>0</v>
      </c>
      <c r="N204" s="30">
        <f t="shared" si="67"/>
        <v>20168.778681129141</v>
      </c>
      <c r="O204" s="30">
        <f t="shared" si="61"/>
        <v>20168.218750313514</v>
      </c>
      <c r="P204" s="30">
        <f t="shared" si="68"/>
        <v>20168.218750313514</v>
      </c>
      <c r="Q204">
        <f t="shared" si="69"/>
        <v>0</v>
      </c>
      <c r="R204" s="30">
        <f t="shared" si="70"/>
        <v>20168.218750313514</v>
      </c>
      <c r="S204" s="30">
        <f t="shared" si="62"/>
        <v>20168.21875031351</v>
      </c>
      <c r="T204" s="30">
        <f t="shared" si="71"/>
        <v>20168.21875031351</v>
      </c>
      <c r="U204">
        <f t="shared" si="72"/>
        <v>0</v>
      </c>
      <c r="V204" s="30">
        <f t="shared" si="73"/>
        <v>20168.21875031351</v>
      </c>
      <c r="W204" s="30">
        <f t="shared" si="63"/>
        <v>20168.218750313514</v>
      </c>
      <c r="X204" s="30">
        <f t="shared" si="74"/>
        <v>20168.218750313514</v>
      </c>
      <c r="Y204">
        <f t="shared" si="75"/>
        <v>0</v>
      </c>
    </row>
    <row r="205" spans="1:25" x14ac:dyDescent="0.25">
      <c r="A205" s="4" t="s">
        <v>34</v>
      </c>
      <c r="B205" s="7" t="s">
        <v>81</v>
      </c>
      <c r="C205" s="2" t="s">
        <v>1058</v>
      </c>
      <c r="D205">
        <f>VLOOKUP(B205,'Model allocations'!$A$1:$L$319,5,FALSE)</f>
        <v>56913.968628857387</v>
      </c>
      <c r="E205" s="32">
        <f>VLOOKUP(B205,'Initial adjusted formula count'!$A$1:$P$319,12,FALSE)</f>
        <v>0.123366242058152</v>
      </c>
      <c r="F205">
        <f>VLOOKUP(B205,'Model allocations'!$A$1:$L$319,10,FALSE)</f>
        <v>46312.913131680521</v>
      </c>
      <c r="G205" s="31">
        <f t="shared" si="64"/>
        <v>0.85</v>
      </c>
      <c r="H205">
        <f t="shared" si="65"/>
        <v>48376.873334528776</v>
      </c>
      <c r="I205">
        <f t="shared" si="57"/>
        <v>48376.873334528776</v>
      </c>
      <c r="J205">
        <f t="shared" si="58"/>
        <v>0</v>
      </c>
      <c r="K205">
        <f t="shared" si="59"/>
        <v>0</v>
      </c>
      <c r="L205">
        <f t="shared" si="66"/>
        <v>48376.873334528776</v>
      </c>
      <c r="M205">
        <f t="shared" si="60"/>
        <v>0</v>
      </c>
      <c r="N205" s="30">
        <f t="shared" si="67"/>
        <v>0</v>
      </c>
      <c r="O205" s="30">
        <f t="shared" si="61"/>
        <v>0</v>
      </c>
      <c r="P205" s="30">
        <f t="shared" si="68"/>
        <v>48376.873334528776</v>
      </c>
      <c r="Q205">
        <f t="shared" si="69"/>
        <v>0</v>
      </c>
      <c r="R205" s="30">
        <f t="shared" si="70"/>
        <v>0</v>
      </c>
      <c r="S205" s="30">
        <f t="shared" si="62"/>
        <v>0</v>
      </c>
      <c r="T205" s="30">
        <f t="shared" si="71"/>
        <v>48376.873334528776</v>
      </c>
      <c r="U205">
        <f t="shared" si="72"/>
        <v>0</v>
      </c>
      <c r="V205" s="30">
        <f t="shared" si="73"/>
        <v>0</v>
      </c>
      <c r="W205" s="30">
        <f t="shared" si="63"/>
        <v>0</v>
      </c>
      <c r="X205" s="30">
        <f t="shared" si="74"/>
        <v>48376.873334528776</v>
      </c>
      <c r="Y205">
        <f t="shared" si="75"/>
        <v>0</v>
      </c>
    </row>
    <row r="206" spans="1:25" x14ac:dyDescent="0.25">
      <c r="A206" s="4" t="s">
        <v>1059</v>
      </c>
      <c r="B206" s="7" t="s">
        <v>553</v>
      </c>
      <c r="C206" s="2" t="s">
        <v>1060</v>
      </c>
      <c r="D206">
        <f>VLOOKUP(B206,'Model allocations'!$A$1:$L$319,5,FALSE)</f>
        <v>154101.11279566705</v>
      </c>
      <c r="E206" s="32">
        <f>VLOOKUP(B206,'Initial adjusted formula count'!$A$1:$P$319,12,FALSE)</f>
        <v>0.11789038262668</v>
      </c>
      <c r="F206">
        <f>VLOOKUP(B206,'Model allocations'!$A$1:$L$319,10,FALSE)</f>
        <v>140799.63874798812</v>
      </c>
      <c r="G206" s="31">
        <f t="shared" si="64"/>
        <v>0.85</v>
      </c>
      <c r="H206">
        <f t="shared" si="65"/>
        <v>130985.945876317</v>
      </c>
      <c r="I206">
        <f t="shared" si="57"/>
        <v>0</v>
      </c>
      <c r="J206">
        <f t="shared" si="58"/>
        <v>140799.63874798812</v>
      </c>
      <c r="K206">
        <f t="shared" si="59"/>
        <v>140769.84303971773</v>
      </c>
      <c r="L206">
        <f t="shared" si="66"/>
        <v>140769.84303971773</v>
      </c>
      <c r="M206">
        <f t="shared" si="60"/>
        <v>0</v>
      </c>
      <c r="N206" s="30">
        <f t="shared" si="67"/>
        <v>140769.84303971773</v>
      </c>
      <c r="O206" s="30">
        <f t="shared" si="61"/>
        <v>140765.93495116782</v>
      </c>
      <c r="P206" s="30">
        <f t="shared" si="68"/>
        <v>140765.93495116782</v>
      </c>
      <c r="Q206">
        <f t="shared" si="69"/>
        <v>0</v>
      </c>
      <c r="R206" s="30">
        <f t="shared" si="70"/>
        <v>140765.93495116782</v>
      </c>
      <c r="S206" s="30">
        <f t="shared" si="62"/>
        <v>140765.93495116779</v>
      </c>
      <c r="T206" s="30">
        <f t="shared" si="71"/>
        <v>140765.93495116779</v>
      </c>
      <c r="U206">
        <f t="shared" si="72"/>
        <v>0</v>
      </c>
      <c r="V206" s="30">
        <f t="shared" si="73"/>
        <v>140765.93495116779</v>
      </c>
      <c r="W206" s="30">
        <f t="shared" si="63"/>
        <v>140765.93495116779</v>
      </c>
      <c r="X206" s="30">
        <f t="shared" si="74"/>
        <v>140765.93495116779</v>
      </c>
      <c r="Y206">
        <f t="shared" si="75"/>
        <v>0</v>
      </c>
    </row>
    <row r="207" spans="1:25" x14ac:dyDescent="0.25">
      <c r="A207" s="4" t="s">
        <v>21</v>
      </c>
      <c r="B207" s="7" t="s">
        <v>61</v>
      </c>
      <c r="C207" s="2" t="s">
        <v>1061</v>
      </c>
      <c r="D207">
        <f>VLOOKUP(B207,'Model allocations'!$A$1:$L$319,5,FALSE)</f>
        <v>138876.23597605119</v>
      </c>
      <c r="E207" s="32">
        <f>VLOOKUP(B207,'Initial adjusted formula count'!$A$1:$P$319,12,FALSE)</f>
        <v>0.10242579001174899</v>
      </c>
      <c r="F207">
        <f>VLOOKUP(B207,'Model allocations'!$A$1:$L$319,10,FALSE)</f>
        <v>129698.55206608561</v>
      </c>
      <c r="G207" s="31">
        <f t="shared" si="64"/>
        <v>0.85</v>
      </c>
      <c r="H207">
        <f t="shared" si="65"/>
        <v>118044.8005796435</v>
      </c>
      <c r="I207">
        <f t="shared" si="57"/>
        <v>0</v>
      </c>
      <c r="J207">
        <f t="shared" si="58"/>
        <v>129698.55206608561</v>
      </c>
      <c r="K207">
        <f t="shared" si="59"/>
        <v>129671.10554523645</v>
      </c>
      <c r="L207">
        <f t="shared" si="66"/>
        <v>129671.10554523645</v>
      </c>
      <c r="M207">
        <f t="shared" si="60"/>
        <v>0</v>
      </c>
      <c r="N207" s="30">
        <f t="shared" si="67"/>
        <v>129671.10554523645</v>
      </c>
      <c r="O207" s="30">
        <f t="shared" si="61"/>
        <v>129667.50558268842</v>
      </c>
      <c r="P207" s="30">
        <f t="shared" si="68"/>
        <v>129667.50558268842</v>
      </c>
      <c r="Q207">
        <f t="shared" si="69"/>
        <v>0</v>
      </c>
      <c r="R207" s="30">
        <f t="shared" si="70"/>
        <v>129667.50558268842</v>
      </c>
      <c r="S207" s="30">
        <f t="shared" si="62"/>
        <v>129667.50558268839</v>
      </c>
      <c r="T207" s="30">
        <f t="shared" si="71"/>
        <v>129667.50558268839</v>
      </c>
      <c r="U207">
        <f t="shared" si="72"/>
        <v>0</v>
      </c>
      <c r="V207" s="30">
        <f t="shared" si="73"/>
        <v>129667.50558268839</v>
      </c>
      <c r="W207" s="30">
        <f t="shared" si="63"/>
        <v>129667.50558268839</v>
      </c>
      <c r="X207" s="30">
        <f t="shared" si="74"/>
        <v>129667.50558268839</v>
      </c>
      <c r="Y207">
        <f t="shared" si="75"/>
        <v>0</v>
      </c>
    </row>
    <row r="208" spans="1:25" x14ac:dyDescent="0.25">
      <c r="A208" s="4" t="s">
        <v>20</v>
      </c>
      <c r="B208" s="7" t="s">
        <v>74</v>
      </c>
      <c r="C208" s="2" t="s">
        <v>1062</v>
      </c>
      <c r="D208">
        <f>VLOOKUP(B208,'Model allocations'!$A$1:$L$319,5,FALSE)</f>
        <v>7221.4585944136534</v>
      </c>
      <c r="E208" s="32">
        <f>VLOOKUP(B208,'Initial adjusted formula count'!$A$1:$P$319,12,FALSE)</f>
        <v>0.11209878960701999</v>
      </c>
      <c r="F208">
        <f>VLOOKUP(B208,'Model allocations'!$A$1:$L$319,10,FALSE)</f>
        <v>7395.8330306394901</v>
      </c>
      <c r="G208" s="31">
        <f t="shared" si="64"/>
        <v>0.85</v>
      </c>
      <c r="H208">
        <f t="shared" si="65"/>
        <v>6138.2398052516055</v>
      </c>
      <c r="I208">
        <f t="shared" si="57"/>
        <v>0</v>
      </c>
      <c r="J208">
        <f t="shared" si="58"/>
        <v>7395.8330306394901</v>
      </c>
      <c r="K208">
        <f t="shared" si="59"/>
        <v>7394.2679408043387</v>
      </c>
      <c r="L208">
        <f t="shared" si="66"/>
        <v>7394.2679408043387</v>
      </c>
      <c r="M208">
        <f t="shared" si="60"/>
        <v>0</v>
      </c>
      <c r="N208" s="30">
        <f t="shared" si="67"/>
        <v>7394.2679408043387</v>
      </c>
      <c r="O208" s="30">
        <f t="shared" si="61"/>
        <v>7394.0626592379867</v>
      </c>
      <c r="P208" s="30">
        <f t="shared" si="68"/>
        <v>7394.0626592379867</v>
      </c>
      <c r="Q208">
        <f t="shared" si="69"/>
        <v>0</v>
      </c>
      <c r="R208" s="30">
        <f t="shared" si="70"/>
        <v>7394.0626592379867</v>
      </c>
      <c r="S208" s="30">
        <f t="shared" si="62"/>
        <v>7394.0626592379849</v>
      </c>
      <c r="T208" s="30">
        <f t="shared" si="71"/>
        <v>7394.0626592379849</v>
      </c>
      <c r="U208">
        <f t="shared" si="72"/>
        <v>0</v>
      </c>
      <c r="V208" s="30">
        <f t="shared" si="73"/>
        <v>7394.0626592379849</v>
      </c>
      <c r="W208" s="30">
        <f t="shared" si="63"/>
        <v>7394.0626592379858</v>
      </c>
      <c r="X208" s="30">
        <f t="shared" si="74"/>
        <v>7394.0626592379858</v>
      </c>
      <c r="Y208">
        <f t="shared" si="75"/>
        <v>0</v>
      </c>
    </row>
    <row r="209" spans="1:25" x14ac:dyDescent="0.25">
      <c r="A209" s="4" t="s">
        <v>1063</v>
      </c>
      <c r="B209" s="7" t="s">
        <v>199</v>
      </c>
      <c r="C209" s="2" t="s">
        <v>1064</v>
      </c>
      <c r="D209">
        <f>VLOOKUP(B209,'Model allocations'!$A$1:$L$319,5,FALSE)</f>
        <v>979454.77857461316</v>
      </c>
      <c r="E209" s="32">
        <f>VLOOKUP(B209,'Initial adjusted formula count'!$A$1:$P$319,12,FALSE)</f>
        <v>7.2384904478546799E-2</v>
      </c>
      <c r="F209">
        <f>VLOOKUP(B209,'Model allocations'!$A$1:$L$319,10,FALSE)</f>
        <v>999595.09614068759</v>
      </c>
      <c r="G209" s="31">
        <f t="shared" si="64"/>
        <v>0.85</v>
      </c>
      <c r="H209">
        <f t="shared" si="65"/>
        <v>832536.56178842112</v>
      </c>
      <c r="I209">
        <f t="shared" si="57"/>
        <v>0</v>
      </c>
      <c r="J209">
        <f t="shared" si="58"/>
        <v>999595.09614068759</v>
      </c>
      <c r="K209">
        <f t="shared" si="59"/>
        <v>999383.56403635873</v>
      </c>
      <c r="L209">
        <f t="shared" si="66"/>
        <v>999383.56403635873</v>
      </c>
      <c r="M209">
        <f t="shared" si="60"/>
        <v>0</v>
      </c>
      <c r="N209" s="30">
        <f t="shared" si="67"/>
        <v>999383.56403635873</v>
      </c>
      <c r="O209" s="30">
        <f t="shared" si="61"/>
        <v>999355.81889308628</v>
      </c>
      <c r="P209" s="30">
        <f t="shared" si="68"/>
        <v>999355.81889308628</v>
      </c>
      <c r="Q209">
        <f t="shared" si="69"/>
        <v>0</v>
      </c>
      <c r="R209" s="30">
        <f t="shared" si="70"/>
        <v>999355.81889308628</v>
      </c>
      <c r="S209" s="30">
        <f t="shared" si="62"/>
        <v>999355.81889308617</v>
      </c>
      <c r="T209" s="30">
        <f t="shared" si="71"/>
        <v>999355.81889308617</v>
      </c>
      <c r="U209">
        <f t="shared" si="72"/>
        <v>0</v>
      </c>
      <c r="V209" s="30">
        <f t="shared" si="73"/>
        <v>999355.81889308617</v>
      </c>
      <c r="W209" s="30">
        <f t="shared" si="63"/>
        <v>999355.81889308628</v>
      </c>
      <c r="X209" s="30">
        <f t="shared" si="74"/>
        <v>999355.81889308628</v>
      </c>
      <c r="Y209">
        <f t="shared" si="75"/>
        <v>0</v>
      </c>
    </row>
    <row r="210" spans="1:25" x14ac:dyDescent="0.25">
      <c r="A210" s="4" t="s">
        <v>1065</v>
      </c>
      <c r="B210" s="7" t="s">
        <v>555</v>
      </c>
      <c r="C210" s="2" t="s">
        <v>1066</v>
      </c>
      <c r="D210">
        <f>VLOOKUP(B210,'Model allocations'!$A$1:$L$319,5,FALSE)</f>
        <v>0</v>
      </c>
      <c r="E210" s="32">
        <f>VLOOKUP(B210,'Initial adjusted formula count'!$A$1:$P$319,12,FALSE)</f>
        <v>0.34375</v>
      </c>
      <c r="F210">
        <f>VLOOKUP(B210,'Model allocations'!$A$1:$L$319,10,FALSE)</f>
        <v>8014.0519528313907</v>
      </c>
      <c r="G210" s="31">
        <f t="shared" si="64"/>
        <v>0.95</v>
      </c>
      <c r="H210">
        <f t="shared" si="65"/>
        <v>0</v>
      </c>
      <c r="I210">
        <f t="shared" si="57"/>
        <v>0</v>
      </c>
      <c r="J210">
        <f t="shared" si="58"/>
        <v>8014.0519528313907</v>
      </c>
      <c r="K210">
        <f t="shared" si="59"/>
        <v>8012.3560368746921</v>
      </c>
      <c r="L210">
        <f t="shared" si="66"/>
        <v>8012.3560368746921</v>
      </c>
      <c r="M210">
        <f t="shared" si="60"/>
        <v>0</v>
      </c>
      <c r="N210" s="30">
        <f t="shared" si="67"/>
        <v>8012.3560368746921</v>
      </c>
      <c r="O210" s="30">
        <f t="shared" si="61"/>
        <v>8012.1335957878146</v>
      </c>
      <c r="P210" s="30">
        <f t="shared" si="68"/>
        <v>8012.1335957878146</v>
      </c>
      <c r="Q210">
        <f t="shared" si="69"/>
        <v>0</v>
      </c>
      <c r="R210" s="30">
        <f t="shared" si="70"/>
        <v>8012.1335957878146</v>
      </c>
      <c r="S210" s="30">
        <f t="shared" si="62"/>
        <v>8012.1335957878127</v>
      </c>
      <c r="T210" s="30">
        <f t="shared" si="71"/>
        <v>8012.1335957878127</v>
      </c>
      <c r="U210">
        <f t="shared" si="72"/>
        <v>0</v>
      </c>
      <c r="V210" s="30">
        <f t="shared" si="73"/>
        <v>8012.1335957878127</v>
      </c>
      <c r="W210" s="30">
        <f t="shared" si="63"/>
        <v>8012.1335957878146</v>
      </c>
      <c r="X210" s="30">
        <f t="shared" si="74"/>
        <v>8012.1335957878146</v>
      </c>
      <c r="Y210">
        <f t="shared" si="75"/>
        <v>0</v>
      </c>
    </row>
    <row r="211" spans="1:25" x14ac:dyDescent="0.25">
      <c r="A211" s="4" t="s">
        <v>1067</v>
      </c>
      <c r="B211" s="7" t="s">
        <v>557</v>
      </c>
      <c r="C211" s="2" t="s">
        <v>1068</v>
      </c>
      <c r="D211">
        <f>VLOOKUP(B211,'Model allocations'!$A$1:$L$319,5,FALSE)</f>
        <v>11024.338518626775</v>
      </c>
      <c r="E211" s="32">
        <f>VLOOKUP(B211,'Initial adjusted formula count'!$A$1:$P$319,12,FALSE)</f>
        <v>0.14572864321608001</v>
      </c>
      <c r="F211">
        <f>VLOOKUP(B211,'Model allocations'!$A$1:$L$319,10,FALSE)</f>
        <v>11939.150654069164</v>
      </c>
      <c r="G211" s="31">
        <f t="shared" si="64"/>
        <v>0.85</v>
      </c>
      <c r="H211">
        <f t="shared" si="65"/>
        <v>9370.6877408327582</v>
      </c>
      <c r="I211">
        <f t="shared" si="57"/>
        <v>0</v>
      </c>
      <c r="J211">
        <f t="shared" si="58"/>
        <v>11939.150654069164</v>
      </c>
      <c r="K211">
        <f t="shared" si="59"/>
        <v>11936.624117402964</v>
      </c>
      <c r="L211">
        <f t="shared" si="66"/>
        <v>11936.624117402964</v>
      </c>
      <c r="M211">
        <f t="shared" si="60"/>
        <v>0</v>
      </c>
      <c r="N211" s="30">
        <f t="shared" si="67"/>
        <v>11936.624117402964</v>
      </c>
      <c r="O211" s="30">
        <f t="shared" si="61"/>
        <v>11936.292729777388</v>
      </c>
      <c r="P211" s="30">
        <f t="shared" si="68"/>
        <v>11936.292729777388</v>
      </c>
      <c r="Q211">
        <f t="shared" si="69"/>
        <v>0</v>
      </c>
      <c r="R211" s="30">
        <f t="shared" si="70"/>
        <v>11936.292729777388</v>
      </c>
      <c r="S211" s="30">
        <f t="shared" si="62"/>
        <v>11936.292729777386</v>
      </c>
      <c r="T211" s="30">
        <f t="shared" si="71"/>
        <v>11936.292729777386</v>
      </c>
      <c r="U211">
        <f t="shared" si="72"/>
        <v>0</v>
      </c>
      <c r="V211" s="30">
        <f t="shared" si="73"/>
        <v>11936.292729777386</v>
      </c>
      <c r="W211" s="30">
        <f t="shared" si="63"/>
        <v>11936.292729777388</v>
      </c>
      <c r="X211" s="30">
        <f t="shared" si="74"/>
        <v>11936.292729777388</v>
      </c>
      <c r="Y211">
        <f t="shared" si="75"/>
        <v>0</v>
      </c>
    </row>
    <row r="212" spans="1:25" x14ac:dyDescent="0.25">
      <c r="A212" s="4" t="s">
        <v>1069</v>
      </c>
      <c r="B212" s="7" t="s">
        <v>559</v>
      </c>
      <c r="C212" s="2" t="s">
        <v>1070</v>
      </c>
      <c r="D212">
        <f>VLOOKUP(B212,'Model allocations'!$A$1:$L$319,5,FALSE)</f>
        <v>177649.29740624141</v>
      </c>
      <c r="E212" s="32">
        <f>VLOOKUP(B212,'Initial adjusted formula count'!$A$1:$P$319,12,FALSE)</f>
        <v>0.23464163822525599</v>
      </c>
      <c r="F212">
        <f>VLOOKUP(B212,'Model allocations'!$A$1:$L$319,10,FALSE)</f>
        <v>159884.36766561729</v>
      </c>
      <c r="G212" s="31">
        <f t="shared" si="64"/>
        <v>0.9</v>
      </c>
      <c r="H212">
        <f t="shared" si="65"/>
        <v>159884.36766561729</v>
      </c>
      <c r="I212">
        <f t="shared" si="57"/>
        <v>0</v>
      </c>
      <c r="J212">
        <f t="shared" si="58"/>
        <v>159884.36766561729</v>
      </c>
      <c r="K212">
        <f t="shared" si="59"/>
        <v>159850.5332892061</v>
      </c>
      <c r="L212">
        <f t="shared" si="66"/>
        <v>159850.5332892061</v>
      </c>
      <c r="M212">
        <f t="shared" si="60"/>
        <v>159884.36766561729</v>
      </c>
      <c r="N212" s="30">
        <f t="shared" si="67"/>
        <v>0</v>
      </c>
      <c r="O212" s="30">
        <f t="shared" si="61"/>
        <v>0</v>
      </c>
      <c r="P212" s="30">
        <f t="shared" si="68"/>
        <v>159884.36766561729</v>
      </c>
      <c r="Q212">
        <f t="shared" si="69"/>
        <v>0</v>
      </c>
      <c r="R212" s="30">
        <f t="shared" si="70"/>
        <v>0</v>
      </c>
      <c r="S212" s="30">
        <f t="shared" si="62"/>
        <v>0</v>
      </c>
      <c r="T212" s="30">
        <f t="shared" si="71"/>
        <v>159884.36766561729</v>
      </c>
      <c r="U212">
        <f t="shared" si="72"/>
        <v>0</v>
      </c>
      <c r="V212" s="30">
        <f t="shared" si="73"/>
        <v>0</v>
      </c>
      <c r="W212" s="30">
        <f t="shared" si="63"/>
        <v>0</v>
      </c>
      <c r="X212" s="30">
        <f t="shared" si="74"/>
        <v>159884.36766561729</v>
      </c>
      <c r="Y212">
        <f t="shared" si="75"/>
        <v>0</v>
      </c>
    </row>
    <row r="213" spans="1:25" x14ac:dyDescent="0.25">
      <c r="A213" s="4" t="s">
        <v>1071</v>
      </c>
      <c r="B213" s="7" t="s">
        <v>449</v>
      </c>
      <c r="C213" s="2" t="s">
        <v>1072</v>
      </c>
      <c r="D213">
        <f>VLOOKUP(B213,'Model allocations'!$A$1:$L$319,5,FALSE)</f>
        <v>20715.900563748197</v>
      </c>
      <c r="E213" s="32">
        <f>VLOOKUP(B213,'Initial adjusted formula count'!$A$1:$P$319,12,FALSE)</f>
        <v>0.229885057471264</v>
      </c>
      <c r="F213">
        <f>VLOOKUP(B213,'Model allocations'!$A$1:$L$319,10,FALSE)</f>
        <v>20920.088547197593</v>
      </c>
      <c r="G213" s="31">
        <f t="shared" si="64"/>
        <v>0.9</v>
      </c>
      <c r="H213">
        <f t="shared" si="65"/>
        <v>18644.310507373379</v>
      </c>
      <c r="I213">
        <f t="shared" si="57"/>
        <v>0</v>
      </c>
      <c r="J213">
        <f t="shared" si="58"/>
        <v>20920.088547197593</v>
      </c>
      <c r="K213">
        <f t="shared" si="59"/>
        <v>20915.661484309607</v>
      </c>
      <c r="L213">
        <f t="shared" si="66"/>
        <v>20915.661484309607</v>
      </c>
      <c r="M213">
        <f t="shared" si="60"/>
        <v>0</v>
      </c>
      <c r="N213" s="30">
        <f t="shared" si="67"/>
        <v>20915.661484309607</v>
      </c>
      <c r="O213" s="30">
        <f t="shared" si="61"/>
        <v>20915.080818341703</v>
      </c>
      <c r="P213" s="30">
        <f t="shared" si="68"/>
        <v>20915.080818341703</v>
      </c>
      <c r="Q213">
        <f t="shared" si="69"/>
        <v>0</v>
      </c>
      <c r="R213" s="30">
        <f t="shared" si="70"/>
        <v>20915.080818341703</v>
      </c>
      <c r="S213" s="30">
        <f t="shared" si="62"/>
        <v>20915.080818341696</v>
      </c>
      <c r="T213" s="30">
        <f t="shared" si="71"/>
        <v>20915.080818341696</v>
      </c>
      <c r="U213">
        <f t="shared" si="72"/>
        <v>0</v>
      </c>
      <c r="V213" s="30">
        <f t="shared" si="73"/>
        <v>20915.080818341696</v>
      </c>
      <c r="W213" s="30">
        <f t="shared" si="63"/>
        <v>20915.080818341696</v>
      </c>
      <c r="X213" s="30">
        <f t="shared" si="74"/>
        <v>20915.080818341696</v>
      </c>
      <c r="Y213">
        <f t="shared" si="75"/>
        <v>0</v>
      </c>
    </row>
    <row r="214" spans="1:25" x14ac:dyDescent="0.25">
      <c r="A214" s="4" t="s">
        <v>1073</v>
      </c>
      <c r="B214" s="7" t="s">
        <v>561</v>
      </c>
      <c r="C214" s="2" t="s">
        <v>1074</v>
      </c>
      <c r="D214">
        <f>VLOOKUP(B214,'Model allocations'!$A$1:$L$319,5,FALSE)</f>
        <v>220733.04824658891</v>
      </c>
      <c r="E214" s="32">
        <f>VLOOKUP(B214,'Initial adjusted formula count'!$A$1:$P$319,12,FALSE)</f>
        <v>0.152104591836735</v>
      </c>
      <c r="F214">
        <f>VLOOKUP(B214,'Model allocations'!$A$1:$L$319,10,FALSE)</f>
        <v>198659.74342193003</v>
      </c>
      <c r="G214" s="31">
        <f t="shared" si="64"/>
        <v>0.9</v>
      </c>
      <c r="H214">
        <f t="shared" si="65"/>
        <v>198659.74342193003</v>
      </c>
      <c r="I214">
        <f t="shared" si="57"/>
        <v>0</v>
      </c>
      <c r="J214">
        <f t="shared" si="58"/>
        <v>198659.74342193003</v>
      </c>
      <c r="K214">
        <f t="shared" si="59"/>
        <v>198617.70348622632</v>
      </c>
      <c r="L214">
        <f t="shared" si="66"/>
        <v>198617.70348622632</v>
      </c>
      <c r="M214">
        <f t="shared" si="60"/>
        <v>198659.74342193003</v>
      </c>
      <c r="N214" s="30">
        <f t="shared" si="67"/>
        <v>0</v>
      </c>
      <c r="O214" s="30">
        <f t="shared" si="61"/>
        <v>0</v>
      </c>
      <c r="P214" s="30">
        <f t="shared" si="68"/>
        <v>198659.74342193003</v>
      </c>
      <c r="Q214">
        <f t="shared" si="69"/>
        <v>0</v>
      </c>
      <c r="R214" s="30">
        <f t="shared" si="70"/>
        <v>0</v>
      </c>
      <c r="S214" s="30">
        <f t="shared" si="62"/>
        <v>0</v>
      </c>
      <c r="T214" s="30">
        <f t="shared" si="71"/>
        <v>198659.74342193003</v>
      </c>
      <c r="U214">
        <f t="shared" si="72"/>
        <v>0</v>
      </c>
      <c r="V214" s="30">
        <f t="shared" si="73"/>
        <v>0</v>
      </c>
      <c r="W214" s="30">
        <f t="shared" si="63"/>
        <v>0</v>
      </c>
      <c r="X214" s="30">
        <f t="shared" si="74"/>
        <v>198659.74342193003</v>
      </c>
      <c r="Y214">
        <f t="shared" si="75"/>
        <v>0</v>
      </c>
    </row>
    <row r="215" spans="1:25" x14ac:dyDescent="0.25">
      <c r="A215" s="4" t="s">
        <v>1075</v>
      </c>
      <c r="B215" s="7" t="s">
        <v>201</v>
      </c>
      <c r="C215" s="2" t="s">
        <v>1076</v>
      </c>
      <c r="D215">
        <f>VLOOKUP(B215,'Model allocations'!$A$1:$L$319,5,FALSE)</f>
        <v>63228.636467727665</v>
      </c>
      <c r="E215" s="32">
        <f>VLOOKUP(B215,'Initial adjusted formula count'!$A$1:$P$319,12,FALSE)</f>
        <v>0.106341463414634</v>
      </c>
      <c r="F215">
        <f>VLOOKUP(B215,'Model allocations'!$A$1:$L$319,10,FALSE)</f>
        <v>53744.340997568514</v>
      </c>
      <c r="G215" s="31">
        <f t="shared" si="64"/>
        <v>0.85</v>
      </c>
      <c r="H215">
        <f t="shared" si="65"/>
        <v>53744.340997568514</v>
      </c>
      <c r="I215">
        <f t="shared" si="57"/>
        <v>0</v>
      </c>
      <c r="J215">
        <f t="shared" si="58"/>
        <v>53744.340997568514</v>
      </c>
      <c r="K215">
        <f t="shared" si="59"/>
        <v>53732.967738945219</v>
      </c>
      <c r="L215">
        <f t="shared" si="66"/>
        <v>53732.967738945219</v>
      </c>
      <c r="M215">
        <f t="shared" si="60"/>
        <v>53744.340997568514</v>
      </c>
      <c r="N215" s="30">
        <f t="shared" si="67"/>
        <v>0</v>
      </c>
      <c r="O215" s="30">
        <f t="shared" si="61"/>
        <v>0</v>
      </c>
      <c r="P215" s="30">
        <f t="shared" si="68"/>
        <v>53744.340997568514</v>
      </c>
      <c r="Q215">
        <f t="shared" si="69"/>
        <v>0</v>
      </c>
      <c r="R215" s="30">
        <f t="shared" si="70"/>
        <v>0</v>
      </c>
      <c r="S215" s="30">
        <f t="shared" si="62"/>
        <v>0</v>
      </c>
      <c r="T215" s="30">
        <f t="shared" si="71"/>
        <v>53744.340997568514</v>
      </c>
      <c r="U215">
        <f t="shared" si="72"/>
        <v>0</v>
      </c>
      <c r="V215" s="30">
        <f t="shared" si="73"/>
        <v>0</v>
      </c>
      <c r="W215" s="30">
        <f t="shared" si="63"/>
        <v>0</v>
      </c>
      <c r="X215" s="30">
        <f t="shared" si="74"/>
        <v>53744.340997568514</v>
      </c>
      <c r="Y215">
        <f t="shared" si="75"/>
        <v>0</v>
      </c>
    </row>
    <row r="216" spans="1:25" x14ac:dyDescent="0.25">
      <c r="A216" s="4" t="s">
        <v>15</v>
      </c>
      <c r="B216" s="7" t="s">
        <v>72</v>
      </c>
      <c r="C216" s="2" t="s">
        <v>1077</v>
      </c>
      <c r="D216">
        <f>VLOOKUP(B216,'Model allocations'!$A$1:$L$319,5,FALSE)</f>
        <v>34833.664755709484</v>
      </c>
      <c r="E216" s="32">
        <f>VLOOKUP(B216,'Initial adjusted formula count'!$A$1:$P$319,12,FALSE)</f>
        <v>0.154542884503613</v>
      </c>
      <c r="F216">
        <f>VLOOKUP(B216,'Model allocations'!$A$1:$L$319,10,FALSE)</f>
        <v>36002.711703651687</v>
      </c>
      <c r="G216" s="31">
        <f t="shared" si="64"/>
        <v>0.9</v>
      </c>
      <c r="H216">
        <f t="shared" si="65"/>
        <v>31350.298280138537</v>
      </c>
      <c r="I216">
        <f t="shared" si="57"/>
        <v>0</v>
      </c>
      <c r="J216">
        <f t="shared" si="58"/>
        <v>36002.711703651687</v>
      </c>
      <c r="K216">
        <f t="shared" si="59"/>
        <v>35995.092889396168</v>
      </c>
      <c r="L216">
        <f t="shared" si="66"/>
        <v>35995.092889396168</v>
      </c>
      <c r="M216">
        <f t="shared" si="60"/>
        <v>0</v>
      </c>
      <c r="N216" s="30">
        <f t="shared" si="67"/>
        <v>35995.092889396168</v>
      </c>
      <c r="O216" s="30">
        <f t="shared" si="61"/>
        <v>35994.093584379298</v>
      </c>
      <c r="P216" s="30">
        <f t="shared" si="68"/>
        <v>35994.093584379298</v>
      </c>
      <c r="Q216">
        <f t="shared" si="69"/>
        <v>0</v>
      </c>
      <c r="R216" s="30">
        <f t="shared" si="70"/>
        <v>35994.093584379298</v>
      </c>
      <c r="S216" s="30">
        <f t="shared" si="62"/>
        <v>35994.09358437929</v>
      </c>
      <c r="T216" s="30">
        <f t="shared" si="71"/>
        <v>35994.09358437929</v>
      </c>
      <c r="U216">
        <f t="shared" si="72"/>
        <v>0</v>
      </c>
      <c r="V216" s="30">
        <f t="shared" si="73"/>
        <v>35994.09358437929</v>
      </c>
      <c r="W216" s="30">
        <f t="shared" si="63"/>
        <v>35994.093584379298</v>
      </c>
      <c r="X216" s="30">
        <f t="shared" si="74"/>
        <v>35994.093584379298</v>
      </c>
      <c r="Y216">
        <f t="shared" si="75"/>
        <v>0</v>
      </c>
    </row>
    <row r="217" spans="1:25" x14ac:dyDescent="0.25">
      <c r="A217" s="4" t="s">
        <v>22</v>
      </c>
      <c r="B217" s="7" t="s">
        <v>75</v>
      </c>
      <c r="C217" s="2" t="s">
        <v>1078</v>
      </c>
      <c r="D217">
        <f>VLOOKUP(B217,'Model allocations'!$A$1:$L$319,5,FALSE)</f>
        <v>53876.426558837673</v>
      </c>
      <c r="E217" s="32">
        <f>VLOOKUP(B217,'Initial adjusted formula count'!$A$1:$P$319,12,FALSE)</f>
        <v>0.24748669826425601</v>
      </c>
      <c r="F217">
        <f>VLOOKUP(B217,'Model allocations'!$A$1:$L$319,10,FALSE)</f>
        <v>55078.844921876524</v>
      </c>
      <c r="G217" s="31">
        <f t="shared" si="64"/>
        <v>0.9</v>
      </c>
      <c r="H217">
        <f t="shared" si="65"/>
        <v>48488.78390295391</v>
      </c>
      <c r="I217">
        <f t="shared" si="57"/>
        <v>0</v>
      </c>
      <c r="J217">
        <f t="shared" si="58"/>
        <v>55078.844921876524</v>
      </c>
      <c r="K217">
        <f t="shared" si="59"/>
        <v>55067.1892584831</v>
      </c>
      <c r="L217">
        <f t="shared" si="66"/>
        <v>55067.1892584831</v>
      </c>
      <c r="M217">
        <f t="shared" si="60"/>
        <v>0</v>
      </c>
      <c r="N217" s="30">
        <f t="shared" si="67"/>
        <v>55067.1892584831</v>
      </c>
      <c r="O217" s="30">
        <f t="shared" si="61"/>
        <v>55065.660469026712</v>
      </c>
      <c r="P217" s="30">
        <f t="shared" si="68"/>
        <v>55065.660469026712</v>
      </c>
      <c r="Q217">
        <f t="shared" si="69"/>
        <v>0</v>
      </c>
      <c r="R217" s="30">
        <f t="shared" si="70"/>
        <v>55065.660469026712</v>
      </c>
      <c r="S217" s="30">
        <f t="shared" si="62"/>
        <v>55065.660469026698</v>
      </c>
      <c r="T217" s="30">
        <f t="shared" si="71"/>
        <v>55065.660469026698</v>
      </c>
      <c r="U217">
        <f t="shared" si="72"/>
        <v>0</v>
      </c>
      <c r="V217" s="30">
        <f t="shared" si="73"/>
        <v>55065.660469026698</v>
      </c>
      <c r="W217" s="30">
        <f t="shared" si="63"/>
        <v>55065.660469026705</v>
      </c>
      <c r="X217" s="30">
        <f t="shared" si="74"/>
        <v>55065.660469026705</v>
      </c>
      <c r="Y217">
        <f t="shared" si="75"/>
        <v>0</v>
      </c>
    </row>
    <row r="218" spans="1:25" x14ac:dyDescent="0.25">
      <c r="A218" s="4" t="s">
        <v>1079</v>
      </c>
      <c r="B218" s="7" t="s">
        <v>563</v>
      </c>
      <c r="C218" s="2" t="s">
        <v>1080</v>
      </c>
      <c r="D218">
        <f>VLOOKUP(B218,'Model allocations'!$A$1:$L$319,5,FALSE)</f>
        <v>46184.061517166294</v>
      </c>
      <c r="E218" s="32">
        <f>VLOOKUP(B218,'Initial adjusted formula count'!$A$1:$P$319,12,FALSE)</f>
        <v>0.17965023847376799</v>
      </c>
      <c r="F218">
        <f>VLOOKUP(B218,'Model allocations'!$A$1:$L$319,10,FALSE)</f>
        <v>51153.640917981938</v>
      </c>
      <c r="G218" s="31">
        <f t="shared" si="64"/>
        <v>0.9</v>
      </c>
      <c r="H218">
        <f t="shared" si="65"/>
        <v>41565.655365449667</v>
      </c>
      <c r="I218">
        <f t="shared" si="57"/>
        <v>0</v>
      </c>
      <c r="J218">
        <f t="shared" si="58"/>
        <v>51153.640917981938</v>
      </c>
      <c r="K218">
        <f t="shared" si="59"/>
        <v>51142.815897581939</v>
      </c>
      <c r="L218">
        <f t="shared" si="66"/>
        <v>51142.815897581939</v>
      </c>
      <c r="M218">
        <f t="shared" si="60"/>
        <v>0</v>
      </c>
      <c r="N218" s="30">
        <f t="shared" si="67"/>
        <v>51142.815897581939</v>
      </c>
      <c r="O218" s="30">
        <f t="shared" si="61"/>
        <v>51141.396057587073</v>
      </c>
      <c r="P218" s="30">
        <f t="shared" si="68"/>
        <v>51141.396057587073</v>
      </c>
      <c r="Q218">
        <f t="shared" si="69"/>
        <v>0</v>
      </c>
      <c r="R218" s="30">
        <f t="shared" si="70"/>
        <v>51141.396057587073</v>
      </c>
      <c r="S218" s="30">
        <f t="shared" si="62"/>
        <v>51141.396057587059</v>
      </c>
      <c r="T218" s="30">
        <f t="shared" si="71"/>
        <v>51141.396057587059</v>
      </c>
      <c r="U218">
        <f t="shared" si="72"/>
        <v>0</v>
      </c>
      <c r="V218" s="30">
        <f t="shared" si="73"/>
        <v>51141.396057587059</v>
      </c>
      <c r="W218" s="30">
        <f t="shared" si="63"/>
        <v>51141.396057587066</v>
      </c>
      <c r="X218" s="30">
        <f t="shared" si="74"/>
        <v>51141.396057587066</v>
      </c>
      <c r="Y218">
        <f t="shared" si="75"/>
        <v>0</v>
      </c>
    </row>
    <row r="219" spans="1:25" x14ac:dyDescent="0.25">
      <c r="A219" s="4" t="s">
        <v>1081</v>
      </c>
      <c r="B219" s="7" t="s">
        <v>565</v>
      </c>
      <c r="C219" s="2" t="s">
        <v>1082</v>
      </c>
      <c r="D219">
        <f>VLOOKUP(B219,'Model allocations'!$A$1:$L$319,5,FALSE)</f>
        <v>46410.664589699933</v>
      </c>
      <c r="E219" s="32">
        <f>VLOOKUP(B219,'Initial adjusted formula count'!$A$1:$P$319,12,FALSE)</f>
        <v>0.12676056338028199</v>
      </c>
      <c r="F219">
        <f>VLOOKUP(B219,'Model allocations'!$A$1:$L$319,10,FALSE)</f>
        <v>51873.551117679825</v>
      </c>
      <c r="G219" s="31">
        <f t="shared" si="64"/>
        <v>0.85</v>
      </c>
      <c r="H219">
        <f t="shared" si="65"/>
        <v>39449.064901244943</v>
      </c>
      <c r="I219">
        <f t="shared" si="57"/>
        <v>0</v>
      </c>
      <c r="J219">
        <f t="shared" si="58"/>
        <v>51873.551117679825</v>
      </c>
      <c r="K219">
        <f t="shared" si="59"/>
        <v>51862.573751474949</v>
      </c>
      <c r="L219">
        <f t="shared" si="66"/>
        <v>51862.573751474949</v>
      </c>
      <c r="M219">
        <f t="shared" si="60"/>
        <v>0</v>
      </c>
      <c r="N219" s="30">
        <f t="shared" si="67"/>
        <v>51862.573751474949</v>
      </c>
      <c r="O219" s="30">
        <f t="shared" si="61"/>
        <v>51861.133929377618</v>
      </c>
      <c r="P219" s="30">
        <f t="shared" si="68"/>
        <v>51861.133929377618</v>
      </c>
      <c r="Q219">
        <f t="shared" si="69"/>
        <v>0</v>
      </c>
      <c r="R219" s="30">
        <f t="shared" si="70"/>
        <v>51861.133929377618</v>
      </c>
      <c r="S219" s="30">
        <f t="shared" si="62"/>
        <v>51861.133929377604</v>
      </c>
      <c r="T219" s="30">
        <f t="shared" si="71"/>
        <v>51861.133929377604</v>
      </c>
      <c r="U219">
        <f t="shared" si="72"/>
        <v>0</v>
      </c>
      <c r="V219" s="30">
        <f t="shared" si="73"/>
        <v>51861.133929377604</v>
      </c>
      <c r="W219" s="30">
        <f t="shared" si="63"/>
        <v>51861.133929377611</v>
      </c>
      <c r="X219" s="30">
        <f t="shared" si="74"/>
        <v>51861.133929377611</v>
      </c>
      <c r="Y219">
        <f t="shared" si="75"/>
        <v>0</v>
      </c>
    </row>
    <row r="220" spans="1:25" x14ac:dyDescent="0.25">
      <c r="A220" s="4" t="s">
        <v>1083</v>
      </c>
      <c r="B220" s="7" t="s">
        <v>567</v>
      </c>
      <c r="C220" s="2" t="s">
        <v>1084</v>
      </c>
      <c r="D220">
        <f>VLOOKUP(B220,'Model allocations'!$A$1:$L$319,5,FALSE)</f>
        <v>1332287.3585864604</v>
      </c>
      <c r="E220" s="32">
        <f>VLOOKUP(B220,'Initial adjusted formula count'!$A$1:$P$319,12,FALSE)</f>
        <v>0.13021053749922801</v>
      </c>
      <c r="F220">
        <f>VLOOKUP(B220,'Model allocations'!$A$1:$L$319,10,FALSE)</f>
        <v>1271226.8934576819</v>
      </c>
      <c r="G220" s="31">
        <f t="shared" si="64"/>
        <v>0.85</v>
      </c>
      <c r="H220">
        <f t="shared" si="65"/>
        <v>1132444.2547984913</v>
      </c>
      <c r="I220">
        <f t="shared" si="57"/>
        <v>0</v>
      </c>
      <c r="J220">
        <f t="shared" si="58"/>
        <v>1271226.8934576819</v>
      </c>
      <c r="K220">
        <f t="shared" si="59"/>
        <v>1270957.8792329314</v>
      </c>
      <c r="L220">
        <f t="shared" si="66"/>
        <v>1270957.8792329314</v>
      </c>
      <c r="M220">
        <f t="shared" si="60"/>
        <v>0</v>
      </c>
      <c r="N220" s="30">
        <f t="shared" si="67"/>
        <v>1270957.8792329314</v>
      </c>
      <c r="O220" s="30">
        <f t="shared" si="61"/>
        <v>1270922.594573746</v>
      </c>
      <c r="P220" s="30">
        <f t="shared" si="68"/>
        <v>1270922.594573746</v>
      </c>
      <c r="Q220">
        <f t="shared" si="69"/>
        <v>0</v>
      </c>
      <c r="R220" s="30">
        <f t="shared" si="70"/>
        <v>1270922.594573746</v>
      </c>
      <c r="S220" s="30">
        <f t="shared" si="62"/>
        <v>1270922.5945737457</v>
      </c>
      <c r="T220" s="30">
        <f t="shared" si="71"/>
        <v>1270922.5945737457</v>
      </c>
      <c r="U220">
        <f t="shared" si="72"/>
        <v>0</v>
      </c>
      <c r="V220" s="30">
        <f t="shared" si="73"/>
        <v>1270922.5945737457</v>
      </c>
      <c r="W220" s="30">
        <f t="shared" si="63"/>
        <v>1270922.5945737457</v>
      </c>
      <c r="X220" s="30">
        <f t="shared" si="74"/>
        <v>1270922.5945737457</v>
      </c>
      <c r="Y220">
        <f t="shared" si="75"/>
        <v>0</v>
      </c>
    </row>
    <row r="221" spans="1:25" x14ac:dyDescent="0.25">
      <c r="A221" s="4" t="s">
        <v>1085</v>
      </c>
      <c r="B221" s="7" t="s">
        <v>568</v>
      </c>
      <c r="C221" s="2" t="s">
        <v>1086</v>
      </c>
      <c r="D221">
        <f>VLOOKUP(B221,'Model allocations'!$A$1:$L$319,5,FALSE)</f>
        <v>44932.301422996585</v>
      </c>
      <c r="E221" s="32">
        <f>VLOOKUP(B221,'Initial adjusted formula count'!$A$1:$P$319,12,FALSE)</f>
        <v>0.247910863509749</v>
      </c>
      <c r="F221">
        <f>VLOOKUP(B221,'Model allocations'!$A$1:$L$319,10,FALSE)</f>
        <v>49823.176963154721</v>
      </c>
      <c r="G221" s="31">
        <f t="shared" si="64"/>
        <v>0.9</v>
      </c>
      <c r="H221">
        <f t="shared" si="65"/>
        <v>40439.071280696924</v>
      </c>
      <c r="I221">
        <f t="shared" si="57"/>
        <v>0</v>
      </c>
      <c r="J221">
        <f t="shared" si="58"/>
        <v>49823.176963154721</v>
      </c>
      <c r="K221">
        <f t="shared" si="59"/>
        <v>49812.633492595436</v>
      </c>
      <c r="L221">
        <f t="shared" si="66"/>
        <v>49812.633492595436</v>
      </c>
      <c r="M221">
        <f t="shared" si="60"/>
        <v>0</v>
      </c>
      <c r="N221" s="30">
        <f t="shared" si="67"/>
        <v>49812.633492595436</v>
      </c>
      <c r="O221" s="30">
        <f t="shared" si="61"/>
        <v>49811.250581466258</v>
      </c>
      <c r="P221" s="30">
        <f t="shared" si="68"/>
        <v>49811.250581466258</v>
      </c>
      <c r="Q221">
        <f t="shared" si="69"/>
        <v>0</v>
      </c>
      <c r="R221" s="30">
        <f t="shared" si="70"/>
        <v>49811.250581466258</v>
      </c>
      <c r="S221" s="30">
        <f t="shared" si="62"/>
        <v>49811.250581466251</v>
      </c>
      <c r="T221" s="30">
        <f t="shared" si="71"/>
        <v>49811.250581466251</v>
      </c>
      <c r="U221">
        <f t="shared" si="72"/>
        <v>0</v>
      </c>
      <c r="V221" s="30">
        <f t="shared" si="73"/>
        <v>49811.250581466251</v>
      </c>
      <c r="W221" s="30">
        <f t="shared" si="63"/>
        <v>49811.250581466258</v>
      </c>
      <c r="X221" s="30">
        <f t="shared" si="74"/>
        <v>49811.250581466258</v>
      </c>
      <c r="Y221">
        <f t="shared" si="75"/>
        <v>0</v>
      </c>
    </row>
    <row r="222" spans="1:25" x14ac:dyDescent="0.25">
      <c r="A222" s="4" t="s">
        <v>1087</v>
      </c>
      <c r="B222" s="7" t="s">
        <v>203</v>
      </c>
      <c r="C222" s="2" t="s">
        <v>1088</v>
      </c>
      <c r="D222">
        <f>VLOOKUP(B222,'Model allocations'!$A$1:$L$319,5,FALSE)</f>
        <v>757369.10203734657</v>
      </c>
      <c r="E222" s="32">
        <f>VLOOKUP(B222,'Initial adjusted formula count'!$A$1:$P$319,12,FALSE)</f>
        <v>8.6653322141150596E-2</v>
      </c>
      <c r="F222">
        <f>VLOOKUP(B222,'Model allocations'!$A$1:$L$319,10,FALSE)</f>
        <v>686501.16260897694</v>
      </c>
      <c r="G222" s="31">
        <f t="shared" si="64"/>
        <v>0.85</v>
      </c>
      <c r="H222">
        <f t="shared" si="65"/>
        <v>643763.7367317446</v>
      </c>
      <c r="I222">
        <f t="shared" si="57"/>
        <v>0</v>
      </c>
      <c r="J222">
        <f t="shared" si="58"/>
        <v>686501.16260897694</v>
      </c>
      <c r="K222">
        <f t="shared" si="59"/>
        <v>686355.88675067027</v>
      </c>
      <c r="L222">
        <f t="shared" si="66"/>
        <v>686355.88675067027</v>
      </c>
      <c r="M222">
        <f t="shared" si="60"/>
        <v>0</v>
      </c>
      <c r="N222" s="30">
        <f t="shared" si="67"/>
        <v>686355.88675067027</v>
      </c>
      <c r="O222" s="30">
        <f t="shared" si="61"/>
        <v>686336.83196219965</v>
      </c>
      <c r="P222" s="30">
        <f t="shared" si="68"/>
        <v>686336.83196219965</v>
      </c>
      <c r="Q222">
        <f t="shared" si="69"/>
        <v>0</v>
      </c>
      <c r="R222" s="30">
        <f t="shared" si="70"/>
        <v>686336.83196219965</v>
      </c>
      <c r="S222" s="30">
        <f t="shared" si="62"/>
        <v>686336.83196219953</v>
      </c>
      <c r="T222" s="30">
        <f t="shared" si="71"/>
        <v>686336.83196219953</v>
      </c>
      <c r="U222">
        <f t="shared" si="72"/>
        <v>0</v>
      </c>
      <c r="V222" s="30">
        <f t="shared" si="73"/>
        <v>686336.83196219953</v>
      </c>
      <c r="W222" s="30">
        <f t="shared" si="63"/>
        <v>686336.83196219965</v>
      </c>
      <c r="X222" s="30">
        <f t="shared" si="74"/>
        <v>686336.83196219965</v>
      </c>
      <c r="Y222">
        <f t="shared" si="75"/>
        <v>0</v>
      </c>
    </row>
    <row r="223" spans="1:25" x14ac:dyDescent="0.25">
      <c r="A223" s="4" t="s">
        <v>1089</v>
      </c>
      <c r="B223" s="7" t="s">
        <v>205</v>
      </c>
      <c r="C223" s="2" t="s">
        <v>1090</v>
      </c>
      <c r="D223">
        <f>VLOOKUP(B223,'Model allocations'!$A$1:$L$319,5,FALSE)</f>
        <v>104071.97927917904</v>
      </c>
      <c r="E223" s="32">
        <f>VLOOKUP(B223,'Initial adjusted formula count'!$A$1:$P$319,12,FALSE)</f>
        <v>4.3057571359458202E-2</v>
      </c>
      <c r="F223">
        <f>VLOOKUP(B223,'Model allocations'!$A$1:$L$319,10,FALSE)</f>
        <v>0</v>
      </c>
      <c r="G223" s="31">
        <f t="shared" si="64"/>
        <v>0.85</v>
      </c>
      <c r="H223">
        <f t="shared" si="65"/>
        <v>0</v>
      </c>
      <c r="I223">
        <f t="shared" si="57"/>
        <v>0</v>
      </c>
      <c r="J223">
        <f t="shared" si="58"/>
        <v>0</v>
      </c>
      <c r="K223">
        <f t="shared" si="59"/>
        <v>0</v>
      </c>
      <c r="L223">
        <f t="shared" si="66"/>
        <v>0</v>
      </c>
      <c r="M223">
        <f t="shared" si="60"/>
        <v>0</v>
      </c>
      <c r="N223" s="30">
        <f t="shared" si="67"/>
        <v>0</v>
      </c>
      <c r="O223" s="30">
        <f t="shared" si="61"/>
        <v>0</v>
      </c>
      <c r="P223" s="30">
        <f t="shared" si="68"/>
        <v>0</v>
      </c>
      <c r="Q223">
        <f t="shared" si="69"/>
        <v>0</v>
      </c>
      <c r="R223" s="30">
        <f t="shared" si="70"/>
        <v>0</v>
      </c>
      <c r="S223" s="30">
        <f t="shared" si="62"/>
        <v>0</v>
      </c>
      <c r="T223" s="30">
        <f t="shared" si="71"/>
        <v>0</v>
      </c>
      <c r="U223">
        <f t="shared" si="72"/>
        <v>0</v>
      </c>
      <c r="V223" s="30">
        <f t="shared" si="73"/>
        <v>0</v>
      </c>
      <c r="W223" s="30">
        <f t="shared" si="63"/>
        <v>0</v>
      </c>
      <c r="X223" s="30">
        <f t="shared" si="74"/>
        <v>0</v>
      </c>
      <c r="Y223">
        <f t="shared" si="75"/>
        <v>0</v>
      </c>
    </row>
    <row r="224" spans="1:25" x14ac:dyDescent="0.25">
      <c r="A224" s="4" t="s">
        <v>1091</v>
      </c>
      <c r="B224" s="7" t="s">
        <v>207</v>
      </c>
      <c r="C224" s="2" t="s">
        <v>1092</v>
      </c>
      <c r="D224">
        <f>VLOOKUP(B224,'Model allocations'!$A$1:$L$319,5,FALSE)</f>
        <v>22385.293656276241</v>
      </c>
      <c r="E224" s="32">
        <f>VLOOKUP(B224,'Initial adjusted formula count'!$A$1:$P$319,12,FALSE)</f>
        <v>0.142517814726841</v>
      </c>
      <c r="F224">
        <f>VLOOKUP(B224,'Model allocations'!$A$1:$L$319,10,FALSE)</f>
        <v>24701.691008418959</v>
      </c>
      <c r="G224" s="31">
        <f t="shared" si="64"/>
        <v>0.85</v>
      </c>
      <c r="H224">
        <f t="shared" si="65"/>
        <v>19027.499607834805</v>
      </c>
      <c r="I224">
        <f t="shared" si="57"/>
        <v>0</v>
      </c>
      <c r="J224">
        <f t="shared" si="58"/>
        <v>24701.691008418959</v>
      </c>
      <c r="K224">
        <f t="shared" si="59"/>
        <v>24696.463691178542</v>
      </c>
      <c r="L224">
        <f t="shared" si="66"/>
        <v>24696.463691178542</v>
      </c>
      <c r="M224">
        <f t="shared" si="60"/>
        <v>0</v>
      </c>
      <c r="N224" s="30">
        <f t="shared" si="67"/>
        <v>24696.463691178542</v>
      </c>
      <c r="O224" s="30">
        <f t="shared" si="61"/>
        <v>24695.778061608384</v>
      </c>
      <c r="P224" s="30">
        <f t="shared" si="68"/>
        <v>24695.778061608384</v>
      </c>
      <c r="Q224">
        <f t="shared" si="69"/>
        <v>0</v>
      </c>
      <c r="R224" s="30">
        <f t="shared" si="70"/>
        <v>24695.778061608384</v>
      </c>
      <c r="S224" s="30">
        <f t="shared" si="62"/>
        <v>24695.778061608376</v>
      </c>
      <c r="T224" s="30">
        <f t="shared" si="71"/>
        <v>24695.778061608376</v>
      </c>
      <c r="U224">
        <f t="shared" si="72"/>
        <v>0</v>
      </c>
      <c r="V224" s="30">
        <f t="shared" si="73"/>
        <v>24695.778061608376</v>
      </c>
      <c r="W224" s="30">
        <f t="shared" si="63"/>
        <v>24695.778061608376</v>
      </c>
      <c r="X224" s="30">
        <f t="shared" si="74"/>
        <v>24695.778061608376</v>
      </c>
      <c r="Y224">
        <f t="shared" si="75"/>
        <v>0</v>
      </c>
    </row>
    <row r="225" spans="1:25" x14ac:dyDescent="0.25">
      <c r="A225" s="4" t="s">
        <v>1093</v>
      </c>
      <c r="B225" s="7" t="s">
        <v>300</v>
      </c>
      <c r="C225" s="2" t="s">
        <v>1094</v>
      </c>
      <c r="D225">
        <f>VLOOKUP(B225,'Model allocations'!$A$1:$L$319,5,FALSE)</f>
        <v>106428.32597983969</v>
      </c>
      <c r="E225" s="32">
        <f>VLOOKUP(B225,'Initial adjusted formula count'!$A$1:$P$319,12,FALSE)</f>
        <v>0.131862745098039</v>
      </c>
      <c r="F225">
        <f>VLOOKUP(B225,'Model allocations'!$A$1:$L$319,10,FALSE)</f>
        <v>110745.91468774501</v>
      </c>
      <c r="G225" s="31">
        <f t="shared" si="64"/>
        <v>0.85</v>
      </c>
      <c r="H225">
        <f t="shared" si="65"/>
        <v>90464.077082863732</v>
      </c>
      <c r="I225">
        <f t="shared" si="57"/>
        <v>0</v>
      </c>
      <c r="J225">
        <f t="shared" si="58"/>
        <v>110745.91468774501</v>
      </c>
      <c r="K225">
        <f t="shared" si="59"/>
        <v>110722.47888211714</v>
      </c>
      <c r="L225">
        <f t="shared" si="66"/>
        <v>110722.47888211714</v>
      </c>
      <c r="M225">
        <f t="shared" si="60"/>
        <v>0</v>
      </c>
      <c r="N225" s="30">
        <f t="shared" si="67"/>
        <v>110722.47888211714</v>
      </c>
      <c r="O225" s="30">
        <f t="shared" si="61"/>
        <v>110719.40497621094</v>
      </c>
      <c r="P225" s="30">
        <f t="shared" si="68"/>
        <v>110719.40497621094</v>
      </c>
      <c r="Q225">
        <f t="shared" si="69"/>
        <v>0</v>
      </c>
      <c r="R225" s="30">
        <f t="shared" si="70"/>
        <v>110719.40497621094</v>
      </c>
      <c r="S225" s="30">
        <f t="shared" si="62"/>
        <v>110719.40497621091</v>
      </c>
      <c r="T225" s="30">
        <f t="shared" si="71"/>
        <v>110719.40497621091</v>
      </c>
      <c r="U225">
        <f t="shared" si="72"/>
        <v>0</v>
      </c>
      <c r="V225" s="30">
        <f t="shared" si="73"/>
        <v>110719.40497621091</v>
      </c>
      <c r="W225" s="30">
        <f t="shared" si="63"/>
        <v>110719.40497621092</v>
      </c>
      <c r="X225" s="30">
        <f t="shared" si="74"/>
        <v>110719.40497621092</v>
      </c>
      <c r="Y225">
        <f t="shared" si="75"/>
        <v>0</v>
      </c>
    </row>
    <row r="226" spans="1:25" x14ac:dyDescent="0.25">
      <c r="A226" s="4" t="s">
        <v>1095</v>
      </c>
      <c r="B226" s="7" t="s">
        <v>209</v>
      </c>
      <c r="C226" s="2" t="s">
        <v>1096</v>
      </c>
      <c r="D226">
        <f>VLOOKUP(B226,'Model allocations'!$A$1:$L$319,5,FALSE)</f>
        <v>82079.410073012914</v>
      </c>
      <c r="E226" s="32">
        <f>VLOOKUP(B226,'Initial adjusted formula count'!$A$1:$P$319,12,FALSE)</f>
        <v>3.4935644864722899E-2</v>
      </c>
      <c r="F226">
        <f>VLOOKUP(B226,'Model allocations'!$A$1:$L$319,10,FALSE)</f>
        <v>0</v>
      </c>
      <c r="G226" s="31">
        <f t="shared" si="64"/>
        <v>0.85</v>
      </c>
      <c r="H226">
        <f t="shared" si="65"/>
        <v>0</v>
      </c>
      <c r="I226">
        <f t="shared" si="57"/>
        <v>0</v>
      </c>
      <c r="J226">
        <f t="shared" si="58"/>
        <v>0</v>
      </c>
      <c r="K226">
        <f t="shared" si="59"/>
        <v>0</v>
      </c>
      <c r="L226">
        <f t="shared" si="66"/>
        <v>0</v>
      </c>
      <c r="M226">
        <f t="shared" si="60"/>
        <v>0</v>
      </c>
      <c r="N226" s="30">
        <f t="shared" si="67"/>
        <v>0</v>
      </c>
      <c r="O226" s="30">
        <f t="shared" si="61"/>
        <v>0</v>
      </c>
      <c r="P226" s="30">
        <f t="shared" si="68"/>
        <v>0</v>
      </c>
      <c r="Q226">
        <f t="shared" si="69"/>
        <v>0</v>
      </c>
      <c r="R226" s="30">
        <f t="shared" si="70"/>
        <v>0</v>
      </c>
      <c r="S226" s="30">
        <f t="shared" si="62"/>
        <v>0</v>
      </c>
      <c r="T226" s="30">
        <f t="shared" si="71"/>
        <v>0</v>
      </c>
      <c r="U226">
        <f t="shared" si="72"/>
        <v>0</v>
      </c>
      <c r="V226" s="30">
        <f t="shared" si="73"/>
        <v>0</v>
      </c>
      <c r="W226" s="30">
        <f t="shared" si="63"/>
        <v>0</v>
      </c>
      <c r="X226" s="30">
        <f t="shared" si="74"/>
        <v>0</v>
      </c>
      <c r="Y226">
        <f t="shared" si="75"/>
        <v>0</v>
      </c>
    </row>
    <row r="227" spans="1:25" x14ac:dyDescent="0.25">
      <c r="A227" s="4" t="s">
        <v>1097</v>
      </c>
      <c r="B227" s="7" t="s">
        <v>570</v>
      </c>
      <c r="C227" s="2" t="s">
        <v>1098</v>
      </c>
      <c r="D227">
        <f>VLOOKUP(B227,'Model allocations'!$A$1:$L$319,5,FALSE)</f>
        <v>142951.69984007996</v>
      </c>
      <c r="E227" s="32">
        <f>VLOOKUP(B227,'Initial adjusted formula count'!$A$1:$P$319,12,FALSE)</f>
        <v>0.104561970125151</v>
      </c>
      <c r="F227">
        <f>VLOOKUP(B227,'Model allocations'!$A$1:$L$319,10,FALSE)</f>
        <v>121508.94486406796</v>
      </c>
      <c r="G227" s="31">
        <f t="shared" si="64"/>
        <v>0.85</v>
      </c>
      <c r="H227">
        <f t="shared" si="65"/>
        <v>121508.94486406796</v>
      </c>
      <c r="I227">
        <f t="shared" si="57"/>
        <v>0</v>
      </c>
      <c r="J227">
        <f t="shared" si="58"/>
        <v>121508.94486406796</v>
      </c>
      <c r="K227">
        <f t="shared" si="59"/>
        <v>121483.23140978922</v>
      </c>
      <c r="L227">
        <f t="shared" si="66"/>
        <v>121483.23140978922</v>
      </c>
      <c r="M227">
        <f t="shared" si="60"/>
        <v>121508.94486406796</v>
      </c>
      <c r="N227" s="30">
        <f t="shared" si="67"/>
        <v>0</v>
      </c>
      <c r="O227" s="30">
        <f t="shared" si="61"/>
        <v>0</v>
      </c>
      <c r="P227" s="30">
        <f t="shared" si="68"/>
        <v>121508.94486406796</v>
      </c>
      <c r="Q227">
        <f t="shared" si="69"/>
        <v>0</v>
      </c>
      <c r="R227" s="30">
        <f t="shared" si="70"/>
        <v>0</v>
      </c>
      <c r="S227" s="30">
        <f t="shared" si="62"/>
        <v>0</v>
      </c>
      <c r="T227" s="30">
        <f t="shared" si="71"/>
        <v>121508.94486406796</v>
      </c>
      <c r="U227">
        <f t="shared" si="72"/>
        <v>0</v>
      </c>
      <c r="V227" s="30">
        <f t="shared" si="73"/>
        <v>0</v>
      </c>
      <c r="W227" s="30">
        <f t="shared" si="63"/>
        <v>0</v>
      </c>
      <c r="X227" s="30">
        <f t="shared" si="74"/>
        <v>121508.94486406796</v>
      </c>
      <c r="Y227">
        <f t="shared" si="75"/>
        <v>0</v>
      </c>
    </row>
    <row r="228" spans="1:25" x14ac:dyDescent="0.25">
      <c r="A228" s="4" t="s">
        <v>1099</v>
      </c>
      <c r="B228" s="7" t="s">
        <v>302</v>
      </c>
      <c r="C228" s="2" t="s">
        <v>1100</v>
      </c>
      <c r="D228">
        <f>VLOOKUP(B228,'Model allocations'!$A$1:$L$319,5,FALSE)</f>
        <v>5044.5357435531041</v>
      </c>
      <c r="E228" s="32">
        <f>VLOOKUP(B228,'Initial adjusted formula count'!$A$1:$P$319,12,FALSE)</f>
        <v>0.119047619047619</v>
      </c>
      <c r="F228">
        <f>VLOOKUP(B228,'Model allocations'!$A$1:$L$319,10,FALSE)</f>
        <v>0</v>
      </c>
      <c r="G228" s="31">
        <f t="shared" si="64"/>
        <v>0.85</v>
      </c>
      <c r="H228">
        <f t="shared" si="65"/>
        <v>0</v>
      </c>
      <c r="I228">
        <f t="shared" si="57"/>
        <v>0</v>
      </c>
      <c r="J228">
        <f t="shared" si="58"/>
        <v>0</v>
      </c>
      <c r="K228">
        <f t="shared" si="59"/>
        <v>0</v>
      </c>
      <c r="L228">
        <f t="shared" si="66"/>
        <v>0</v>
      </c>
      <c r="M228">
        <f t="shared" si="60"/>
        <v>0</v>
      </c>
      <c r="N228" s="30">
        <f t="shared" si="67"/>
        <v>0</v>
      </c>
      <c r="O228" s="30">
        <f t="shared" si="61"/>
        <v>0</v>
      </c>
      <c r="P228" s="30">
        <f t="shared" si="68"/>
        <v>0</v>
      </c>
      <c r="Q228">
        <f t="shared" si="69"/>
        <v>0</v>
      </c>
      <c r="R228" s="30">
        <f t="shared" si="70"/>
        <v>0</v>
      </c>
      <c r="S228" s="30">
        <f t="shared" si="62"/>
        <v>0</v>
      </c>
      <c r="T228" s="30">
        <f t="shared" si="71"/>
        <v>0</v>
      </c>
      <c r="U228">
        <f t="shared" si="72"/>
        <v>0</v>
      </c>
      <c r="V228" s="30">
        <f t="shared" si="73"/>
        <v>0</v>
      </c>
      <c r="W228" s="30">
        <f t="shared" si="63"/>
        <v>0</v>
      </c>
      <c r="X228" s="30">
        <f t="shared" si="74"/>
        <v>0</v>
      </c>
      <c r="Y228">
        <f t="shared" si="75"/>
        <v>0</v>
      </c>
    </row>
    <row r="229" spans="1:25" x14ac:dyDescent="0.25">
      <c r="A229" s="4" t="s">
        <v>1101</v>
      </c>
      <c r="B229" s="7" t="s">
        <v>572</v>
      </c>
      <c r="C229" s="2" t="s">
        <v>1102</v>
      </c>
      <c r="D229">
        <f>VLOOKUP(B229,'Model allocations'!$A$1:$L$319,5,FALSE)</f>
        <v>15102.611453434374</v>
      </c>
      <c r="E229" s="32">
        <f>VLOOKUP(B229,'Initial adjusted formula count'!$A$1:$P$319,12,FALSE)</f>
        <v>0.139240506329114</v>
      </c>
      <c r="F229">
        <f>VLOOKUP(B229,'Model allocations'!$A$1:$L$319,10,FALSE)</f>
        <v>13585.930054630429</v>
      </c>
      <c r="G229" s="31">
        <f t="shared" si="64"/>
        <v>0.85</v>
      </c>
      <c r="H229">
        <f t="shared" si="65"/>
        <v>12837.219735419218</v>
      </c>
      <c r="I229">
        <f t="shared" si="57"/>
        <v>0</v>
      </c>
      <c r="J229">
        <f t="shared" si="58"/>
        <v>13585.930054630429</v>
      </c>
      <c r="K229">
        <f t="shared" si="59"/>
        <v>13583.0550301482</v>
      </c>
      <c r="L229">
        <f t="shared" si="66"/>
        <v>13583.0550301482</v>
      </c>
      <c r="M229">
        <f t="shared" si="60"/>
        <v>0</v>
      </c>
      <c r="N229" s="30">
        <f t="shared" si="67"/>
        <v>13583.0550301482</v>
      </c>
      <c r="O229" s="30">
        <f t="shared" si="61"/>
        <v>13582.677933884612</v>
      </c>
      <c r="P229" s="30">
        <f t="shared" si="68"/>
        <v>13582.677933884612</v>
      </c>
      <c r="Q229">
        <f t="shared" si="69"/>
        <v>0</v>
      </c>
      <c r="R229" s="30">
        <f t="shared" si="70"/>
        <v>13582.677933884612</v>
      </c>
      <c r="S229" s="30">
        <f t="shared" si="62"/>
        <v>13582.677933884608</v>
      </c>
      <c r="T229" s="30">
        <f t="shared" si="71"/>
        <v>13582.677933884608</v>
      </c>
      <c r="U229">
        <f t="shared" si="72"/>
        <v>0</v>
      </c>
      <c r="V229" s="30">
        <f t="shared" si="73"/>
        <v>13582.677933884608</v>
      </c>
      <c r="W229" s="30">
        <f t="shared" si="63"/>
        <v>13582.67793388461</v>
      </c>
      <c r="X229" s="30">
        <f t="shared" si="74"/>
        <v>13582.67793388461</v>
      </c>
      <c r="Y229">
        <f t="shared" si="75"/>
        <v>0</v>
      </c>
    </row>
    <row r="230" spans="1:25" x14ac:dyDescent="0.25">
      <c r="A230" s="4" t="s">
        <v>1103</v>
      </c>
      <c r="B230" s="7" t="s">
        <v>574</v>
      </c>
      <c r="C230" s="2" t="s">
        <v>1104</v>
      </c>
      <c r="D230">
        <f>VLOOKUP(B230,'Model allocations'!$A$1:$L$319,5,FALSE)</f>
        <v>136673.51696712265</v>
      </c>
      <c r="E230" s="32">
        <f>VLOOKUP(B230,'Initial adjusted formula count'!$A$1:$P$319,12,FALSE)</f>
        <v>0.16048632218844999</v>
      </c>
      <c r="F230">
        <f>VLOOKUP(B230,'Model allocations'!$A$1:$L$319,10,FALSE)</f>
        <v>123006.16527041039</v>
      </c>
      <c r="G230" s="31">
        <f t="shared" si="64"/>
        <v>0.9</v>
      </c>
      <c r="H230">
        <f t="shared" si="65"/>
        <v>123006.16527041039</v>
      </c>
      <c r="I230">
        <f t="shared" si="57"/>
        <v>0</v>
      </c>
      <c r="J230">
        <f t="shared" si="58"/>
        <v>123006.16527041039</v>
      </c>
      <c r="K230">
        <f t="shared" si="59"/>
        <v>122980.13497765931</v>
      </c>
      <c r="L230">
        <f t="shared" si="66"/>
        <v>122980.13497765931</v>
      </c>
      <c r="M230">
        <f t="shared" si="60"/>
        <v>123006.16527041039</v>
      </c>
      <c r="N230" s="30">
        <f t="shared" si="67"/>
        <v>0</v>
      </c>
      <c r="O230" s="30">
        <f t="shared" si="61"/>
        <v>0</v>
      </c>
      <c r="P230" s="30">
        <f t="shared" si="68"/>
        <v>123006.16527041039</v>
      </c>
      <c r="Q230">
        <f t="shared" si="69"/>
        <v>0</v>
      </c>
      <c r="R230" s="30">
        <f t="shared" si="70"/>
        <v>0</v>
      </c>
      <c r="S230" s="30">
        <f t="shared" si="62"/>
        <v>0</v>
      </c>
      <c r="T230" s="30">
        <f t="shared" si="71"/>
        <v>123006.16527041039</v>
      </c>
      <c r="U230">
        <f t="shared" si="72"/>
        <v>0</v>
      </c>
      <c r="V230" s="30">
        <f t="shared" si="73"/>
        <v>0</v>
      </c>
      <c r="W230" s="30">
        <f t="shared" si="63"/>
        <v>0</v>
      </c>
      <c r="X230" s="30">
        <f t="shared" si="74"/>
        <v>123006.16527041039</v>
      </c>
      <c r="Y230">
        <f t="shared" si="75"/>
        <v>0</v>
      </c>
    </row>
    <row r="231" spans="1:25" x14ac:dyDescent="0.25">
      <c r="A231" s="4" t="s">
        <v>1105</v>
      </c>
      <c r="B231" s="7" t="s">
        <v>211</v>
      </c>
      <c r="C231" s="2" t="s">
        <v>1106</v>
      </c>
      <c r="D231">
        <f>VLOOKUP(B231,'Model allocations'!$A$1:$L$319,5,FALSE)</f>
        <v>47126.934013213162</v>
      </c>
      <c r="E231" s="32">
        <f>VLOOKUP(B231,'Initial adjusted formula count'!$A$1:$P$319,12,FALSE)</f>
        <v>8.8764044943820203E-2</v>
      </c>
      <c r="F231">
        <f>VLOOKUP(B231,'Model allocations'!$A$1:$L$319,10,FALSE)</f>
        <v>40057.893911231185</v>
      </c>
      <c r="G231" s="31">
        <f t="shared" si="64"/>
        <v>0.85</v>
      </c>
      <c r="H231">
        <f t="shared" si="65"/>
        <v>40057.893911231185</v>
      </c>
      <c r="I231">
        <f t="shared" si="57"/>
        <v>0</v>
      </c>
      <c r="J231">
        <f t="shared" si="58"/>
        <v>40057.893911231185</v>
      </c>
      <c r="K231">
        <f t="shared" si="59"/>
        <v>40049.416948282145</v>
      </c>
      <c r="L231">
        <f t="shared" si="66"/>
        <v>40049.416948282145</v>
      </c>
      <c r="M231">
        <f t="shared" si="60"/>
        <v>40057.893911231185</v>
      </c>
      <c r="N231" s="30">
        <f t="shared" si="67"/>
        <v>0</v>
      </c>
      <c r="O231" s="30">
        <f t="shared" si="61"/>
        <v>0</v>
      </c>
      <c r="P231" s="30">
        <f t="shared" si="68"/>
        <v>40057.893911231185</v>
      </c>
      <c r="Q231">
        <f t="shared" si="69"/>
        <v>0</v>
      </c>
      <c r="R231" s="30">
        <f t="shared" si="70"/>
        <v>0</v>
      </c>
      <c r="S231" s="30">
        <f t="shared" si="62"/>
        <v>0</v>
      </c>
      <c r="T231" s="30">
        <f t="shared" si="71"/>
        <v>40057.893911231185</v>
      </c>
      <c r="U231">
        <f t="shared" si="72"/>
        <v>0</v>
      </c>
      <c r="V231" s="30">
        <f t="shared" si="73"/>
        <v>0</v>
      </c>
      <c r="W231" s="30">
        <f t="shared" si="63"/>
        <v>0</v>
      </c>
      <c r="X231" s="30">
        <f t="shared" si="74"/>
        <v>40057.893911231185</v>
      </c>
      <c r="Y231">
        <f t="shared" si="75"/>
        <v>0</v>
      </c>
    </row>
    <row r="232" spans="1:25" x14ac:dyDescent="0.25">
      <c r="A232" s="4" t="s">
        <v>1107</v>
      </c>
      <c r="B232" s="7" t="s">
        <v>576</v>
      </c>
      <c r="C232" s="2" t="s">
        <v>1108</v>
      </c>
      <c r="D232">
        <f>VLOOKUP(B232,'Model allocations'!$A$1:$L$319,5,FALSE)</f>
        <v>9980.2279057581927</v>
      </c>
      <c r="E232" s="32">
        <f>VLOOKUP(B232,'Initial adjusted formula count'!$A$1:$P$319,12,FALSE)</f>
        <v>0.163636363636364</v>
      </c>
      <c r="F232">
        <f>VLOOKUP(B232,'Model allocations'!$A$1:$L$319,10,FALSE)</f>
        <v>8982.2051151823744</v>
      </c>
      <c r="G232" s="31">
        <f t="shared" si="64"/>
        <v>0.9</v>
      </c>
      <c r="H232">
        <f t="shared" si="65"/>
        <v>8982.2051151823744</v>
      </c>
      <c r="I232">
        <f t="shared" si="57"/>
        <v>0</v>
      </c>
      <c r="J232">
        <f t="shared" si="58"/>
        <v>8982.2051151823744</v>
      </c>
      <c r="K232">
        <f t="shared" si="59"/>
        <v>8980.3043207938626</v>
      </c>
      <c r="L232">
        <f t="shared" si="66"/>
        <v>8980.3043207938626</v>
      </c>
      <c r="M232">
        <f t="shared" si="60"/>
        <v>8982.2051151823744</v>
      </c>
      <c r="N232" s="30">
        <f t="shared" si="67"/>
        <v>0</v>
      </c>
      <c r="O232" s="30">
        <f t="shared" si="61"/>
        <v>0</v>
      </c>
      <c r="P232" s="30">
        <f t="shared" si="68"/>
        <v>8982.2051151823744</v>
      </c>
      <c r="Q232">
        <f t="shared" si="69"/>
        <v>0</v>
      </c>
      <c r="R232" s="30">
        <f t="shared" si="70"/>
        <v>0</v>
      </c>
      <c r="S232" s="30">
        <f t="shared" si="62"/>
        <v>0</v>
      </c>
      <c r="T232" s="30">
        <f t="shared" si="71"/>
        <v>8982.2051151823744</v>
      </c>
      <c r="U232">
        <f t="shared" si="72"/>
        <v>0</v>
      </c>
      <c r="V232" s="30">
        <f t="shared" si="73"/>
        <v>0</v>
      </c>
      <c r="W232" s="30">
        <f t="shared" si="63"/>
        <v>0</v>
      </c>
      <c r="X232" s="30">
        <f t="shared" si="74"/>
        <v>8982.2051151823744</v>
      </c>
      <c r="Y232">
        <f t="shared" si="75"/>
        <v>0</v>
      </c>
    </row>
    <row r="233" spans="1:25" x14ac:dyDescent="0.25">
      <c r="A233" s="8" t="s">
        <v>53</v>
      </c>
      <c r="B233" s="7" t="s">
        <v>86</v>
      </c>
      <c r="C233" s="2" t="s">
        <v>1109</v>
      </c>
      <c r="D233">
        <f>VLOOKUP(B233,'Model allocations'!$A$1:$L$319,5,FALSE)</f>
        <v>11907.521423752907</v>
      </c>
      <c r="E233" s="32">
        <f>VLOOKUP(B233,'Initial adjusted formula count'!$A$1:$P$319,12,FALSE)</f>
        <v>0.161881229070443</v>
      </c>
      <c r="F233">
        <f>VLOOKUP(B233,'Model allocations'!$A$1:$L$319,10,FALSE)</f>
        <v>13359.157822830792</v>
      </c>
      <c r="G233" s="31">
        <f t="shared" si="64"/>
        <v>0.9</v>
      </c>
      <c r="H233">
        <f t="shared" si="65"/>
        <v>10716.769281377618</v>
      </c>
      <c r="I233">
        <f t="shared" si="57"/>
        <v>0</v>
      </c>
      <c r="J233">
        <f t="shared" si="58"/>
        <v>13359.157822830792</v>
      </c>
      <c r="K233">
        <f t="shared" si="59"/>
        <v>13356.330787386905</v>
      </c>
      <c r="L233">
        <f t="shared" si="66"/>
        <v>13356.330787386905</v>
      </c>
      <c r="M233">
        <f t="shared" si="60"/>
        <v>0</v>
      </c>
      <c r="N233" s="30">
        <f t="shared" si="67"/>
        <v>13356.330787386905</v>
      </c>
      <c r="O233" s="30">
        <f t="shared" si="61"/>
        <v>13355.959985499998</v>
      </c>
      <c r="P233" s="30">
        <f t="shared" si="68"/>
        <v>13355.959985499998</v>
      </c>
      <c r="Q233">
        <f t="shared" si="69"/>
        <v>0</v>
      </c>
      <c r="R233" s="30">
        <f t="shared" si="70"/>
        <v>13355.959985499998</v>
      </c>
      <c r="S233" s="30">
        <f t="shared" si="62"/>
        <v>13355.959985499994</v>
      </c>
      <c r="T233" s="30">
        <f t="shared" si="71"/>
        <v>13355.959985499994</v>
      </c>
      <c r="U233">
        <f t="shared" si="72"/>
        <v>0</v>
      </c>
      <c r="V233" s="30">
        <f t="shared" si="73"/>
        <v>13355.959985499994</v>
      </c>
      <c r="W233" s="30">
        <f t="shared" si="63"/>
        <v>13355.959985499996</v>
      </c>
      <c r="X233" s="30">
        <f t="shared" si="74"/>
        <v>13355.959985499996</v>
      </c>
      <c r="Y233">
        <f t="shared" si="75"/>
        <v>0</v>
      </c>
    </row>
    <row r="234" spans="1:25" x14ac:dyDescent="0.25">
      <c r="A234" s="4" t="s">
        <v>49</v>
      </c>
      <c r="B234" s="7" t="s">
        <v>85</v>
      </c>
      <c r="C234" s="2" t="s">
        <v>1110</v>
      </c>
      <c r="D234">
        <f>VLOOKUP(B234,'Model allocations'!$A$1:$L$319,5,FALSE)</f>
        <v>0</v>
      </c>
      <c r="E234" s="32">
        <f>VLOOKUP(B234,'Initial adjusted formula count'!$A$1:$P$319,12,FALSE)</f>
        <v>6.2873869957482995E-2</v>
      </c>
      <c r="F234">
        <f>VLOOKUP(B234,'Model allocations'!$A$1:$L$319,10,FALSE)</f>
        <v>0</v>
      </c>
      <c r="G234" s="31">
        <f t="shared" si="64"/>
        <v>0.85</v>
      </c>
      <c r="H234">
        <f t="shared" si="65"/>
        <v>0</v>
      </c>
      <c r="I234">
        <f t="shared" si="57"/>
        <v>0</v>
      </c>
      <c r="J234">
        <f t="shared" si="58"/>
        <v>0</v>
      </c>
      <c r="K234">
        <f t="shared" si="59"/>
        <v>0</v>
      </c>
      <c r="L234">
        <f t="shared" si="66"/>
        <v>0</v>
      </c>
      <c r="M234">
        <f t="shared" si="60"/>
        <v>0</v>
      </c>
      <c r="N234" s="30">
        <f t="shared" si="67"/>
        <v>0</v>
      </c>
      <c r="O234" s="30">
        <f t="shared" si="61"/>
        <v>0</v>
      </c>
      <c r="P234" s="30">
        <f t="shared" si="68"/>
        <v>0</v>
      </c>
      <c r="Q234">
        <f t="shared" si="69"/>
        <v>0</v>
      </c>
      <c r="R234" s="30">
        <f t="shared" si="70"/>
        <v>0</v>
      </c>
      <c r="S234" s="30">
        <f t="shared" si="62"/>
        <v>0</v>
      </c>
      <c r="T234" s="30">
        <f t="shared" si="71"/>
        <v>0</v>
      </c>
      <c r="U234">
        <f t="shared" si="72"/>
        <v>0</v>
      </c>
      <c r="V234" s="30">
        <f t="shared" si="73"/>
        <v>0</v>
      </c>
      <c r="W234" s="30">
        <f t="shared" si="63"/>
        <v>0</v>
      </c>
      <c r="X234" s="30">
        <f t="shared" si="74"/>
        <v>0</v>
      </c>
      <c r="Y234">
        <f t="shared" si="75"/>
        <v>0</v>
      </c>
    </row>
    <row r="235" spans="1:25" x14ac:dyDescent="0.25">
      <c r="A235" s="4" t="s">
        <v>25</v>
      </c>
      <c r="B235" s="7" t="s">
        <v>62</v>
      </c>
      <c r="C235" s="2" t="s">
        <v>1111</v>
      </c>
      <c r="D235">
        <f>VLOOKUP(B235,'Model allocations'!$A$1:$L$319,5,FALSE)</f>
        <v>4870412.8519749297</v>
      </c>
      <c r="E235" s="32">
        <f>VLOOKUP(B235,'Initial adjusted formula count'!$A$1:$P$319,12,FALSE)</f>
        <v>8.5160606529718103E-2</v>
      </c>
      <c r="F235">
        <f>VLOOKUP(B235,'Model allocations'!$A$1:$L$319,10,FALSE)</f>
        <v>4183066.3621422932</v>
      </c>
      <c r="G235" s="31">
        <f t="shared" si="64"/>
        <v>0.85</v>
      </c>
      <c r="H235">
        <f t="shared" si="65"/>
        <v>4139850.9241786902</v>
      </c>
      <c r="I235">
        <f t="shared" si="57"/>
        <v>0</v>
      </c>
      <c r="J235">
        <f t="shared" si="58"/>
        <v>4183066.3621422932</v>
      </c>
      <c r="K235">
        <f t="shared" si="59"/>
        <v>4182181.1508867079</v>
      </c>
      <c r="L235">
        <f t="shared" si="66"/>
        <v>4182181.1508867079</v>
      </c>
      <c r="M235">
        <f t="shared" si="60"/>
        <v>0</v>
      </c>
      <c r="N235" s="30">
        <f t="shared" si="67"/>
        <v>4182181.1508867079</v>
      </c>
      <c r="O235" s="30">
        <f t="shared" si="61"/>
        <v>4182065.044099086</v>
      </c>
      <c r="P235" s="30">
        <f t="shared" si="68"/>
        <v>4182065.044099086</v>
      </c>
      <c r="Q235">
        <f t="shared" si="69"/>
        <v>0</v>
      </c>
      <c r="R235" s="30">
        <f t="shared" si="70"/>
        <v>4182065.044099086</v>
      </c>
      <c r="S235" s="30">
        <f t="shared" si="62"/>
        <v>4182065.044099085</v>
      </c>
      <c r="T235" s="30">
        <f t="shared" si="71"/>
        <v>4182065.044099085</v>
      </c>
      <c r="U235">
        <f t="shared" si="72"/>
        <v>0</v>
      </c>
      <c r="V235" s="30">
        <f t="shared" si="73"/>
        <v>4182065.044099085</v>
      </c>
      <c r="W235" s="30">
        <f t="shared" si="63"/>
        <v>4182065.044099085</v>
      </c>
      <c r="X235" s="30">
        <f t="shared" si="74"/>
        <v>4182065.044099085</v>
      </c>
      <c r="Y235">
        <f t="shared" si="75"/>
        <v>0</v>
      </c>
    </row>
    <row r="236" spans="1:25" x14ac:dyDescent="0.25">
      <c r="A236" s="4" t="s">
        <v>1112</v>
      </c>
      <c r="B236" s="7" t="s">
        <v>304</v>
      </c>
      <c r="C236" s="2" t="s">
        <v>1113</v>
      </c>
      <c r="D236">
        <f>VLOOKUP(B236,'Model allocations'!$A$1:$L$319,5,FALSE)</f>
        <v>255663.61702168139</v>
      </c>
      <c r="E236" s="32">
        <f>VLOOKUP(B236,'Initial adjusted formula count'!$A$1:$P$319,12,FALSE)</f>
        <v>0.1206762534007</v>
      </c>
      <c r="F236">
        <f>VLOOKUP(B236,'Model allocations'!$A$1:$L$319,10,FALSE)</f>
        <v>255662.50193713623</v>
      </c>
      <c r="G236" s="31">
        <f t="shared" si="64"/>
        <v>0.85</v>
      </c>
      <c r="H236">
        <f t="shared" si="65"/>
        <v>217314.07446842917</v>
      </c>
      <c r="I236">
        <f t="shared" si="57"/>
        <v>0</v>
      </c>
      <c r="J236">
        <f t="shared" si="58"/>
        <v>255662.50193713623</v>
      </c>
      <c r="K236">
        <f t="shared" si="59"/>
        <v>255608.39920369789</v>
      </c>
      <c r="L236">
        <f t="shared" si="66"/>
        <v>255608.39920369789</v>
      </c>
      <c r="M236">
        <f t="shared" si="60"/>
        <v>0</v>
      </c>
      <c r="N236" s="30">
        <f t="shared" si="67"/>
        <v>255608.39920369789</v>
      </c>
      <c r="O236" s="30">
        <f t="shared" si="61"/>
        <v>255601.30293764677</v>
      </c>
      <c r="P236" s="30">
        <f t="shared" si="68"/>
        <v>255601.30293764677</v>
      </c>
      <c r="Q236">
        <f t="shared" si="69"/>
        <v>0</v>
      </c>
      <c r="R236" s="30">
        <f t="shared" si="70"/>
        <v>255601.30293764677</v>
      </c>
      <c r="S236" s="30">
        <f t="shared" si="62"/>
        <v>255601.30293764672</v>
      </c>
      <c r="T236" s="30">
        <f t="shared" si="71"/>
        <v>255601.30293764672</v>
      </c>
      <c r="U236">
        <f t="shared" si="72"/>
        <v>0</v>
      </c>
      <c r="V236" s="30">
        <f t="shared" si="73"/>
        <v>255601.30293764672</v>
      </c>
      <c r="W236" s="30">
        <f t="shared" si="63"/>
        <v>255601.30293764672</v>
      </c>
      <c r="X236" s="30">
        <f t="shared" si="74"/>
        <v>255601.30293764672</v>
      </c>
      <c r="Y236">
        <f t="shared" si="75"/>
        <v>0</v>
      </c>
    </row>
    <row r="237" spans="1:25" x14ac:dyDescent="0.25">
      <c r="A237" s="4" t="s">
        <v>1114</v>
      </c>
      <c r="B237" s="7" t="s">
        <v>578</v>
      </c>
      <c r="C237" s="2" t="s">
        <v>1115</v>
      </c>
      <c r="D237">
        <f>VLOOKUP(B237,'Model allocations'!$A$1:$L$319,5,FALSE)</f>
        <v>182616.86930120099</v>
      </c>
      <c r="E237" s="32">
        <f>VLOOKUP(B237,'Initial adjusted formula count'!$A$1:$P$319,12,FALSE)</f>
        <v>0.11419679195594901</v>
      </c>
      <c r="F237">
        <f>VLOOKUP(B237,'Model allocations'!$A$1:$L$319,10,FALSE)</f>
        <v>196378.44351693074</v>
      </c>
      <c r="G237" s="31">
        <f t="shared" si="64"/>
        <v>0.85</v>
      </c>
      <c r="H237">
        <f t="shared" si="65"/>
        <v>155224.33890602083</v>
      </c>
      <c r="I237">
        <f t="shared" si="57"/>
        <v>0</v>
      </c>
      <c r="J237">
        <f t="shared" si="58"/>
        <v>196378.44351693074</v>
      </c>
      <c r="K237">
        <f t="shared" si="59"/>
        <v>196336.88634486942</v>
      </c>
      <c r="L237">
        <f t="shared" si="66"/>
        <v>196336.88634486942</v>
      </c>
      <c r="M237">
        <f t="shared" si="60"/>
        <v>0</v>
      </c>
      <c r="N237" s="30">
        <f t="shared" si="67"/>
        <v>196336.88634486942</v>
      </c>
      <c r="O237" s="30">
        <f t="shared" si="61"/>
        <v>196331.43558978665</v>
      </c>
      <c r="P237" s="30">
        <f t="shared" si="68"/>
        <v>196331.43558978665</v>
      </c>
      <c r="Q237">
        <f t="shared" si="69"/>
        <v>0</v>
      </c>
      <c r="R237" s="30">
        <f t="shared" si="70"/>
        <v>196331.43558978665</v>
      </c>
      <c r="S237" s="30">
        <f t="shared" si="62"/>
        <v>196331.43558978659</v>
      </c>
      <c r="T237" s="30">
        <f t="shared" si="71"/>
        <v>196331.43558978659</v>
      </c>
      <c r="U237">
        <f t="shared" si="72"/>
        <v>0</v>
      </c>
      <c r="V237" s="30">
        <f t="shared" si="73"/>
        <v>196331.43558978659</v>
      </c>
      <c r="W237" s="30">
        <f t="shared" si="63"/>
        <v>196331.43558978659</v>
      </c>
      <c r="X237" s="30">
        <f t="shared" si="74"/>
        <v>196331.43558978659</v>
      </c>
      <c r="Y237">
        <f t="shared" si="75"/>
        <v>0</v>
      </c>
    </row>
    <row r="238" spans="1:25" x14ac:dyDescent="0.25">
      <c r="A238" s="4" t="s">
        <v>1116</v>
      </c>
      <c r="B238" s="7" t="s">
        <v>580</v>
      </c>
      <c r="C238" s="2" t="s">
        <v>1117</v>
      </c>
      <c r="D238">
        <f>VLOOKUP(B238,'Model allocations'!$A$1:$L$319,5,FALSE)</f>
        <v>43388.265974943679</v>
      </c>
      <c r="E238" s="32">
        <f>VLOOKUP(B238,'Initial adjusted formula count'!$A$1:$P$319,12,FALSE)</f>
        <v>0.27564102564102599</v>
      </c>
      <c r="F238">
        <f>VLOOKUP(B238,'Model allocations'!$A$1:$L$319,10,FALSE)</f>
        <v>52205.130149982848</v>
      </c>
      <c r="G238" s="31">
        <f t="shared" si="64"/>
        <v>0.9</v>
      </c>
      <c r="H238">
        <f t="shared" si="65"/>
        <v>39049.439377449315</v>
      </c>
      <c r="I238">
        <f t="shared" si="57"/>
        <v>0</v>
      </c>
      <c r="J238">
        <f t="shared" si="58"/>
        <v>52205.130149982848</v>
      </c>
      <c r="K238">
        <f t="shared" si="59"/>
        <v>52194.082615756211</v>
      </c>
      <c r="L238">
        <f t="shared" si="66"/>
        <v>52194.082615756211</v>
      </c>
      <c r="M238">
        <f t="shared" si="60"/>
        <v>0</v>
      </c>
      <c r="N238" s="30">
        <f t="shared" si="67"/>
        <v>52194.082615756211</v>
      </c>
      <c r="O238" s="30">
        <f t="shared" si="61"/>
        <v>52192.633590224614</v>
      </c>
      <c r="P238" s="30">
        <f t="shared" si="68"/>
        <v>52192.633590224614</v>
      </c>
      <c r="Q238">
        <f t="shared" si="69"/>
        <v>0</v>
      </c>
      <c r="R238" s="30">
        <f t="shared" si="70"/>
        <v>52192.633590224614</v>
      </c>
      <c r="S238" s="30">
        <f t="shared" si="62"/>
        <v>52192.633590224599</v>
      </c>
      <c r="T238" s="30">
        <f t="shared" si="71"/>
        <v>52192.633590224599</v>
      </c>
      <c r="U238">
        <f t="shared" si="72"/>
        <v>0</v>
      </c>
      <c r="V238" s="30">
        <f t="shared" si="73"/>
        <v>52192.633590224599</v>
      </c>
      <c r="W238" s="30">
        <f t="shared" si="63"/>
        <v>52192.633590224606</v>
      </c>
      <c r="X238" s="30">
        <f t="shared" si="74"/>
        <v>52192.633590224606</v>
      </c>
      <c r="Y238">
        <f t="shared" si="75"/>
        <v>0</v>
      </c>
    </row>
    <row r="239" spans="1:25" x14ac:dyDescent="0.25">
      <c r="A239" s="4" t="s">
        <v>1118</v>
      </c>
      <c r="B239" s="7" t="s">
        <v>582</v>
      </c>
      <c r="C239" s="2" t="s">
        <v>1119</v>
      </c>
      <c r="D239">
        <f>VLOOKUP(B239,'Model allocations'!$A$1:$L$319,5,FALSE)</f>
        <v>195969.50060494465</v>
      </c>
      <c r="E239" s="32">
        <f>VLOOKUP(B239,'Initial adjusted formula count'!$A$1:$P$319,12,FALSE)</f>
        <v>0.13420050761421301</v>
      </c>
      <c r="F239">
        <f>VLOOKUP(B239,'Model allocations'!$A$1:$L$319,10,FALSE)</f>
        <v>174146.92160935371</v>
      </c>
      <c r="G239" s="31">
        <f t="shared" si="64"/>
        <v>0.85</v>
      </c>
      <c r="H239">
        <f t="shared" si="65"/>
        <v>166574.07551420294</v>
      </c>
      <c r="I239">
        <f t="shared" si="57"/>
        <v>0</v>
      </c>
      <c r="J239">
        <f t="shared" si="58"/>
        <v>174146.92160935371</v>
      </c>
      <c r="K239">
        <f t="shared" si="59"/>
        <v>174110.06902280875</v>
      </c>
      <c r="L239">
        <f t="shared" si="66"/>
        <v>174110.06902280875</v>
      </c>
      <c r="M239">
        <f t="shared" si="60"/>
        <v>0</v>
      </c>
      <c r="N239" s="30">
        <f t="shared" si="67"/>
        <v>174110.06902280875</v>
      </c>
      <c r="O239" s="30">
        <f t="shared" si="61"/>
        <v>174105.23533433912</v>
      </c>
      <c r="P239" s="30">
        <f t="shared" si="68"/>
        <v>174105.23533433912</v>
      </c>
      <c r="Q239">
        <f t="shared" si="69"/>
        <v>0</v>
      </c>
      <c r="R239" s="30">
        <f t="shared" si="70"/>
        <v>174105.23533433912</v>
      </c>
      <c r="S239" s="30">
        <f t="shared" si="62"/>
        <v>174105.23533433906</v>
      </c>
      <c r="T239" s="30">
        <f t="shared" si="71"/>
        <v>174105.23533433906</v>
      </c>
      <c r="U239">
        <f t="shared" si="72"/>
        <v>0</v>
      </c>
      <c r="V239" s="30">
        <f t="shared" si="73"/>
        <v>174105.23533433906</v>
      </c>
      <c r="W239" s="30">
        <f t="shared" si="63"/>
        <v>174105.23533433906</v>
      </c>
      <c r="X239" s="30">
        <f t="shared" si="74"/>
        <v>174105.23533433906</v>
      </c>
      <c r="Y239">
        <f t="shared" si="75"/>
        <v>0</v>
      </c>
    </row>
    <row r="240" spans="1:25" x14ac:dyDescent="0.25">
      <c r="A240" s="4" t="s">
        <v>1120</v>
      </c>
      <c r="B240" s="7" t="s">
        <v>213</v>
      </c>
      <c r="C240" s="2" t="s">
        <v>1121</v>
      </c>
      <c r="D240">
        <f>VLOOKUP(B240,'Model allocations'!$A$1:$L$319,5,FALSE)</f>
        <v>0</v>
      </c>
      <c r="E240" s="32">
        <f>VLOOKUP(B240,'Initial adjusted formula count'!$A$1:$P$319,12,FALSE)</f>
        <v>4.5454545454545497E-2</v>
      </c>
      <c r="F240">
        <f>VLOOKUP(B240,'Model allocations'!$A$1:$L$319,10,FALSE)</f>
        <v>0</v>
      </c>
      <c r="G240" s="31">
        <f t="shared" si="64"/>
        <v>0.85</v>
      </c>
      <c r="H240">
        <f t="shared" si="65"/>
        <v>0</v>
      </c>
      <c r="I240">
        <f t="shared" si="57"/>
        <v>0</v>
      </c>
      <c r="J240">
        <f t="shared" si="58"/>
        <v>0</v>
      </c>
      <c r="K240">
        <f t="shared" si="59"/>
        <v>0</v>
      </c>
      <c r="L240">
        <f t="shared" si="66"/>
        <v>0</v>
      </c>
      <c r="M240">
        <f t="shared" si="60"/>
        <v>0</v>
      </c>
      <c r="N240" s="30">
        <f t="shared" si="67"/>
        <v>0</v>
      </c>
      <c r="O240" s="30">
        <f t="shared" si="61"/>
        <v>0</v>
      </c>
      <c r="P240" s="30">
        <f t="shared" si="68"/>
        <v>0</v>
      </c>
      <c r="Q240">
        <f t="shared" si="69"/>
        <v>0</v>
      </c>
      <c r="R240" s="30">
        <f t="shared" si="70"/>
        <v>0</v>
      </c>
      <c r="S240" s="30">
        <f t="shared" si="62"/>
        <v>0</v>
      </c>
      <c r="T240" s="30">
        <f t="shared" si="71"/>
        <v>0</v>
      </c>
      <c r="U240">
        <f t="shared" si="72"/>
        <v>0</v>
      </c>
      <c r="V240" s="30">
        <f t="shared" si="73"/>
        <v>0</v>
      </c>
      <c r="W240" s="30">
        <f t="shared" si="63"/>
        <v>0</v>
      </c>
      <c r="X240" s="30">
        <f t="shared" si="74"/>
        <v>0</v>
      </c>
      <c r="Y240">
        <f t="shared" si="75"/>
        <v>0</v>
      </c>
    </row>
    <row r="241" spans="1:25" x14ac:dyDescent="0.25">
      <c r="A241" s="4" t="s">
        <v>1122</v>
      </c>
      <c r="B241" s="7" t="s">
        <v>584</v>
      </c>
      <c r="C241" s="2" t="s">
        <v>1123</v>
      </c>
      <c r="D241">
        <f>VLOOKUP(B241,'Model allocations'!$A$1:$L$319,5,FALSE)</f>
        <v>397232.45695130317</v>
      </c>
      <c r="E241" s="32">
        <f>VLOOKUP(B241,'Initial adjusted formula count'!$A$1:$P$319,12,FALSE)</f>
        <v>0.168850072780204</v>
      </c>
      <c r="F241">
        <f>VLOOKUP(B241,'Model allocations'!$A$1:$L$319,10,FALSE)</f>
        <v>357509.21125617286</v>
      </c>
      <c r="G241" s="31">
        <f t="shared" si="64"/>
        <v>0.9</v>
      </c>
      <c r="H241">
        <f t="shared" si="65"/>
        <v>357509.21125617286</v>
      </c>
      <c r="I241">
        <f t="shared" si="57"/>
        <v>0</v>
      </c>
      <c r="J241">
        <f t="shared" si="58"/>
        <v>357509.21125617286</v>
      </c>
      <c r="K241">
        <f t="shared" si="59"/>
        <v>357433.55594727234</v>
      </c>
      <c r="L241">
        <f t="shared" si="66"/>
        <v>357433.55594727234</v>
      </c>
      <c r="M241">
        <f t="shared" si="60"/>
        <v>357509.21125617286</v>
      </c>
      <c r="N241" s="30">
        <f t="shared" si="67"/>
        <v>0</v>
      </c>
      <c r="O241" s="30">
        <f t="shared" si="61"/>
        <v>0</v>
      </c>
      <c r="P241" s="30">
        <f t="shared" si="68"/>
        <v>357509.21125617286</v>
      </c>
      <c r="Q241">
        <f t="shared" si="69"/>
        <v>0</v>
      </c>
      <c r="R241" s="30">
        <f t="shared" si="70"/>
        <v>0</v>
      </c>
      <c r="S241" s="30">
        <f t="shared" si="62"/>
        <v>0</v>
      </c>
      <c r="T241" s="30">
        <f t="shared" si="71"/>
        <v>357509.21125617286</v>
      </c>
      <c r="U241">
        <f t="shared" si="72"/>
        <v>0</v>
      </c>
      <c r="V241" s="30">
        <f t="shared" si="73"/>
        <v>0</v>
      </c>
      <c r="W241" s="30">
        <f t="shared" si="63"/>
        <v>0</v>
      </c>
      <c r="X241" s="30">
        <f t="shared" si="74"/>
        <v>357509.21125617286</v>
      </c>
      <c r="Y241">
        <f t="shared" si="75"/>
        <v>0</v>
      </c>
    </row>
    <row r="242" spans="1:25" x14ac:dyDescent="0.25">
      <c r="A242" s="4" t="s">
        <v>1124</v>
      </c>
      <c r="B242" s="7" t="s">
        <v>215</v>
      </c>
      <c r="C242" s="2" t="s">
        <v>1125</v>
      </c>
      <c r="D242">
        <f>VLOOKUP(B242,'Model allocations'!$A$1:$L$319,5,FALSE)</f>
        <v>341473.90937074041</v>
      </c>
      <c r="E242" s="32">
        <f>VLOOKUP(B242,'Initial adjusted formula count'!$A$1:$P$319,12,FALSE)</f>
        <v>5.9815802229762502E-2</v>
      </c>
      <c r="F242">
        <f>VLOOKUP(B242,'Model allocations'!$A$1:$L$319,10,FALSE)</f>
        <v>290252.82296512934</v>
      </c>
      <c r="G242" s="31">
        <f t="shared" si="64"/>
        <v>0.85</v>
      </c>
      <c r="H242">
        <f t="shared" si="65"/>
        <v>290252.82296512934</v>
      </c>
      <c r="I242">
        <f t="shared" si="57"/>
        <v>0</v>
      </c>
      <c r="J242">
        <f t="shared" si="58"/>
        <v>290252.82296512934</v>
      </c>
      <c r="K242">
        <f t="shared" si="59"/>
        <v>290191.40030442778</v>
      </c>
      <c r="L242">
        <f t="shared" si="66"/>
        <v>290191.40030442778</v>
      </c>
      <c r="M242">
        <f t="shared" si="60"/>
        <v>290252.82296512934</v>
      </c>
      <c r="N242" s="30">
        <f t="shared" si="67"/>
        <v>0</v>
      </c>
      <c r="O242" s="30">
        <f t="shared" si="61"/>
        <v>0</v>
      </c>
      <c r="P242" s="30">
        <f t="shared" si="68"/>
        <v>290252.82296512934</v>
      </c>
      <c r="Q242">
        <f t="shared" si="69"/>
        <v>0</v>
      </c>
      <c r="R242" s="30">
        <f t="shared" si="70"/>
        <v>0</v>
      </c>
      <c r="S242" s="30">
        <f t="shared" si="62"/>
        <v>0</v>
      </c>
      <c r="T242" s="30">
        <f t="shared" si="71"/>
        <v>290252.82296512934</v>
      </c>
      <c r="U242">
        <f t="shared" si="72"/>
        <v>0</v>
      </c>
      <c r="V242" s="30">
        <f t="shared" si="73"/>
        <v>0</v>
      </c>
      <c r="W242" s="30">
        <f t="shared" si="63"/>
        <v>0</v>
      </c>
      <c r="X242" s="30">
        <f t="shared" si="74"/>
        <v>290252.82296512934</v>
      </c>
      <c r="Y242">
        <f t="shared" si="75"/>
        <v>0</v>
      </c>
    </row>
    <row r="243" spans="1:25" x14ac:dyDescent="0.25">
      <c r="A243" s="4" t="s">
        <v>1126</v>
      </c>
      <c r="B243" s="7" t="s">
        <v>306</v>
      </c>
      <c r="C243" s="2" t="s">
        <v>1127</v>
      </c>
      <c r="D243">
        <f>VLOOKUP(B243,'Model allocations'!$A$1:$L$319,5,FALSE)</f>
        <v>5498.1423015415357</v>
      </c>
      <c r="E243" s="32">
        <f>VLOOKUP(B243,'Initial adjusted formula count'!$A$1:$P$319,12,FALSE)</f>
        <v>0.102362204724409</v>
      </c>
      <c r="F243">
        <f>VLOOKUP(B243,'Model allocations'!$A$1:$L$319,10,FALSE)</f>
        <v>5352.033051824109</v>
      </c>
      <c r="G243" s="31">
        <f t="shared" si="64"/>
        <v>0.85</v>
      </c>
      <c r="H243">
        <f t="shared" si="65"/>
        <v>4673.420956310305</v>
      </c>
      <c r="I243">
        <f t="shared" si="57"/>
        <v>0</v>
      </c>
      <c r="J243">
        <f t="shared" si="58"/>
        <v>5352.033051824109</v>
      </c>
      <c r="K243">
        <f t="shared" si="59"/>
        <v>5350.9004664220183</v>
      </c>
      <c r="L243">
        <f t="shared" si="66"/>
        <v>5350.9004664220183</v>
      </c>
      <c r="M243">
        <f t="shared" si="60"/>
        <v>0</v>
      </c>
      <c r="N243" s="30">
        <f t="shared" si="67"/>
        <v>5350.9004664220183</v>
      </c>
      <c r="O243" s="30">
        <f t="shared" si="61"/>
        <v>5350.7519133484848</v>
      </c>
      <c r="P243" s="30">
        <f t="shared" si="68"/>
        <v>5350.7519133484848</v>
      </c>
      <c r="Q243">
        <f t="shared" si="69"/>
        <v>0</v>
      </c>
      <c r="R243" s="30">
        <f t="shared" si="70"/>
        <v>5350.7519133484848</v>
      </c>
      <c r="S243" s="30">
        <f t="shared" si="62"/>
        <v>5350.7519133484839</v>
      </c>
      <c r="T243" s="30">
        <f t="shared" si="71"/>
        <v>5350.7519133484839</v>
      </c>
      <c r="U243">
        <f t="shared" si="72"/>
        <v>0</v>
      </c>
      <c r="V243" s="30">
        <f t="shared" si="73"/>
        <v>5350.7519133484839</v>
      </c>
      <c r="W243" s="30">
        <f t="shared" si="63"/>
        <v>5350.7519133484848</v>
      </c>
      <c r="X243" s="30">
        <f t="shared" si="74"/>
        <v>5350.7519133484848</v>
      </c>
      <c r="Y243">
        <f t="shared" si="75"/>
        <v>0</v>
      </c>
    </row>
    <row r="244" spans="1:25" x14ac:dyDescent="0.25">
      <c r="A244" s="4" t="s">
        <v>1128</v>
      </c>
      <c r="B244" s="7" t="s">
        <v>217</v>
      </c>
      <c r="C244" s="2" t="s">
        <v>1129</v>
      </c>
      <c r="D244">
        <f>VLOOKUP(B244,'Model allocations'!$A$1:$L$319,5,FALSE)</f>
        <v>3927.244501101095</v>
      </c>
      <c r="E244" s="32">
        <f>VLOOKUP(B244,'Initial adjusted formula count'!$A$1:$P$319,12,FALSE)</f>
        <v>8.8235294117647106E-2</v>
      </c>
      <c r="F244">
        <f>VLOOKUP(B244,'Model allocations'!$A$1:$L$319,10,FALSE)</f>
        <v>0</v>
      </c>
      <c r="G244" s="31">
        <f t="shared" si="64"/>
        <v>0.85</v>
      </c>
      <c r="H244">
        <f t="shared" si="65"/>
        <v>0</v>
      </c>
      <c r="I244">
        <f t="shared" si="57"/>
        <v>0</v>
      </c>
      <c r="J244">
        <f t="shared" si="58"/>
        <v>0</v>
      </c>
      <c r="K244">
        <f t="shared" si="59"/>
        <v>0</v>
      </c>
      <c r="L244">
        <f t="shared" si="66"/>
        <v>0</v>
      </c>
      <c r="M244">
        <f t="shared" si="60"/>
        <v>0</v>
      </c>
      <c r="N244" s="30">
        <f t="shared" si="67"/>
        <v>0</v>
      </c>
      <c r="O244" s="30">
        <f t="shared" si="61"/>
        <v>0</v>
      </c>
      <c r="P244" s="30">
        <f t="shared" si="68"/>
        <v>0</v>
      </c>
      <c r="Q244">
        <f t="shared" si="69"/>
        <v>0</v>
      </c>
      <c r="R244" s="30">
        <f t="shared" si="70"/>
        <v>0</v>
      </c>
      <c r="S244" s="30">
        <f t="shared" si="62"/>
        <v>0</v>
      </c>
      <c r="T244" s="30">
        <f t="shared" si="71"/>
        <v>0</v>
      </c>
      <c r="U244">
        <f t="shared" si="72"/>
        <v>0</v>
      </c>
      <c r="V244" s="30">
        <f t="shared" si="73"/>
        <v>0</v>
      </c>
      <c r="W244" s="30">
        <f t="shared" si="63"/>
        <v>0</v>
      </c>
      <c r="X244" s="30">
        <f t="shared" si="74"/>
        <v>0</v>
      </c>
      <c r="Y244">
        <f t="shared" si="75"/>
        <v>0</v>
      </c>
    </row>
    <row r="245" spans="1:25" x14ac:dyDescent="0.25">
      <c r="A245" s="4" t="s">
        <v>1130</v>
      </c>
      <c r="B245" s="7" t="s">
        <v>219</v>
      </c>
      <c r="C245" s="2" t="s">
        <v>1131</v>
      </c>
      <c r="D245">
        <f>VLOOKUP(B245,'Model allocations'!$A$1:$L$319,5,FALSE)</f>
        <v>0</v>
      </c>
      <c r="E245" s="32">
        <f>VLOOKUP(B245,'Initial adjusted formula count'!$A$1:$P$319,12,FALSE)</f>
        <v>5.2548067948478598E-2</v>
      </c>
      <c r="F245">
        <f>VLOOKUP(B245,'Model allocations'!$A$1:$L$319,10,FALSE)</f>
        <v>231784.2006289979</v>
      </c>
      <c r="G245" s="31">
        <f t="shared" si="64"/>
        <v>0.85</v>
      </c>
      <c r="H245">
        <f t="shared" si="65"/>
        <v>0</v>
      </c>
      <c r="I245">
        <f t="shared" si="57"/>
        <v>0</v>
      </c>
      <c r="J245">
        <f t="shared" si="58"/>
        <v>231784.2006289979</v>
      </c>
      <c r="K245">
        <f t="shared" si="59"/>
        <v>231735.15096889201</v>
      </c>
      <c r="L245">
        <f t="shared" si="66"/>
        <v>231735.15096889201</v>
      </c>
      <c r="M245">
        <f t="shared" si="60"/>
        <v>0</v>
      </c>
      <c r="N245" s="30">
        <f t="shared" si="67"/>
        <v>231735.15096889201</v>
      </c>
      <c r="O245" s="30">
        <f t="shared" si="61"/>
        <v>231728.717478092</v>
      </c>
      <c r="P245" s="30">
        <f t="shared" si="68"/>
        <v>231728.717478092</v>
      </c>
      <c r="Q245">
        <f t="shared" si="69"/>
        <v>0</v>
      </c>
      <c r="R245" s="30">
        <f t="shared" si="70"/>
        <v>231728.717478092</v>
      </c>
      <c r="S245" s="30">
        <f t="shared" si="62"/>
        <v>231728.71747809194</v>
      </c>
      <c r="T245" s="30">
        <f t="shared" si="71"/>
        <v>231728.71747809194</v>
      </c>
      <c r="U245">
        <f t="shared" si="72"/>
        <v>0</v>
      </c>
      <c r="V245" s="30">
        <f t="shared" si="73"/>
        <v>231728.71747809194</v>
      </c>
      <c r="W245" s="30">
        <f t="shared" si="63"/>
        <v>231728.71747809197</v>
      </c>
      <c r="X245" s="30">
        <f t="shared" si="74"/>
        <v>231728.71747809197</v>
      </c>
      <c r="Y245">
        <f t="shared" si="75"/>
        <v>0</v>
      </c>
    </row>
    <row r="246" spans="1:25" x14ac:dyDescent="0.25">
      <c r="A246" s="8" t="s">
        <v>1132</v>
      </c>
      <c r="B246" s="7" t="s">
        <v>221</v>
      </c>
      <c r="C246" s="2" t="s">
        <v>1133</v>
      </c>
      <c r="D246">
        <f>VLOOKUP(B246,'Model allocations'!$A$1:$L$319,5,FALSE)</f>
        <v>155518.88224360347</v>
      </c>
      <c r="E246" s="32">
        <f>VLOOKUP(B246,'Initial adjusted formula count'!$A$1:$P$319,12,FALSE)</f>
        <v>3.5677352637021702E-2</v>
      </c>
      <c r="F246">
        <f>VLOOKUP(B246,'Model allocations'!$A$1:$L$319,10,FALSE)</f>
        <v>0</v>
      </c>
      <c r="G246" s="31">
        <f t="shared" si="64"/>
        <v>0.85</v>
      </c>
      <c r="H246">
        <f t="shared" si="65"/>
        <v>0</v>
      </c>
      <c r="I246">
        <f t="shared" si="57"/>
        <v>0</v>
      </c>
      <c r="J246">
        <f t="shared" si="58"/>
        <v>0</v>
      </c>
      <c r="K246">
        <f t="shared" si="59"/>
        <v>0</v>
      </c>
      <c r="L246">
        <f t="shared" si="66"/>
        <v>0</v>
      </c>
      <c r="M246">
        <f t="shared" si="60"/>
        <v>0</v>
      </c>
      <c r="N246" s="30">
        <f t="shared" si="67"/>
        <v>0</v>
      </c>
      <c r="O246" s="30">
        <f t="shared" si="61"/>
        <v>0</v>
      </c>
      <c r="P246" s="30">
        <f t="shared" si="68"/>
        <v>0</v>
      </c>
      <c r="Q246">
        <f t="shared" si="69"/>
        <v>0</v>
      </c>
      <c r="R246" s="30">
        <f t="shared" si="70"/>
        <v>0</v>
      </c>
      <c r="S246" s="30">
        <f t="shared" si="62"/>
        <v>0</v>
      </c>
      <c r="T246" s="30">
        <f t="shared" si="71"/>
        <v>0</v>
      </c>
      <c r="U246">
        <f t="shared" si="72"/>
        <v>0</v>
      </c>
      <c r="V246" s="30">
        <f t="shared" si="73"/>
        <v>0</v>
      </c>
      <c r="W246" s="30">
        <f t="shared" si="63"/>
        <v>0</v>
      </c>
      <c r="X246" s="30">
        <f t="shared" si="74"/>
        <v>0</v>
      </c>
      <c r="Y246">
        <f t="shared" si="75"/>
        <v>0</v>
      </c>
    </row>
    <row r="247" spans="1:25" x14ac:dyDescent="0.25">
      <c r="A247" s="4" t="s">
        <v>1134</v>
      </c>
      <c r="B247" s="7" t="s">
        <v>586</v>
      </c>
      <c r="C247" s="2" t="s">
        <v>1135</v>
      </c>
      <c r="D247">
        <f>VLOOKUP(B247,'Model allocations'!$A$1:$L$319,5,FALSE)</f>
        <v>78306.449938480073</v>
      </c>
      <c r="E247" s="32">
        <f>VLOOKUP(B247,'Initial adjusted formula count'!$A$1:$P$319,12,FALSE)</f>
        <v>0.25944170771757002</v>
      </c>
      <c r="F247">
        <f>VLOOKUP(B247,'Model allocations'!$A$1:$L$319,10,FALSE)</f>
        <v>91746.578171505855</v>
      </c>
      <c r="G247" s="31">
        <f t="shared" si="64"/>
        <v>0.9</v>
      </c>
      <c r="H247">
        <f t="shared" si="65"/>
        <v>70475.804944632066</v>
      </c>
      <c r="I247">
        <f t="shared" si="57"/>
        <v>0</v>
      </c>
      <c r="J247">
        <f t="shared" si="58"/>
        <v>91746.578171505855</v>
      </c>
      <c r="K247">
        <f t="shared" si="59"/>
        <v>91727.162963467592</v>
      </c>
      <c r="L247">
        <f t="shared" si="66"/>
        <v>91727.162963467592</v>
      </c>
      <c r="M247">
        <f t="shared" si="60"/>
        <v>0</v>
      </c>
      <c r="N247" s="30">
        <f t="shared" si="67"/>
        <v>91727.162963467592</v>
      </c>
      <c r="O247" s="30">
        <f t="shared" si="61"/>
        <v>91724.616410402305</v>
      </c>
      <c r="P247" s="30">
        <f t="shared" si="68"/>
        <v>91724.616410402305</v>
      </c>
      <c r="Q247">
        <f t="shared" si="69"/>
        <v>0</v>
      </c>
      <c r="R247" s="30">
        <f t="shared" si="70"/>
        <v>91724.616410402305</v>
      </c>
      <c r="S247" s="30">
        <f t="shared" si="62"/>
        <v>91724.61641040229</v>
      </c>
      <c r="T247" s="30">
        <f t="shared" si="71"/>
        <v>91724.61641040229</v>
      </c>
      <c r="U247">
        <f t="shared" si="72"/>
        <v>0</v>
      </c>
      <c r="V247" s="30">
        <f t="shared" si="73"/>
        <v>91724.61641040229</v>
      </c>
      <c r="W247" s="30">
        <f t="shared" si="63"/>
        <v>91724.616410402305</v>
      </c>
      <c r="X247" s="30">
        <f t="shared" si="74"/>
        <v>91724.616410402305</v>
      </c>
      <c r="Y247">
        <f t="shared" si="75"/>
        <v>0</v>
      </c>
    </row>
    <row r="248" spans="1:25" x14ac:dyDescent="0.25">
      <c r="A248" s="4" t="s">
        <v>1136</v>
      </c>
      <c r="B248" s="7" t="s">
        <v>588</v>
      </c>
      <c r="C248" s="2" t="s">
        <v>1137</v>
      </c>
      <c r="D248">
        <f>VLOOKUP(B248,'Model allocations'!$A$1:$L$319,5,FALSE)</f>
        <v>38413.026460612498</v>
      </c>
      <c r="E248" s="32">
        <f>VLOOKUP(B248,'Initial adjusted formula count'!$A$1:$P$319,12,FALSE)</f>
        <v>0.25</v>
      </c>
      <c r="F248">
        <f>VLOOKUP(B248,'Model allocations'!$A$1:$L$319,10,FALSE)</f>
        <v>54118.440796524927</v>
      </c>
      <c r="G248" s="31">
        <f t="shared" si="64"/>
        <v>0.9</v>
      </c>
      <c r="H248">
        <f t="shared" si="65"/>
        <v>34571.723814551253</v>
      </c>
      <c r="I248">
        <f t="shared" si="57"/>
        <v>0</v>
      </c>
      <c r="J248">
        <f t="shared" si="58"/>
        <v>54118.440796524927</v>
      </c>
      <c r="K248">
        <f t="shared" si="59"/>
        <v>54106.988371729247</v>
      </c>
      <c r="L248">
        <f t="shared" si="66"/>
        <v>54106.988371729247</v>
      </c>
      <c r="M248">
        <f t="shared" si="60"/>
        <v>0</v>
      </c>
      <c r="N248" s="30">
        <f t="shared" si="67"/>
        <v>54106.988371729247</v>
      </c>
      <c r="O248" s="30">
        <f t="shared" si="61"/>
        <v>54105.486239616577</v>
      </c>
      <c r="P248" s="30">
        <f t="shared" si="68"/>
        <v>54105.486239616577</v>
      </c>
      <c r="Q248">
        <f t="shared" si="69"/>
        <v>0</v>
      </c>
      <c r="R248" s="30">
        <f t="shared" si="70"/>
        <v>54105.486239616577</v>
      </c>
      <c r="S248" s="30">
        <f t="shared" si="62"/>
        <v>54105.48623961657</v>
      </c>
      <c r="T248" s="30">
        <f t="shared" si="71"/>
        <v>54105.48623961657</v>
      </c>
      <c r="U248">
        <f t="shared" si="72"/>
        <v>0</v>
      </c>
      <c r="V248" s="30">
        <f t="shared" si="73"/>
        <v>54105.48623961657</v>
      </c>
      <c r="W248" s="30">
        <f t="shared" si="63"/>
        <v>54105.48623961657</v>
      </c>
      <c r="X248" s="30">
        <f t="shared" si="74"/>
        <v>54105.48623961657</v>
      </c>
      <c r="Y248">
        <f t="shared" si="75"/>
        <v>0</v>
      </c>
    </row>
    <row r="249" spans="1:25" x14ac:dyDescent="0.25">
      <c r="A249" s="4" t="s">
        <v>1138</v>
      </c>
      <c r="B249" s="7" t="s">
        <v>223</v>
      </c>
      <c r="C249" s="2" t="s">
        <v>1139</v>
      </c>
      <c r="D249">
        <f>VLOOKUP(B249,'Model allocations'!$A$1:$L$319,5,FALSE)</f>
        <v>496403.7049391786</v>
      </c>
      <c r="E249" s="32">
        <f>VLOOKUP(B249,'Initial adjusted formula count'!$A$1:$P$319,12,FALSE)</f>
        <v>9.9468814256339994E-2</v>
      </c>
      <c r="F249">
        <f>VLOOKUP(B249,'Model allocations'!$A$1:$L$319,10,FALSE)</f>
        <v>574726.01079588104</v>
      </c>
      <c r="G249" s="31">
        <f t="shared" si="64"/>
        <v>0.85</v>
      </c>
      <c r="H249">
        <f t="shared" si="65"/>
        <v>421943.14919830178</v>
      </c>
      <c r="I249">
        <f t="shared" si="57"/>
        <v>0</v>
      </c>
      <c r="J249">
        <f t="shared" si="58"/>
        <v>574726.01079588104</v>
      </c>
      <c r="K249">
        <f t="shared" si="59"/>
        <v>574604.38854808733</v>
      </c>
      <c r="L249">
        <f t="shared" si="66"/>
        <v>574604.38854808733</v>
      </c>
      <c r="M249">
        <f t="shared" si="60"/>
        <v>0</v>
      </c>
      <c r="N249" s="30">
        <f t="shared" si="67"/>
        <v>574604.38854808733</v>
      </c>
      <c r="O249" s="30">
        <f t="shared" si="61"/>
        <v>574588.43623342167</v>
      </c>
      <c r="P249" s="30">
        <f t="shared" si="68"/>
        <v>574588.43623342167</v>
      </c>
      <c r="Q249">
        <f t="shared" si="69"/>
        <v>0</v>
      </c>
      <c r="R249" s="30">
        <f t="shared" si="70"/>
        <v>574588.43623342167</v>
      </c>
      <c r="S249" s="30">
        <f t="shared" si="62"/>
        <v>574588.43623342155</v>
      </c>
      <c r="T249" s="30">
        <f t="shared" si="71"/>
        <v>574588.43623342155</v>
      </c>
      <c r="U249">
        <f t="shared" si="72"/>
        <v>0</v>
      </c>
      <c r="V249" s="30">
        <f t="shared" si="73"/>
        <v>574588.43623342155</v>
      </c>
      <c r="W249" s="30">
        <f t="shared" si="63"/>
        <v>574588.43623342155</v>
      </c>
      <c r="X249" s="30">
        <f t="shared" si="74"/>
        <v>574588.43623342155</v>
      </c>
      <c r="Y249">
        <f t="shared" si="75"/>
        <v>0</v>
      </c>
    </row>
    <row r="250" spans="1:25" x14ac:dyDescent="0.25">
      <c r="A250" s="4" t="s">
        <v>1140</v>
      </c>
      <c r="B250" s="7" t="s">
        <v>225</v>
      </c>
      <c r="C250" s="2" t="s">
        <v>1141</v>
      </c>
      <c r="D250">
        <f>VLOOKUP(B250,'Model allocations'!$A$1:$L$319,5,FALSE)</f>
        <v>70297.676569709613</v>
      </c>
      <c r="E250" s="32">
        <f>VLOOKUP(B250,'Initial adjusted formula count'!$A$1:$P$319,12,FALSE)</f>
        <v>7.1143995446784306E-2</v>
      </c>
      <c r="F250">
        <f>VLOOKUP(B250,'Model allocations'!$A$1:$L$319,10,FALSE)</f>
        <v>59753.025084253168</v>
      </c>
      <c r="G250" s="31">
        <f t="shared" si="64"/>
        <v>0.85</v>
      </c>
      <c r="H250">
        <f t="shared" si="65"/>
        <v>59753.025084253168</v>
      </c>
      <c r="I250">
        <f t="shared" si="57"/>
        <v>0</v>
      </c>
      <c r="J250">
        <f t="shared" si="58"/>
        <v>59753.025084253168</v>
      </c>
      <c r="K250">
        <f t="shared" si="59"/>
        <v>59740.380281187514</v>
      </c>
      <c r="L250">
        <f t="shared" si="66"/>
        <v>59740.380281187514</v>
      </c>
      <c r="M250">
        <f t="shared" si="60"/>
        <v>59753.025084253168</v>
      </c>
      <c r="N250" s="30">
        <f t="shared" si="67"/>
        <v>0</v>
      </c>
      <c r="O250" s="30">
        <f t="shared" si="61"/>
        <v>0</v>
      </c>
      <c r="P250" s="30">
        <f t="shared" si="68"/>
        <v>59753.025084253168</v>
      </c>
      <c r="Q250">
        <f t="shared" si="69"/>
        <v>0</v>
      </c>
      <c r="R250" s="30">
        <f t="shared" si="70"/>
        <v>0</v>
      </c>
      <c r="S250" s="30">
        <f t="shared" si="62"/>
        <v>0</v>
      </c>
      <c r="T250" s="30">
        <f t="shared" si="71"/>
        <v>59753.025084253168</v>
      </c>
      <c r="U250">
        <f t="shared" si="72"/>
        <v>0</v>
      </c>
      <c r="V250" s="30">
        <f t="shared" si="73"/>
        <v>0</v>
      </c>
      <c r="W250" s="30">
        <f t="shared" si="63"/>
        <v>0</v>
      </c>
      <c r="X250" s="30">
        <f t="shared" si="74"/>
        <v>59753.025084253168</v>
      </c>
      <c r="Y250">
        <f t="shared" si="75"/>
        <v>0</v>
      </c>
    </row>
    <row r="251" spans="1:25" x14ac:dyDescent="0.25">
      <c r="A251" s="4" t="s">
        <v>1142</v>
      </c>
      <c r="B251" s="7" t="s">
        <v>590</v>
      </c>
      <c r="C251" s="2" t="s">
        <v>1143</v>
      </c>
      <c r="D251">
        <f>VLOOKUP(B251,'Model allocations'!$A$1:$L$319,5,FALSE)</f>
        <v>20826.042629284922</v>
      </c>
      <c r="E251" s="32">
        <f>VLOOKUP(B251,'Initial adjusted formula count'!$A$1:$P$319,12,FALSE)</f>
        <v>0.16477272727272699</v>
      </c>
      <c r="F251">
        <f>VLOOKUP(B251,'Model allocations'!$A$1:$L$319,10,FALSE)</f>
        <v>24853.524069150706</v>
      </c>
      <c r="G251" s="31">
        <f t="shared" si="64"/>
        <v>0.9</v>
      </c>
      <c r="H251">
        <f t="shared" si="65"/>
        <v>18743.438366356429</v>
      </c>
      <c r="I251">
        <f t="shared" si="57"/>
        <v>0</v>
      </c>
      <c r="J251">
        <f t="shared" si="58"/>
        <v>24853.524069150706</v>
      </c>
      <c r="K251">
        <f t="shared" si="59"/>
        <v>24848.264621333652</v>
      </c>
      <c r="L251">
        <f t="shared" si="66"/>
        <v>24848.264621333652</v>
      </c>
      <c r="M251">
        <f t="shared" si="60"/>
        <v>0</v>
      </c>
      <c r="N251" s="30">
        <f t="shared" si="67"/>
        <v>24848.264621333652</v>
      </c>
      <c r="O251" s="30">
        <f t="shared" si="61"/>
        <v>24847.574777427068</v>
      </c>
      <c r="P251" s="30">
        <f t="shared" si="68"/>
        <v>24847.574777427068</v>
      </c>
      <c r="Q251">
        <f t="shared" si="69"/>
        <v>0</v>
      </c>
      <c r="R251" s="30">
        <f t="shared" si="70"/>
        <v>24847.574777427068</v>
      </c>
      <c r="S251" s="30">
        <f t="shared" si="62"/>
        <v>24847.574777427064</v>
      </c>
      <c r="T251" s="30">
        <f t="shared" si="71"/>
        <v>24847.574777427064</v>
      </c>
      <c r="U251">
        <f t="shared" si="72"/>
        <v>0</v>
      </c>
      <c r="V251" s="30">
        <f t="shared" si="73"/>
        <v>24847.574777427064</v>
      </c>
      <c r="W251" s="30">
        <f t="shared" si="63"/>
        <v>24847.574777427068</v>
      </c>
      <c r="X251" s="30">
        <f t="shared" si="74"/>
        <v>24847.574777427068</v>
      </c>
      <c r="Y251">
        <f t="shared" si="75"/>
        <v>0</v>
      </c>
    </row>
    <row r="252" spans="1:25" x14ac:dyDescent="0.25">
      <c r="A252" s="4" t="s">
        <v>33</v>
      </c>
      <c r="B252" s="7" t="s">
        <v>64</v>
      </c>
      <c r="C252" s="2" t="s">
        <v>1144</v>
      </c>
      <c r="D252">
        <f>VLOOKUP(B252,'Model allocations'!$A$1:$L$319,5,FALSE)</f>
        <v>3547832.2598081236</v>
      </c>
      <c r="E252" s="32">
        <f>VLOOKUP(B252,'Initial adjusted formula count'!$A$1:$P$319,12,FALSE)</f>
        <v>0.17913446483256601</v>
      </c>
      <c r="F252">
        <f>VLOOKUP(B252,'Model allocations'!$A$1:$L$319,10,FALSE)</f>
        <v>4365171.4153176015</v>
      </c>
      <c r="G252" s="31">
        <f t="shared" si="64"/>
        <v>0.9</v>
      </c>
      <c r="H252">
        <f t="shared" si="65"/>
        <v>3193049.0338273114</v>
      </c>
      <c r="I252">
        <f t="shared" si="57"/>
        <v>0</v>
      </c>
      <c r="J252">
        <f t="shared" si="58"/>
        <v>4365171.4153176015</v>
      </c>
      <c r="K252">
        <f t="shared" si="59"/>
        <v>4364247.6673932634</v>
      </c>
      <c r="L252">
        <f t="shared" si="66"/>
        <v>4364247.6673932634</v>
      </c>
      <c r="M252">
        <f t="shared" si="60"/>
        <v>0</v>
      </c>
      <c r="N252" s="30">
        <f t="shared" si="67"/>
        <v>4364247.6673932634</v>
      </c>
      <c r="O252" s="30">
        <f t="shared" si="61"/>
        <v>4364126.5060282322</v>
      </c>
      <c r="P252" s="30">
        <f t="shared" si="68"/>
        <v>4364126.5060282322</v>
      </c>
      <c r="Q252">
        <f t="shared" si="69"/>
        <v>0</v>
      </c>
      <c r="R252" s="30">
        <f t="shared" si="70"/>
        <v>4364126.5060282322</v>
      </c>
      <c r="S252" s="30">
        <f t="shared" si="62"/>
        <v>4364126.5060282303</v>
      </c>
      <c r="T252" s="30">
        <f t="shared" si="71"/>
        <v>4364126.5060282303</v>
      </c>
      <c r="U252">
        <f t="shared" si="72"/>
        <v>0</v>
      </c>
      <c r="V252" s="30">
        <f t="shared" si="73"/>
        <v>4364126.5060282303</v>
      </c>
      <c r="W252" s="30">
        <f t="shared" si="63"/>
        <v>4364126.5060282303</v>
      </c>
      <c r="X252" s="30">
        <f t="shared" si="74"/>
        <v>4364126.5060282303</v>
      </c>
      <c r="Y252">
        <f t="shared" si="75"/>
        <v>0</v>
      </c>
    </row>
    <row r="253" spans="1:25" x14ac:dyDescent="0.25">
      <c r="A253" s="4" t="s">
        <v>36</v>
      </c>
      <c r="B253" s="7" t="s">
        <v>82</v>
      </c>
      <c r="C253" s="2" t="s">
        <v>1145</v>
      </c>
      <c r="D253">
        <f>VLOOKUP(B253,'Model allocations'!$A$1:$L$319,5,FALSE)</f>
        <v>95561.838080662201</v>
      </c>
      <c r="E253" s="32">
        <f>VLOOKUP(B253,'Initial adjusted formula count'!$A$1:$P$319,12,FALSE)</f>
        <v>0.13576918390878001</v>
      </c>
      <c r="F253">
        <f>VLOOKUP(B253,'Model allocations'!$A$1:$L$319,10,FALSE)</f>
        <v>95794.604530265715</v>
      </c>
      <c r="G253" s="31">
        <f t="shared" si="64"/>
        <v>0.85</v>
      </c>
      <c r="H253">
        <f t="shared" si="65"/>
        <v>81227.562368562867</v>
      </c>
      <c r="I253">
        <f t="shared" si="57"/>
        <v>0</v>
      </c>
      <c r="J253">
        <f t="shared" si="58"/>
        <v>95794.604530265715</v>
      </c>
      <c r="K253">
        <f t="shared" si="59"/>
        <v>95774.332687838847</v>
      </c>
      <c r="L253">
        <f t="shared" si="66"/>
        <v>95774.332687838847</v>
      </c>
      <c r="M253">
        <f t="shared" si="60"/>
        <v>0</v>
      </c>
      <c r="N253" s="30">
        <f t="shared" si="67"/>
        <v>95774.332687838847</v>
      </c>
      <c r="O253" s="30">
        <f t="shared" si="61"/>
        <v>95771.673776207841</v>
      </c>
      <c r="P253" s="30">
        <f t="shared" si="68"/>
        <v>95771.673776207841</v>
      </c>
      <c r="Q253">
        <f t="shared" si="69"/>
        <v>0</v>
      </c>
      <c r="R253" s="30">
        <f t="shared" si="70"/>
        <v>95771.673776207841</v>
      </c>
      <c r="S253" s="30">
        <f t="shared" si="62"/>
        <v>95771.673776207826</v>
      </c>
      <c r="T253" s="30">
        <f t="shared" si="71"/>
        <v>95771.673776207826</v>
      </c>
      <c r="U253">
        <f t="shared" si="72"/>
        <v>0</v>
      </c>
      <c r="V253" s="30">
        <f t="shared" si="73"/>
        <v>95771.673776207826</v>
      </c>
      <c r="W253" s="30">
        <f t="shared" si="63"/>
        <v>95771.673776207841</v>
      </c>
      <c r="X253" s="30">
        <f t="shared" si="74"/>
        <v>95771.673776207841</v>
      </c>
      <c r="Y253">
        <f t="shared" si="75"/>
        <v>0</v>
      </c>
    </row>
    <row r="254" spans="1:25" x14ac:dyDescent="0.25">
      <c r="A254" s="4" t="s">
        <v>1146</v>
      </c>
      <c r="B254" s="7" t="s">
        <v>592</v>
      </c>
      <c r="C254" s="2" t="s">
        <v>1147</v>
      </c>
      <c r="D254">
        <f>VLOOKUP(B254,'Model allocations'!$A$1:$L$319,5,FALSE)</f>
        <v>10025.037765515757</v>
      </c>
      <c r="E254" s="32">
        <f>VLOOKUP(B254,'Initial adjusted formula count'!$A$1:$P$319,12,FALSE)</f>
        <v>0.178294573643411</v>
      </c>
      <c r="F254">
        <f>VLOOKUP(B254,'Model allocations'!$A$1:$L$319,10,FALSE)</f>
        <v>10364.973640330141</v>
      </c>
      <c r="G254" s="31">
        <f t="shared" si="64"/>
        <v>0.9</v>
      </c>
      <c r="H254">
        <f t="shared" si="65"/>
        <v>9022.5339889641818</v>
      </c>
      <c r="I254">
        <f t="shared" si="57"/>
        <v>0</v>
      </c>
      <c r="J254">
        <f t="shared" si="58"/>
        <v>10364.973640330141</v>
      </c>
      <c r="K254">
        <f t="shared" si="59"/>
        <v>10362.780227523379</v>
      </c>
      <c r="L254">
        <f t="shared" si="66"/>
        <v>10362.780227523379</v>
      </c>
      <c r="M254">
        <f t="shared" si="60"/>
        <v>0</v>
      </c>
      <c r="N254" s="30">
        <f t="shared" si="67"/>
        <v>10362.780227523379</v>
      </c>
      <c r="O254" s="30">
        <f t="shared" si="61"/>
        <v>10362.492533356235</v>
      </c>
      <c r="P254" s="30">
        <f t="shared" si="68"/>
        <v>10362.492533356235</v>
      </c>
      <c r="Q254">
        <f t="shared" si="69"/>
        <v>0</v>
      </c>
      <c r="R254" s="30">
        <f t="shared" si="70"/>
        <v>10362.492533356235</v>
      </c>
      <c r="S254" s="30">
        <f t="shared" si="62"/>
        <v>10362.492533356233</v>
      </c>
      <c r="T254" s="30">
        <f t="shared" si="71"/>
        <v>10362.492533356233</v>
      </c>
      <c r="U254">
        <f t="shared" si="72"/>
        <v>0</v>
      </c>
      <c r="V254" s="30">
        <f t="shared" si="73"/>
        <v>10362.492533356233</v>
      </c>
      <c r="W254" s="30">
        <f t="shared" si="63"/>
        <v>10362.492533356235</v>
      </c>
      <c r="X254" s="30">
        <f t="shared" si="74"/>
        <v>10362.492533356235</v>
      </c>
      <c r="Y254">
        <f t="shared" si="75"/>
        <v>0</v>
      </c>
    </row>
    <row r="255" spans="1:25" x14ac:dyDescent="0.25">
      <c r="A255" s="4" t="s">
        <v>1148</v>
      </c>
      <c r="B255" s="7" t="s">
        <v>594</v>
      </c>
      <c r="C255" s="2" t="s">
        <v>1149</v>
      </c>
      <c r="D255">
        <f>VLOOKUP(B255,'Model allocations'!$A$1:$L$319,5,FALSE)</f>
        <v>8639.9379024224127</v>
      </c>
      <c r="E255" s="32">
        <f>VLOOKUP(B255,'Initial adjusted formula count'!$A$1:$P$319,12,FALSE)</f>
        <v>0.14838709677419401</v>
      </c>
      <c r="F255">
        <f>VLOOKUP(B255,'Model allocations'!$A$1:$L$319,10,FALSE)</f>
        <v>9468.9815532272696</v>
      </c>
      <c r="G255" s="31">
        <f t="shared" si="64"/>
        <v>0.85</v>
      </c>
      <c r="H255">
        <f t="shared" si="65"/>
        <v>7343.9472170590507</v>
      </c>
      <c r="I255">
        <f t="shared" si="57"/>
        <v>0</v>
      </c>
      <c r="J255">
        <f t="shared" si="58"/>
        <v>9468.9815532272696</v>
      </c>
      <c r="K255">
        <f t="shared" si="59"/>
        <v>9466.9777482851096</v>
      </c>
      <c r="L255">
        <f t="shared" si="66"/>
        <v>9466.9777482851096</v>
      </c>
      <c r="M255">
        <f t="shared" si="60"/>
        <v>0</v>
      </c>
      <c r="N255" s="30">
        <f t="shared" si="67"/>
        <v>9466.9777482851096</v>
      </c>
      <c r="O255" s="30">
        <f t="shared" si="61"/>
        <v>9466.7149236165496</v>
      </c>
      <c r="P255" s="30">
        <f t="shared" si="68"/>
        <v>9466.7149236165496</v>
      </c>
      <c r="Q255">
        <f t="shared" si="69"/>
        <v>0</v>
      </c>
      <c r="R255" s="30">
        <f t="shared" si="70"/>
        <v>9466.7149236165496</v>
      </c>
      <c r="S255" s="30">
        <f t="shared" si="62"/>
        <v>9466.7149236165478</v>
      </c>
      <c r="T255" s="30">
        <f t="shared" si="71"/>
        <v>9466.7149236165478</v>
      </c>
      <c r="U255">
        <f t="shared" si="72"/>
        <v>0</v>
      </c>
      <c r="V255" s="30">
        <f t="shared" si="73"/>
        <v>9466.7149236165478</v>
      </c>
      <c r="W255" s="30">
        <f t="shared" si="63"/>
        <v>9466.7149236165496</v>
      </c>
      <c r="X255" s="30">
        <f t="shared" si="74"/>
        <v>9466.7149236165496</v>
      </c>
      <c r="Y255">
        <f t="shared" si="75"/>
        <v>0</v>
      </c>
    </row>
    <row r="256" spans="1:25" x14ac:dyDescent="0.25">
      <c r="A256" s="4" t="s">
        <v>1150</v>
      </c>
      <c r="B256" s="7" t="s">
        <v>227</v>
      </c>
      <c r="C256" s="2" t="s">
        <v>1151</v>
      </c>
      <c r="D256">
        <f>VLOOKUP(B256,'Model allocations'!$A$1:$L$319,5,FALSE)</f>
        <v>158660.67784448428</v>
      </c>
      <c r="E256" s="32">
        <f>VLOOKUP(B256,'Initial adjusted formula count'!$A$1:$P$319,12,FALSE)</f>
        <v>7.4819878071309798E-2</v>
      </c>
      <c r="F256">
        <f>VLOOKUP(B256,'Model allocations'!$A$1:$L$319,10,FALSE)</f>
        <v>166736.41430682797</v>
      </c>
      <c r="G256" s="31">
        <f t="shared" si="64"/>
        <v>0.85</v>
      </c>
      <c r="H256">
        <f t="shared" si="65"/>
        <v>134861.57616781164</v>
      </c>
      <c r="I256">
        <f t="shared" si="57"/>
        <v>0</v>
      </c>
      <c r="J256">
        <f t="shared" si="58"/>
        <v>166736.41430682797</v>
      </c>
      <c r="K256">
        <f t="shared" si="59"/>
        <v>166701.12991545515</v>
      </c>
      <c r="L256">
        <f t="shared" si="66"/>
        <v>166701.12991545515</v>
      </c>
      <c r="M256">
        <f t="shared" si="60"/>
        <v>0</v>
      </c>
      <c r="N256" s="30">
        <f t="shared" si="67"/>
        <v>166701.12991545515</v>
      </c>
      <c r="O256" s="30">
        <f t="shared" si="61"/>
        <v>166696.50191585658</v>
      </c>
      <c r="P256" s="30">
        <f t="shared" si="68"/>
        <v>166696.50191585658</v>
      </c>
      <c r="Q256">
        <f t="shared" si="69"/>
        <v>0</v>
      </c>
      <c r="R256" s="30">
        <f t="shared" si="70"/>
        <v>166696.50191585658</v>
      </c>
      <c r="S256" s="30">
        <f t="shared" si="62"/>
        <v>166696.50191585656</v>
      </c>
      <c r="T256" s="30">
        <f t="shared" si="71"/>
        <v>166696.50191585656</v>
      </c>
      <c r="U256">
        <f t="shared" si="72"/>
        <v>0</v>
      </c>
      <c r="V256" s="30">
        <f t="shared" si="73"/>
        <v>166696.50191585656</v>
      </c>
      <c r="W256" s="30">
        <f t="shared" si="63"/>
        <v>166696.50191585656</v>
      </c>
      <c r="X256" s="30">
        <f t="shared" si="74"/>
        <v>166696.50191585656</v>
      </c>
      <c r="Y256">
        <f t="shared" si="75"/>
        <v>0</v>
      </c>
    </row>
    <row r="257" spans="1:25" x14ac:dyDescent="0.25">
      <c r="A257" s="4" t="s">
        <v>1152</v>
      </c>
      <c r="B257" s="7" t="s">
        <v>229</v>
      </c>
      <c r="C257" s="2" t="s">
        <v>1153</v>
      </c>
      <c r="D257">
        <f>VLOOKUP(B257,'Model allocations'!$A$1:$L$319,5,FALSE)</f>
        <v>0</v>
      </c>
      <c r="E257" s="32">
        <f>VLOOKUP(B257,'Initial adjusted formula count'!$A$1:$P$319,12,FALSE)</f>
        <v>0.16</v>
      </c>
      <c r="F257">
        <f>VLOOKUP(B257,'Model allocations'!$A$1:$L$319,10,FALSE)</f>
        <v>0</v>
      </c>
      <c r="G257" s="31">
        <f t="shared" si="64"/>
        <v>0.9</v>
      </c>
      <c r="H257">
        <f t="shared" si="65"/>
        <v>0</v>
      </c>
      <c r="I257">
        <f t="shared" si="57"/>
        <v>0</v>
      </c>
      <c r="J257">
        <f t="shared" si="58"/>
        <v>0</v>
      </c>
      <c r="K257">
        <f t="shared" si="59"/>
        <v>0</v>
      </c>
      <c r="L257">
        <f t="shared" si="66"/>
        <v>0</v>
      </c>
      <c r="M257">
        <f t="shared" si="60"/>
        <v>0</v>
      </c>
      <c r="N257" s="30">
        <f t="shared" si="67"/>
        <v>0</v>
      </c>
      <c r="O257" s="30">
        <f t="shared" si="61"/>
        <v>0</v>
      </c>
      <c r="P257" s="30">
        <f t="shared" si="68"/>
        <v>0</v>
      </c>
      <c r="Q257">
        <f t="shared" si="69"/>
        <v>0</v>
      </c>
      <c r="R257" s="30">
        <f t="shared" si="70"/>
        <v>0</v>
      </c>
      <c r="S257" s="30">
        <f t="shared" si="62"/>
        <v>0</v>
      </c>
      <c r="T257" s="30">
        <f t="shared" si="71"/>
        <v>0</v>
      </c>
      <c r="U257">
        <f t="shared" si="72"/>
        <v>0</v>
      </c>
      <c r="V257" s="30">
        <f t="shared" si="73"/>
        <v>0</v>
      </c>
      <c r="W257" s="30">
        <f t="shared" si="63"/>
        <v>0</v>
      </c>
      <c r="X257" s="30">
        <f t="shared" si="74"/>
        <v>0</v>
      </c>
      <c r="Y257">
        <f t="shared" si="75"/>
        <v>0</v>
      </c>
    </row>
    <row r="258" spans="1:25" x14ac:dyDescent="0.25">
      <c r="A258" s="4" t="s">
        <v>1154</v>
      </c>
      <c r="B258" s="7" t="s">
        <v>596</v>
      </c>
      <c r="C258" s="2" t="s">
        <v>1155</v>
      </c>
      <c r="D258">
        <f>VLOOKUP(B258,'Model allocations'!$A$1:$L$319,5,FALSE)</f>
        <v>0</v>
      </c>
      <c r="E258" s="32">
        <f>VLOOKUP(B258,'Initial adjusted formula count'!$A$1:$P$319,12,FALSE)</f>
        <v>1.06666666666667</v>
      </c>
      <c r="F258">
        <f>VLOOKUP(B258,'Model allocations'!$A$1:$L$319,10,FALSE)</f>
        <v>21434.840910699284</v>
      </c>
      <c r="G258" s="31">
        <f t="shared" si="64"/>
        <v>0.95</v>
      </c>
      <c r="H258">
        <f t="shared" si="65"/>
        <v>0</v>
      </c>
      <c r="I258">
        <f t="shared" si="57"/>
        <v>0</v>
      </c>
      <c r="J258">
        <f t="shared" si="58"/>
        <v>21434.840910699284</v>
      </c>
      <c r="K258">
        <f t="shared" si="59"/>
        <v>21430.304917054156</v>
      </c>
      <c r="L258">
        <f t="shared" si="66"/>
        <v>21430.304917054156</v>
      </c>
      <c r="M258">
        <f t="shared" si="60"/>
        <v>0</v>
      </c>
      <c r="N258" s="30">
        <f t="shared" si="67"/>
        <v>21430.304917054156</v>
      </c>
      <c r="O258" s="30">
        <f t="shared" si="61"/>
        <v>21429.709963423047</v>
      </c>
      <c r="P258" s="30">
        <f t="shared" si="68"/>
        <v>21429.709963423047</v>
      </c>
      <c r="Q258">
        <f t="shared" si="69"/>
        <v>0</v>
      </c>
      <c r="R258" s="30">
        <f t="shared" si="70"/>
        <v>21429.709963423047</v>
      </c>
      <c r="S258" s="30">
        <f t="shared" si="62"/>
        <v>21429.70996342304</v>
      </c>
      <c r="T258" s="30">
        <f t="shared" si="71"/>
        <v>21429.70996342304</v>
      </c>
      <c r="U258">
        <f t="shared" si="72"/>
        <v>0</v>
      </c>
      <c r="V258" s="30">
        <f t="shared" si="73"/>
        <v>21429.70996342304</v>
      </c>
      <c r="W258" s="30">
        <f t="shared" si="63"/>
        <v>21429.70996342304</v>
      </c>
      <c r="X258" s="30">
        <f t="shared" si="74"/>
        <v>21429.70996342304</v>
      </c>
      <c r="Y258">
        <f t="shared" si="75"/>
        <v>0</v>
      </c>
    </row>
    <row r="259" spans="1:25" x14ac:dyDescent="0.25">
      <c r="A259" s="4" t="s">
        <v>1156</v>
      </c>
      <c r="B259" s="7" t="s">
        <v>231</v>
      </c>
      <c r="C259" s="2" t="s">
        <v>1157</v>
      </c>
      <c r="D259">
        <f>VLOOKUP(B259,'Model allocations'!$A$1:$L$319,5,FALSE)</f>
        <v>0</v>
      </c>
      <c r="E259" s="32">
        <f>VLOOKUP(B259,'Initial adjusted formula count'!$A$1:$P$319,12,FALSE)</f>
        <v>0.2</v>
      </c>
      <c r="F259">
        <f>VLOOKUP(B259,'Model allocations'!$A$1:$L$319,10,FALSE)</f>
        <v>0</v>
      </c>
      <c r="G259" s="31">
        <f t="shared" si="64"/>
        <v>0.9</v>
      </c>
      <c r="H259">
        <f t="shared" si="65"/>
        <v>0</v>
      </c>
      <c r="I259">
        <f t="shared" si="57"/>
        <v>0</v>
      </c>
      <c r="J259">
        <f t="shared" si="58"/>
        <v>0</v>
      </c>
      <c r="K259">
        <f t="shared" si="59"/>
        <v>0</v>
      </c>
      <c r="L259">
        <f t="shared" si="66"/>
        <v>0</v>
      </c>
      <c r="M259">
        <f t="shared" si="60"/>
        <v>0</v>
      </c>
      <c r="N259" s="30">
        <f t="shared" si="67"/>
        <v>0</v>
      </c>
      <c r="O259" s="30">
        <f t="shared" si="61"/>
        <v>0</v>
      </c>
      <c r="P259" s="30">
        <f t="shared" si="68"/>
        <v>0</v>
      </c>
      <c r="Q259">
        <f t="shared" si="69"/>
        <v>0</v>
      </c>
      <c r="R259" s="30">
        <f t="shared" si="70"/>
        <v>0</v>
      </c>
      <c r="S259" s="30">
        <f t="shared" si="62"/>
        <v>0</v>
      </c>
      <c r="T259" s="30">
        <f t="shared" si="71"/>
        <v>0</v>
      </c>
      <c r="U259">
        <f t="shared" si="72"/>
        <v>0</v>
      </c>
      <c r="V259" s="30">
        <f t="shared" si="73"/>
        <v>0</v>
      </c>
      <c r="W259" s="30">
        <f t="shared" si="63"/>
        <v>0</v>
      </c>
      <c r="X259" s="30">
        <f t="shared" si="74"/>
        <v>0</v>
      </c>
      <c r="Y259">
        <f t="shared" si="75"/>
        <v>0</v>
      </c>
    </row>
    <row r="260" spans="1:25" x14ac:dyDescent="0.25">
      <c r="A260" s="4" t="s">
        <v>1158</v>
      </c>
      <c r="B260" s="7" t="s">
        <v>233</v>
      </c>
      <c r="C260" s="2" t="s">
        <v>1159</v>
      </c>
      <c r="D260">
        <f>VLOOKUP(B260,'Model allocations'!$A$1:$L$319,5,FALSE)</f>
        <v>103286.53037895885</v>
      </c>
      <c r="E260" s="32">
        <f>VLOOKUP(B260,'Initial adjusted formula count'!$A$1:$P$319,12,FALSE)</f>
        <v>7.0326334429547194E-2</v>
      </c>
      <c r="F260">
        <f>VLOOKUP(B260,'Model allocations'!$A$1:$L$319,10,FALSE)</f>
        <v>114451.16833900785</v>
      </c>
      <c r="G260" s="31">
        <f t="shared" si="64"/>
        <v>0.85</v>
      </c>
      <c r="H260">
        <f t="shared" si="65"/>
        <v>87793.550822115023</v>
      </c>
      <c r="I260">
        <f t="shared" ref="I260:I318" si="76">IF(F260&lt;H260,H260,0)</f>
        <v>0</v>
      </c>
      <c r="J260">
        <f t="shared" ref="J260:J318" si="77">IF(I260=0,F260,0)</f>
        <v>114451.16833900785</v>
      </c>
      <c r="K260">
        <f t="shared" ref="K260:K318" si="78">(J260/$J$3)*($F$3-$I$3)</f>
        <v>114426.94843579392</v>
      </c>
      <c r="L260">
        <f t="shared" si="66"/>
        <v>114426.94843579392</v>
      </c>
      <c r="M260">
        <f t="shared" ref="M260:M318" si="79">IF(L260&lt;H260,H260,0)</f>
        <v>0</v>
      </c>
      <c r="N260" s="30">
        <f t="shared" si="67"/>
        <v>114426.94843579392</v>
      </c>
      <c r="O260" s="30">
        <f t="shared" ref="O260:O318" si="80">((N260/$N$3)*($F$3-$I$3-$M$3))</f>
        <v>114423.77168545219</v>
      </c>
      <c r="P260" s="30">
        <f t="shared" si="68"/>
        <v>114423.77168545219</v>
      </c>
      <c r="Q260">
        <f t="shared" si="69"/>
        <v>0</v>
      </c>
      <c r="R260" s="30">
        <f t="shared" si="70"/>
        <v>114423.77168545219</v>
      </c>
      <c r="S260" s="30">
        <f t="shared" ref="S260:S318" si="81">((R260/$R$3)*($F$3-$I$3-$M$3-$Q$3))</f>
        <v>114423.77168545216</v>
      </c>
      <c r="T260" s="30">
        <f t="shared" si="71"/>
        <v>114423.77168545216</v>
      </c>
      <c r="U260">
        <f t="shared" si="72"/>
        <v>0</v>
      </c>
      <c r="V260" s="30">
        <f t="shared" si="73"/>
        <v>114423.77168545216</v>
      </c>
      <c r="W260" s="30">
        <f t="shared" ref="W260:W318" si="82">((V260/$V$3)*($F$3-$I$3-$M$3-$Q$3-$U$3))</f>
        <v>114423.77168545217</v>
      </c>
      <c r="X260" s="30">
        <f t="shared" si="74"/>
        <v>114423.77168545217</v>
      </c>
      <c r="Y260">
        <f t="shared" si="75"/>
        <v>0</v>
      </c>
    </row>
    <row r="261" spans="1:25" x14ac:dyDescent="0.25">
      <c r="A261" s="4" t="s">
        <v>1160</v>
      </c>
      <c r="B261" s="7" t="s">
        <v>598</v>
      </c>
      <c r="C261" s="2" t="s">
        <v>1161</v>
      </c>
      <c r="D261">
        <f>VLOOKUP(B261,'Model allocations'!$A$1:$L$319,5,FALSE)</f>
        <v>0</v>
      </c>
      <c r="E261" s="32">
        <f>VLOOKUP(B261,'Initial adjusted formula count'!$A$1:$P$319,12,FALSE)</f>
        <v>3.9215686274509803E-2</v>
      </c>
      <c r="F261">
        <f>VLOOKUP(B261,'Model allocations'!$A$1:$L$319,10,FALSE)</f>
        <v>0</v>
      </c>
      <c r="G261" s="31">
        <f t="shared" ref="G261:G318" si="83">IF(E261&lt;0.15,0.85,IF(AND(E261&gt;=0.15,E261&lt;0.3),0.9,0.95))</f>
        <v>0.85</v>
      </c>
      <c r="H261">
        <f t="shared" ref="H261:H318" si="84">IF(F261 = 0, 0, D261*G261)</f>
        <v>0</v>
      </c>
      <c r="I261">
        <f t="shared" si="76"/>
        <v>0</v>
      </c>
      <c r="J261">
        <f t="shared" si="77"/>
        <v>0</v>
      </c>
      <c r="K261">
        <f t="shared" si="78"/>
        <v>0</v>
      </c>
      <c r="L261">
        <f t="shared" ref="L261:L318" si="85">I261+K261</f>
        <v>0</v>
      </c>
      <c r="M261">
        <f t="shared" si="79"/>
        <v>0</v>
      </c>
      <c r="N261" s="30">
        <f t="shared" ref="N261:N318" si="86">IF($I261+$M261=0,L261,0)</f>
        <v>0</v>
      </c>
      <c r="O261" s="30">
        <f t="shared" si="80"/>
        <v>0</v>
      </c>
      <c r="P261" s="30">
        <f t="shared" ref="P261:P318" si="87">$I261+$M261+O261</f>
        <v>0</v>
      </c>
      <c r="Q261">
        <f t="shared" ref="Q261:Q318" si="88">IF(P261&lt;H261,H261,0)</f>
        <v>0</v>
      </c>
      <c r="R261" s="30">
        <f t="shared" ref="R261:R318" si="89">IF($I261+$M261+$Q261=0,P261,0)</f>
        <v>0</v>
      </c>
      <c r="S261" s="30">
        <f t="shared" si="81"/>
        <v>0</v>
      </c>
      <c r="T261" s="30">
        <f t="shared" ref="T261:T318" si="90">$I261+$M261+$Q261+S261</f>
        <v>0</v>
      </c>
      <c r="U261">
        <f t="shared" ref="U261:U318" si="91">IF(T261&lt;H261,H261,0)</f>
        <v>0</v>
      </c>
      <c r="V261" s="30">
        <f t="shared" ref="V261:V318" si="92">IF($I261+$M261+$Q261+U261=0,T261,0)</f>
        <v>0</v>
      </c>
      <c r="W261" s="30">
        <f t="shared" si="82"/>
        <v>0</v>
      </c>
      <c r="X261" s="30">
        <f t="shared" ref="X261:X318" si="93">$I261+$M261+$Q261+$U261+W261</f>
        <v>0</v>
      </c>
      <c r="Y261">
        <f t="shared" ref="Y261:Y318" si="94">IF(X261&lt;H261,H261,0)</f>
        <v>0</v>
      </c>
    </row>
    <row r="262" spans="1:25" x14ac:dyDescent="0.25">
      <c r="A262" s="4" t="s">
        <v>1162</v>
      </c>
      <c r="B262" s="7" t="s">
        <v>600</v>
      </c>
      <c r="C262" s="2" t="s">
        <v>1163</v>
      </c>
      <c r="D262">
        <f>VLOOKUP(B262,'Model allocations'!$A$1:$L$319,5,FALSE)</f>
        <v>51054.178514314262</v>
      </c>
      <c r="E262" s="32">
        <f>VLOOKUP(B262,'Initial adjusted formula count'!$A$1:$P$319,12,FALSE)</f>
        <v>0.15108695652173901</v>
      </c>
      <c r="F262">
        <f>VLOOKUP(B262,'Model allocations'!$A$1:$L$319,10,FALSE)</f>
        <v>57225.584169503927</v>
      </c>
      <c r="G262" s="31">
        <f t="shared" si="83"/>
        <v>0.9</v>
      </c>
      <c r="H262">
        <f t="shared" si="84"/>
        <v>45948.760662882836</v>
      </c>
      <c r="I262">
        <f t="shared" si="76"/>
        <v>0</v>
      </c>
      <c r="J262">
        <f t="shared" si="77"/>
        <v>57225.584169503927</v>
      </c>
      <c r="K262">
        <f t="shared" si="78"/>
        <v>57213.474217896961</v>
      </c>
      <c r="L262">
        <f t="shared" si="85"/>
        <v>57213.474217896961</v>
      </c>
      <c r="M262">
        <f t="shared" si="79"/>
        <v>0</v>
      </c>
      <c r="N262" s="30">
        <f t="shared" si="86"/>
        <v>57213.474217896961</v>
      </c>
      <c r="O262" s="30">
        <f t="shared" si="80"/>
        <v>57211.885842726093</v>
      </c>
      <c r="P262" s="30">
        <f t="shared" si="87"/>
        <v>57211.885842726093</v>
      </c>
      <c r="Q262">
        <f t="shared" si="88"/>
        <v>0</v>
      </c>
      <c r="R262" s="30">
        <f t="shared" si="89"/>
        <v>57211.885842726093</v>
      </c>
      <c r="S262" s="30">
        <f t="shared" si="81"/>
        <v>57211.885842726078</v>
      </c>
      <c r="T262" s="30">
        <f t="shared" si="90"/>
        <v>57211.885842726078</v>
      </c>
      <c r="U262">
        <f t="shared" si="91"/>
        <v>0</v>
      </c>
      <c r="V262" s="30">
        <f t="shared" si="92"/>
        <v>57211.885842726078</v>
      </c>
      <c r="W262" s="30">
        <f t="shared" si="82"/>
        <v>57211.885842726086</v>
      </c>
      <c r="X262" s="30">
        <f t="shared" si="93"/>
        <v>57211.885842726086</v>
      </c>
      <c r="Y262">
        <f t="shared" si="94"/>
        <v>0</v>
      </c>
    </row>
    <row r="263" spans="1:25" x14ac:dyDescent="0.25">
      <c r="A263" s="4" t="s">
        <v>1164</v>
      </c>
      <c r="B263" s="7" t="s">
        <v>235</v>
      </c>
      <c r="C263" s="2" t="s">
        <v>1165</v>
      </c>
      <c r="D263">
        <f>VLOOKUP(B263,'Model allocations'!$A$1:$L$319,5,FALSE)</f>
        <v>99359.285877857736</v>
      </c>
      <c r="E263" s="32">
        <f>VLOOKUP(B263,'Initial adjusted formula count'!$A$1:$P$319,12,FALSE)</f>
        <v>8.9707649179014803E-2</v>
      </c>
      <c r="F263">
        <f>VLOOKUP(B263,'Model allocations'!$A$1:$L$319,10,FALSE)</f>
        <v>92219.646431430796</v>
      </c>
      <c r="G263" s="31">
        <f t="shared" si="83"/>
        <v>0.85</v>
      </c>
      <c r="H263">
        <f t="shared" si="84"/>
        <v>84455.392996179071</v>
      </c>
      <c r="I263">
        <f t="shared" si="76"/>
        <v>0</v>
      </c>
      <c r="J263">
        <f t="shared" si="77"/>
        <v>92219.646431430796</v>
      </c>
      <c r="K263">
        <f t="shared" si="78"/>
        <v>92200.131113733238</v>
      </c>
      <c r="L263">
        <f t="shared" si="85"/>
        <v>92200.131113733238</v>
      </c>
      <c r="M263">
        <f t="shared" si="79"/>
        <v>0</v>
      </c>
      <c r="N263" s="30">
        <f t="shared" si="86"/>
        <v>92200.131113733238</v>
      </c>
      <c r="O263" s="30">
        <f t="shared" si="80"/>
        <v>92197.571430004653</v>
      </c>
      <c r="P263" s="30">
        <f t="shared" si="87"/>
        <v>92197.571430004653</v>
      </c>
      <c r="Q263">
        <f t="shared" si="88"/>
        <v>0</v>
      </c>
      <c r="R263" s="30">
        <f t="shared" si="89"/>
        <v>92197.571430004653</v>
      </c>
      <c r="S263" s="30">
        <f t="shared" si="81"/>
        <v>92197.571430004624</v>
      </c>
      <c r="T263" s="30">
        <f t="shared" si="90"/>
        <v>92197.571430004624</v>
      </c>
      <c r="U263">
        <f t="shared" si="91"/>
        <v>0</v>
      </c>
      <c r="V263" s="30">
        <f t="shared" si="92"/>
        <v>92197.571430004624</v>
      </c>
      <c r="W263" s="30">
        <f t="shared" si="82"/>
        <v>92197.571430004638</v>
      </c>
      <c r="X263" s="30">
        <f t="shared" si="93"/>
        <v>92197.571430004638</v>
      </c>
      <c r="Y263">
        <f t="shared" si="94"/>
        <v>0</v>
      </c>
    </row>
    <row r="264" spans="1:25" x14ac:dyDescent="0.25">
      <c r="A264" s="4" t="s">
        <v>26</v>
      </c>
      <c r="B264" s="7" t="s">
        <v>76</v>
      </c>
      <c r="C264" s="2" t="s">
        <v>1166</v>
      </c>
      <c r="D264">
        <f>VLOOKUP(B264,'Model allocations'!$A$1:$L$319,5,FALSE)</f>
        <v>58888.375549313016</v>
      </c>
      <c r="E264" s="32">
        <f>VLOOKUP(B264,'Initial adjusted formula count'!$A$1:$P$319,12,FALSE)</f>
        <v>0.15042834958370099</v>
      </c>
      <c r="F264">
        <f>VLOOKUP(B264,'Model allocations'!$A$1:$L$319,10,FALSE)</f>
        <v>80612.084289633363</v>
      </c>
      <c r="G264" s="31">
        <f t="shared" si="83"/>
        <v>0.9</v>
      </c>
      <c r="H264">
        <f t="shared" si="84"/>
        <v>52999.537994381717</v>
      </c>
      <c r="I264">
        <f t="shared" si="76"/>
        <v>0</v>
      </c>
      <c r="J264">
        <f t="shared" si="77"/>
        <v>80612.084289633363</v>
      </c>
      <c r="K264">
        <f t="shared" si="78"/>
        <v>80595.025338574123</v>
      </c>
      <c r="L264">
        <f t="shared" si="85"/>
        <v>80595.025338574123</v>
      </c>
      <c r="M264">
        <f t="shared" si="79"/>
        <v>0</v>
      </c>
      <c r="N264" s="30">
        <f t="shared" si="86"/>
        <v>80595.025338574123</v>
      </c>
      <c r="O264" s="30">
        <f t="shared" si="80"/>
        <v>80592.787838773715</v>
      </c>
      <c r="P264" s="30">
        <f t="shared" si="87"/>
        <v>80592.787838773715</v>
      </c>
      <c r="Q264">
        <f t="shared" si="88"/>
        <v>0</v>
      </c>
      <c r="R264" s="30">
        <f t="shared" si="89"/>
        <v>80592.787838773715</v>
      </c>
      <c r="S264" s="30">
        <f t="shared" si="81"/>
        <v>80592.787838773686</v>
      </c>
      <c r="T264" s="30">
        <f t="shared" si="90"/>
        <v>80592.787838773686</v>
      </c>
      <c r="U264">
        <f t="shared" si="91"/>
        <v>0</v>
      </c>
      <c r="V264" s="30">
        <f t="shared" si="92"/>
        <v>80592.787838773686</v>
      </c>
      <c r="W264" s="30">
        <f t="shared" si="82"/>
        <v>80592.787838773686</v>
      </c>
      <c r="X264" s="30">
        <f t="shared" si="93"/>
        <v>80592.787838773686</v>
      </c>
      <c r="Y264">
        <f t="shared" si="94"/>
        <v>0</v>
      </c>
    </row>
    <row r="265" spans="1:25" x14ac:dyDescent="0.25">
      <c r="A265" s="4" t="s">
        <v>41</v>
      </c>
      <c r="B265" s="7" t="s">
        <v>84</v>
      </c>
      <c r="C265" s="2" t="s">
        <v>1167</v>
      </c>
      <c r="D265">
        <f>VLOOKUP(B265,'Model allocations'!$A$1:$L$319,5,FALSE)</f>
        <v>14102.30077193117</v>
      </c>
      <c r="E265" s="32">
        <f>VLOOKUP(B265,'Initial adjusted formula count'!$A$1:$P$319,12,FALSE)</f>
        <v>0.13144691036601899</v>
      </c>
      <c r="F265">
        <f>VLOOKUP(B265,'Model allocations'!$A$1:$L$319,10,FALSE)</f>
        <v>15831.709651657435</v>
      </c>
      <c r="G265" s="31">
        <f t="shared" si="83"/>
        <v>0.85</v>
      </c>
      <c r="H265">
        <f t="shared" si="84"/>
        <v>11986.955656141494</v>
      </c>
      <c r="I265">
        <f t="shared" si="76"/>
        <v>0</v>
      </c>
      <c r="J265">
        <f t="shared" si="77"/>
        <v>15831.709651657435</v>
      </c>
      <c r="K265">
        <f t="shared" si="78"/>
        <v>15828.359380261878</v>
      </c>
      <c r="L265">
        <f t="shared" si="85"/>
        <v>15828.359380261878</v>
      </c>
      <c r="M265">
        <f t="shared" si="79"/>
        <v>0</v>
      </c>
      <c r="N265" s="30">
        <f t="shared" si="86"/>
        <v>15828.359380261878</v>
      </c>
      <c r="O265" s="30">
        <f t="shared" si="80"/>
        <v>15827.919949282046</v>
      </c>
      <c r="P265" s="30">
        <f t="shared" si="87"/>
        <v>15827.919949282046</v>
      </c>
      <c r="Q265">
        <f t="shared" si="88"/>
        <v>0</v>
      </c>
      <c r="R265" s="30">
        <f t="shared" si="89"/>
        <v>15827.919949282046</v>
      </c>
      <c r="S265" s="30">
        <f t="shared" si="81"/>
        <v>15827.919949282043</v>
      </c>
      <c r="T265" s="30">
        <f t="shared" si="90"/>
        <v>15827.919949282043</v>
      </c>
      <c r="U265">
        <f t="shared" si="91"/>
        <v>0</v>
      </c>
      <c r="V265" s="30">
        <f t="shared" si="92"/>
        <v>15827.919949282043</v>
      </c>
      <c r="W265" s="30">
        <f t="shared" si="82"/>
        <v>15827.919949282043</v>
      </c>
      <c r="X265" s="30">
        <f t="shared" si="93"/>
        <v>15827.919949282043</v>
      </c>
      <c r="Y265">
        <f t="shared" si="94"/>
        <v>0</v>
      </c>
    </row>
    <row r="266" spans="1:25" x14ac:dyDescent="0.25">
      <c r="A266" s="4" t="s">
        <v>28</v>
      </c>
      <c r="B266" s="7" t="s">
        <v>77</v>
      </c>
      <c r="C266" s="2" t="s">
        <v>1168</v>
      </c>
      <c r="D266">
        <f>VLOOKUP(B266,'Model allocations'!$A$1:$L$319,5,FALSE)</f>
        <v>23555.350219725206</v>
      </c>
      <c r="E266" s="32">
        <f>VLOOKUP(B266,'Initial adjusted formula count'!$A$1:$P$319,12,FALSE)</f>
        <v>0.143078939572856</v>
      </c>
      <c r="F266">
        <f>VLOOKUP(B266,'Model allocations'!$A$1:$L$319,10,FALSE)</f>
        <v>31004.647803705233</v>
      </c>
      <c r="G266" s="31">
        <f t="shared" si="83"/>
        <v>0.85</v>
      </c>
      <c r="H266">
        <f t="shared" si="84"/>
        <v>20022.047686766426</v>
      </c>
      <c r="I266">
        <f t="shared" si="76"/>
        <v>0</v>
      </c>
      <c r="J266">
        <f t="shared" si="77"/>
        <v>31004.647803705233</v>
      </c>
      <c r="K266">
        <f t="shared" si="78"/>
        <v>30998.086668682448</v>
      </c>
      <c r="L266">
        <f t="shared" si="85"/>
        <v>30998.086668682448</v>
      </c>
      <c r="M266">
        <f t="shared" si="79"/>
        <v>0</v>
      </c>
      <c r="N266" s="30">
        <f t="shared" si="86"/>
        <v>30998.086668682448</v>
      </c>
      <c r="O266" s="30">
        <f t="shared" si="80"/>
        <v>30997.226091836135</v>
      </c>
      <c r="P266" s="30">
        <f t="shared" si="87"/>
        <v>30997.226091836135</v>
      </c>
      <c r="Q266">
        <f t="shared" si="88"/>
        <v>0</v>
      </c>
      <c r="R266" s="30">
        <f t="shared" si="89"/>
        <v>30997.226091836135</v>
      </c>
      <c r="S266" s="30">
        <f t="shared" si="81"/>
        <v>30997.226091836132</v>
      </c>
      <c r="T266" s="30">
        <f t="shared" si="90"/>
        <v>30997.226091836132</v>
      </c>
      <c r="U266">
        <f t="shared" si="91"/>
        <v>0</v>
      </c>
      <c r="V266" s="30">
        <f t="shared" si="92"/>
        <v>30997.226091836132</v>
      </c>
      <c r="W266" s="30">
        <f t="shared" si="82"/>
        <v>30997.226091836135</v>
      </c>
      <c r="X266" s="30">
        <f t="shared" si="93"/>
        <v>30997.226091836135</v>
      </c>
      <c r="Y266">
        <f t="shared" si="94"/>
        <v>0</v>
      </c>
    </row>
    <row r="267" spans="1:25" x14ac:dyDescent="0.25">
      <c r="A267" s="4" t="s">
        <v>1169</v>
      </c>
      <c r="B267" s="7" t="s">
        <v>602</v>
      </c>
      <c r="C267" s="2" t="s">
        <v>1170</v>
      </c>
      <c r="D267">
        <f>VLOOKUP(B267,'Model allocations'!$A$1:$L$319,5,FALSE)</f>
        <v>13742.361229921742</v>
      </c>
      <c r="E267" s="32">
        <f>VLOOKUP(B267,'Initial adjusted formula count'!$A$1:$P$319,12,FALSE)</f>
        <v>0.19298245614035101</v>
      </c>
      <c r="F267">
        <f>VLOOKUP(B267,'Model allocations'!$A$1:$L$319,10,FALSE)</f>
        <v>12368.125106929569</v>
      </c>
      <c r="G267" s="31">
        <f t="shared" si="83"/>
        <v>0.9</v>
      </c>
      <c r="H267">
        <f t="shared" si="84"/>
        <v>12368.125106929569</v>
      </c>
      <c r="I267">
        <f t="shared" si="76"/>
        <v>0</v>
      </c>
      <c r="J267">
        <f t="shared" si="77"/>
        <v>12368.125106929569</v>
      </c>
      <c r="K267">
        <f t="shared" si="78"/>
        <v>12365.507791638036</v>
      </c>
      <c r="L267">
        <f t="shared" si="85"/>
        <v>12365.507791638036</v>
      </c>
      <c r="M267">
        <f t="shared" si="79"/>
        <v>12368.125106929569</v>
      </c>
      <c r="N267" s="30">
        <f t="shared" si="86"/>
        <v>0</v>
      </c>
      <c r="O267" s="30">
        <f t="shared" si="80"/>
        <v>0</v>
      </c>
      <c r="P267" s="30">
        <f t="shared" si="87"/>
        <v>12368.125106929569</v>
      </c>
      <c r="Q267">
        <f t="shared" si="88"/>
        <v>0</v>
      </c>
      <c r="R267" s="30">
        <f t="shared" si="89"/>
        <v>0</v>
      </c>
      <c r="S267" s="30">
        <f t="shared" si="81"/>
        <v>0</v>
      </c>
      <c r="T267" s="30">
        <f t="shared" si="90"/>
        <v>12368.125106929569</v>
      </c>
      <c r="U267">
        <f t="shared" si="91"/>
        <v>0</v>
      </c>
      <c r="V267" s="30">
        <f t="shared" si="92"/>
        <v>0</v>
      </c>
      <c r="W267" s="30">
        <f t="shared" si="82"/>
        <v>0</v>
      </c>
      <c r="X267" s="30">
        <f t="shared" si="93"/>
        <v>12368.125106929569</v>
      </c>
      <c r="Y267">
        <f t="shared" si="94"/>
        <v>0</v>
      </c>
    </row>
    <row r="268" spans="1:25" x14ac:dyDescent="0.25">
      <c r="A268" s="4" t="s">
        <v>1171</v>
      </c>
      <c r="B268" s="7" t="s">
        <v>237</v>
      </c>
      <c r="C268" s="2" t="s">
        <v>1172</v>
      </c>
      <c r="D268">
        <f>VLOOKUP(B268,'Model allocations'!$A$1:$L$319,5,FALSE)</f>
        <v>256056.3414717915</v>
      </c>
      <c r="E268" s="32">
        <f>VLOOKUP(B268,'Initial adjusted formula count'!$A$1:$P$319,12,FALSE)</f>
        <v>5.3048148497126198E-2</v>
      </c>
      <c r="F268">
        <f>VLOOKUP(B268,'Model allocations'!$A$1:$L$319,10,FALSE)</f>
        <v>231784.2006289979</v>
      </c>
      <c r="G268" s="31">
        <f t="shared" si="83"/>
        <v>0.85</v>
      </c>
      <c r="H268">
        <f t="shared" si="84"/>
        <v>217647.89025102276</v>
      </c>
      <c r="I268">
        <f t="shared" si="76"/>
        <v>0</v>
      </c>
      <c r="J268">
        <f t="shared" si="77"/>
        <v>231784.2006289979</v>
      </c>
      <c r="K268">
        <f t="shared" si="78"/>
        <v>231735.15096889201</v>
      </c>
      <c r="L268">
        <f t="shared" si="85"/>
        <v>231735.15096889201</v>
      </c>
      <c r="M268">
        <f t="shared" si="79"/>
        <v>0</v>
      </c>
      <c r="N268" s="30">
        <f t="shared" si="86"/>
        <v>231735.15096889201</v>
      </c>
      <c r="O268" s="30">
        <f t="shared" si="80"/>
        <v>231728.717478092</v>
      </c>
      <c r="P268" s="30">
        <f t="shared" si="87"/>
        <v>231728.717478092</v>
      </c>
      <c r="Q268">
        <f t="shared" si="88"/>
        <v>0</v>
      </c>
      <c r="R268" s="30">
        <f t="shared" si="89"/>
        <v>231728.717478092</v>
      </c>
      <c r="S268" s="30">
        <f t="shared" si="81"/>
        <v>231728.71747809194</v>
      </c>
      <c r="T268" s="30">
        <f t="shared" si="90"/>
        <v>231728.71747809194</v>
      </c>
      <c r="U268">
        <f t="shared" si="91"/>
        <v>0</v>
      </c>
      <c r="V268" s="30">
        <f t="shared" si="92"/>
        <v>231728.71747809194</v>
      </c>
      <c r="W268" s="30">
        <f t="shared" si="82"/>
        <v>231728.71747809197</v>
      </c>
      <c r="X268" s="30">
        <f t="shared" si="93"/>
        <v>231728.71747809197</v>
      </c>
      <c r="Y268">
        <f t="shared" si="94"/>
        <v>0</v>
      </c>
    </row>
    <row r="269" spans="1:25" x14ac:dyDescent="0.25">
      <c r="A269" s="4" t="s">
        <v>1173</v>
      </c>
      <c r="B269" s="7" t="s">
        <v>604</v>
      </c>
      <c r="C269" s="2" t="s">
        <v>1174</v>
      </c>
      <c r="D269">
        <f>VLOOKUP(B269,'Model allocations'!$A$1:$L$319,5,FALSE)</f>
        <v>630126.38020167081</v>
      </c>
      <c r="E269" s="32">
        <f>VLOOKUP(B269,'Initial adjusted formula count'!$A$1:$P$319,12,FALSE)</f>
        <v>0.193387096774194</v>
      </c>
      <c r="F269">
        <f>VLOOKUP(B269,'Model allocations'!$A$1:$L$319,10,FALSE)</f>
        <v>598192.61725387932</v>
      </c>
      <c r="G269" s="31">
        <f t="shared" si="83"/>
        <v>0.9</v>
      </c>
      <c r="H269">
        <f t="shared" si="84"/>
        <v>567113.7421815038</v>
      </c>
      <c r="I269">
        <f t="shared" si="76"/>
        <v>0</v>
      </c>
      <c r="J269">
        <f t="shared" si="77"/>
        <v>598192.61725387932</v>
      </c>
      <c r="K269">
        <f t="shared" si="78"/>
        <v>598066.02905470727</v>
      </c>
      <c r="L269">
        <f t="shared" si="85"/>
        <v>598066.02905470727</v>
      </c>
      <c r="M269">
        <f t="shared" si="79"/>
        <v>0</v>
      </c>
      <c r="N269" s="30">
        <f t="shared" si="86"/>
        <v>598066.02905470727</v>
      </c>
      <c r="O269" s="30">
        <f t="shared" si="80"/>
        <v>598049.42539194995</v>
      </c>
      <c r="P269" s="30">
        <f t="shared" si="87"/>
        <v>598049.42539194995</v>
      </c>
      <c r="Q269">
        <f t="shared" si="88"/>
        <v>0</v>
      </c>
      <c r="R269" s="30">
        <f t="shared" si="89"/>
        <v>598049.42539194995</v>
      </c>
      <c r="S269" s="30">
        <f t="shared" si="81"/>
        <v>598049.42539194983</v>
      </c>
      <c r="T269" s="30">
        <f t="shared" si="90"/>
        <v>598049.42539194983</v>
      </c>
      <c r="U269">
        <f t="shared" si="91"/>
        <v>0</v>
      </c>
      <c r="V269" s="30">
        <f t="shared" si="92"/>
        <v>598049.42539194983</v>
      </c>
      <c r="W269" s="30">
        <f t="shared" si="82"/>
        <v>598049.42539194995</v>
      </c>
      <c r="X269" s="30">
        <f t="shared" si="93"/>
        <v>598049.42539194995</v>
      </c>
      <c r="Y269">
        <f t="shared" si="94"/>
        <v>0</v>
      </c>
    </row>
    <row r="270" spans="1:25" x14ac:dyDescent="0.25">
      <c r="A270" s="4" t="s">
        <v>11</v>
      </c>
      <c r="B270" s="7" t="s">
        <v>70</v>
      </c>
      <c r="C270" s="2" t="s">
        <v>1175</v>
      </c>
      <c r="D270">
        <f>VLOOKUP(B270,'Model allocations'!$A$1:$L$319,5,FALSE)</f>
        <v>7744.5641563441086</v>
      </c>
      <c r="E270" s="32">
        <f>VLOOKUP(B270,'Initial adjusted formula count'!$A$1:$P$319,12,FALSE)</f>
        <v>0.20948192116852299</v>
      </c>
      <c r="F270">
        <f>VLOOKUP(B270,'Model allocations'!$A$1:$L$319,10,FALSE)</f>
        <v>8687.2062007525492</v>
      </c>
      <c r="G270" s="31">
        <f t="shared" si="83"/>
        <v>0.9</v>
      </c>
      <c r="H270">
        <f t="shared" si="84"/>
        <v>6970.1077407096982</v>
      </c>
      <c r="I270">
        <f t="shared" si="76"/>
        <v>0</v>
      </c>
      <c r="J270">
        <f t="shared" si="77"/>
        <v>8687.2062007525492</v>
      </c>
      <c r="K270">
        <f t="shared" si="78"/>
        <v>8685.3678333821208</v>
      </c>
      <c r="L270">
        <f t="shared" si="85"/>
        <v>8685.3678333821208</v>
      </c>
      <c r="M270">
        <f t="shared" si="79"/>
        <v>0</v>
      </c>
      <c r="N270" s="30">
        <f t="shared" si="86"/>
        <v>8685.3678333821208</v>
      </c>
      <c r="O270" s="30">
        <f t="shared" si="80"/>
        <v>8685.1267079688332</v>
      </c>
      <c r="P270" s="30">
        <f t="shared" si="87"/>
        <v>8685.1267079688332</v>
      </c>
      <c r="Q270">
        <f t="shared" si="88"/>
        <v>0</v>
      </c>
      <c r="R270" s="30">
        <f t="shared" si="89"/>
        <v>8685.1267079688332</v>
      </c>
      <c r="S270" s="30">
        <f t="shared" si="81"/>
        <v>8685.1267079688314</v>
      </c>
      <c r="T270" s="30">
        <f t="shared" si="90"/>
        <v>8685.1267079688314</v>
      </c>
      <c r="U270">
        <f t="shared" si="91"/>
        <v>0</v>
      </c>
      <c r="V270" s="30">
        <f t="shared" si="92"/>
        <v>8685.1267079688314</v>
      </c>
      <c r="W270" s="30">
        <f t="shared" si="82"/>
        <v>8685.1267079688332</v>
      </c>
      <c r="X270" s="30">
        <f t="shared" si="93"/>
        <v>8685.1267079688332</v>
      </c>
      <c r="Y270">
        <f t="shared" si="94"/>
        <v>0</v>
      </c>
    </row>
    <row r="271" spans="1:25" x14ac:dyDescent="0.25">
      <c r="A271" s="4" t="s">
        <v>40</v>
      </c>
      <c r="B271" s="7" t="s">
        <v>65</v>
      </c>
      <c r="C271" s="2" t="s">
        <v>1176</v>
      </c>
      <c r="D271">
        <f>VLOOKUP(B271,'Model allocations'!$A$1:$L$319,5,FALSE)</f>
        <v>2734062.5732300743</v>
      </c>
      <c r="E271" s="32">
        <f>VLOOKUP(B271,'Initial adjusted formula count'!$A$1:$P$319,12,FALSE)</f>
        <v>0.13305129519424</v>
      </c>
      <c r="F271">
        <f>VLOOKUP(B271,'Model allocations'!$A$1:$L$319,10,FALSE)</f>
        <v>2973756.5230988436</v>
      </c>
      <c r="G271" s="31">
        <f t="shared" si="83"/>
        <v>0.85</v>
      </c>
      <c r="H271">
        <f t="shared" si="84"/>
        <v>2323953.1872455631</v>
      </c>
      <c r="I271">
        <f t="shared" si="76"/>
        <v>0</v>
      </c>
      <c r="J271">
        <f t="shared" si="77"/>
        <v>2973756.5230988436</v>
      </c>
      <c r="K271">
        <f t="shared" si="78"/>
        <v>2973127.2233178411</v>
      </c>
      <c r="L271">
        <f t="shared" si="85"/>
        <v>2973127.2233178411</v>
      </c>
      <c r="M271">
        <f t="shared" si="79"/>
        <v>0</v>
      </c>
      <c r="N271" s="30">
        <f t="shared" si="86"/>
        <v>2973127.2233178411</v>
      </c>
      <c r="O271" s="30">
        <f t="shared" si="80"/>
        <v>2973044.6825959939</v>
      </c>
      <c r="P271" s="30">
        <f t="shared" si="87"/>
        <v>2973044.6825959939</v>
      </c>
      <c r="Q271">
        <f t="shared" si="88"/>
        <v>0</v>
      </c>
      <c r="R271" s="30">
        <f t="shared" si="89"/>
        <v>2973044.6825959939</v>
      </c>
      <c r="S271" s="30">
        <f t="shared" si="81"/>
        <v>2973044.6825959934</v>
      </c>
      <c r="T271" s="30">
        <f t="shared" si="90"/>
        <v>2973044.6825959934</v>
      </c>
      <c r="U271">
        <f t="shared" si="91"/>
        <v>0</v>
      </c>
      <c r="V271" s="30">
        <f t="shared" si="92"/>
        <v>2973044.6825959934</v>
      </c>
      <c r="W271" s="30">
        <f t="shared" si="82"/>
        <v>2973044.6825959939</v>
      </c>
      <c r="X271" s="30">
        <f t="shared" si="93"/>
        <v>2973044.6825959939</v>
      </c>
      <c r="Y271">
        <f t="shared" si="94"/>
        <v>0</v>
      </c>
    </row>
    <row r="272" spans="1:25" x14ac:dyDescent="0.25">
      <c r="A272" s="4" t="s">
        <v>1177</v>
      </c>
      <c r="B272" s="7" t="s">
        <v>606</v>
      </c>
      <c r="C272" s="2" t="s">
        <v>1178</v>
      </c>
      <c r="D272">
        <f>VLOOKUP(B272,'Model allocations'!$A$1:$L$319,5,FALSE)</f>
        <v>34750.478238885626</v>
      </c>
      <c r="E272" s="32">
        <f>VLOOKUP(B272,'Initial adjusted formula count'!$A$1:$P$319,12,FALSE)</f>
        <v>0.25144508670520199</v>
      </c>
      <c r="F272">
        <f>VLOOKUP(B272,'Model allocations'!$A$1:$L$319,10,FALSE)</f>
        <v>49277.588655377534</v>
      </c>
      <c r="G272" s="31">
        <f t="shared" si="83"/>
        <v>0.9</v>
      </c>
      <c r="H272">
        <f t="shared" si="84"/>
        <v>31275.430414997063</v>
      </c>
      <c r="I272">
        <f t="shared" si="76"/>
        <v>0</v>
      </c>
      <c r="J272">
        <f t="shared" si="77"/>
        <v>49277.588655377534</v>
      </c>
      <c r="K272">
        <f t="shared" si="78"/>
        <v>49267.160641009745</v>
      </c>
      <c r="L272">
        <f t="shared" si="85"/>
        <v>49267.160641009745</v>
      </c>
      <c r="M272">
        <f t="shared" si="79"/>
        <v>0</v>
      </c>
      <c r="N272" s="30">
        <f t="shared" si="86"/>
        <v>49267.160641009745</v>
      </c>
      <c r="O272" s="30">
        <f t="shared" si="80"/>
        <v>49265.792873438011</v>
      </c>
      <c r="P272" s="30">
        <f t="shared" si="87"/>
        <v>49265.792873438011</v>
      </c>
      <c r="Q272">
        <f t="shared" si="88"/>
        <v>0</v>
      </c>
      <c r="R272" s="30">
        <f t="shared" si="89"/>
        <v>49265.792873438011</v>
      </c>
      <c r="S272" s="30">
        <f t="shared" si="81"/>
        <v>49265.792873437997</v>
      </c>
      <c r="T272" s="30">
        <f t="shared" si="90"/>
        <v>49265.792873437997</v>
      </c>
      <c r="U272">
        <f t="shared" si="91"/>
        <v>0</v>
      </c>
      <c r="V272" s="30">
        <f t="shared" si="92"/>
        <v>49265.792873437997</v>
      </c>
      <c r="W272" s="30">
        <f t="shared" si="82"/>
        <v>49265.792873438004</v>
      </c>
      <c r="X272" s="30">
        <f t="shared" si="93"/>
        <v>49265.792873438004</v>
      </c>
      <c r="Y272">
        <f t="shared" si="94"/>
        <v>0</v>
      </c>
    </row>
    <row r="273" spans="1:25" x14ac:dyDescent="0.25">
      <c r="A273" s="4" t="s">
        <v>1179</v>
      </c>
      <c r="B273" s="7" t="s">
        <v>239</v>
      </c>
      <c r="C273" s="2" t="s">
        <v>1180</v>
      </c>
      <c r="D273">
        <f>VLOOKUP(B273,'Model allocations'!$A$1:$L$319,5,FALSE)</f>
        <v>0</v>
      </c>
      <c r="E273" s="32">
        <f>VLOOKUP(B273,'Initial adjusted formula count'!$A$1:$P$319,12,FALSE)</f>
        <v>4.2195957141279099E-2</v>
      </c>
      <c r="F273">
        <f>VLOOKUP(B273,'Model allocations'!$A$1:$L$319,10,FALSE)</f>
        <v>0</v>
      </c>
      <c r="G273" s="31">
        <f t="shared" si="83"/>
        <v>0.85</v>
      </c>
      <c r="H273">
        <f t="shared" si="84"/>
        <v>0</v>
      </c>
      <c r="I273">
        <f t="shared" si="76"/>
        <v>0</v>
      </c>
      <c r="J273">
        <f t="shared" si="77"/>
        <v>0</v>
      </c>
      <c r="K273">
        <f t="shared" si="78"/>
        <v>0</v>
      </c>
      <c r="L273">
        <f t="shared" si="85"/>
        <v>0</v>
      </c>
      <c r="M273">
        <f t="shared" si="79"/>
        <v>0</v>
      </c>
      <c r="N273" s="30">
        <f t="shared" si="86"/>
        <v>0</v>
      </c>
      <c r="O273" s="30">
        <f t="shared" si="80"/>
        <v>0</v>
      </c>
      <c r="P273" s="30">
        <f t="shared" si="87"/>
        <v>0</v>
      </c>
      <c r="Q273">
        <f t="shared" si="88"/>
        <v>0</v>
      </c>
      <c r="R273" s="30">
        <f t="shared" si="89"/>
        <v>0</v>
      </c>
      <c r="S273" s="30">
        <f t="shared" si="81"/>
        <v>0</v>
      </c>
      <c r="T273" s="30">
        <f t="shared" si="90"/>
        <v>0</v>
      </c>
      <c r="U273">
        <f t="shared" si="91"/>
        <v>0</v>
      </c>
      <c r="V273" s="30">
        <f t="shared" si="92"/>
        <v>0</v>
      </c>
      <c r="W273" s="30">
        <f t="shared" si="82"/>
        <v>0</v>
      </c>
      <c r="X273" s="30">
        <f t="shared" si="93"/>
        <v>0</v>
      </c>
      <c r="Y273">
        <f t="shared" si="94"/>
        <v>0</v>
      </c>
    </row>
    <row r="274" spans="1:25" x14ac:dyDescent="0.25">
      <c r="A274" s="4" t="s">
        <v>1181</v>
      </c>
      <c r="B274" s="7" t="s">
        <v>241</v>
      </c>
      <c r="C274" s="2" t="s">
        <v>1182</v>
      </c>
      <c r="D274">
        <f>VLOOKUP(B274,'Model allocations'!$A$1:$L$319,5,FALSE)</f>
        <v>11030.294540462606</v>
      </c>
      <c r="E274" s="32">
        <f>VLOOKUP(B274,'Initial adjusted formula count'!$A$1:$P$319,12,FALSE)</f>
        <v>0.17177914110429399</v>
      </c>
      <c r="F274">
        <f>VLOOKUP(B274,'Model allocations'!$A$1:$L$319,10,FALSE)</f>
        <v>12331.681108935451</v>
      </c>
      <c r="G274" s="31">
        <f t="shared" si="83"/>
        <v>0.9</v>
      </c>
      <c r="H274">
        <f t="shared" si="84"/>
        <v>9927.2650864163461</v>
      </c>
      <c r="I274">
        <f t="shared" si="76"/>
        <v>0</v>
      </c>
      <c r="J274">
        <f t="shared" si="77"/>
        <v>12331.681108935451</v>
      </c>
      <c r="K274">
        <f t="shared" si="78"/>
        <v>12329.071505842201</v>
      </c>
      <c r="L274">
        <f t="shared" si="85"/>
        <v>12329.071505842201</v>
      </c>
      <c r="M274">
        <f t="shared" si="79"/>
        <v>0</v>
      </c>
      <c r="N274" s="30">
        <f t="shared" si="86"/>
        <v>12329.071505842201</v>
      </c>
      <c r="O274" s="30">
        <f t="shared" si="80"/>
        <v>12328.729222991396</v>
      </c>
      <c r="P274" s="30">
        <f t="shared" si="87"/>
        <v>12328.729222991396</v>
      </c>
      <c r="Q274">
        <f t="shared" si="88"/>
        <v>0</v>
      </c>
      <c r="R274" s="30">
        <f t="shared" si="89"/>
        <v>12328.729222991396</v>
      </c>
      <c r="S274" s="30">
        <f t="shared" si="81"/>
        <v>12328.729222991393</v>
      </c>
      <c r="T274" s="30">
        <f t="shared" si="90"/>
        <v>12328.729222991393</v>
      </c>
      <c r="U274">
        <f t="shared" si="91"/>
        <v>0</v>
      </c>
      <c r="V274" s="30">
        <f t="shared" si="92"/>
        <v>12328.729222991393</v>
      </c>
      <c r="W274" s="30">
        <f t="shared" si="82"/>
        <v>12328.729222991395</v>
      </c>
      <c r="X274" s="30">
        <f t="shared" si="93"/>
        <v>12328.729222991395</v>
      </c>
      <c r="Y274">
        <f t="shared" si="94"/>
        <v>0</v>
      </c>
    </row>
    <row r="275" spans="1:25" x14ac:dyDescent="0.25">
      <c r="A275" s="4" t="s">
        <v>1183</v>
      </c>
      <c r="B275" s="7" t="s">
        <v>308</v>
      </c>
      <c r="C275" s="2" t="s">
        <v>1184</v>
      </c>
      <c r="D275">
        <f>VLOOKUP(B275,'Model allocations'!$A$1:$L$319,5,FALSE)</f>
        <v>84435.756773673565</v>
      </c>
      <c r="E275" s="32">
        <f>VLOOKUP(B275,'Initial adjusted formula count'!$A$1:$P$319,12,FALSE)</f>
        <v>0.12789927104042401</v>
      </c>
      <c r="F275">
        <f>VLOOKUP(B275,'Model allocations'!$A$1:$L$319,10,FALSE)</f>
        <v>79457.106077081</v>
      </c>
      <c r="G275" s="31">
        <f t="shared" si="83"/>
        <v>0.85</v>
      </c>
      <c r="H275">
        <f t="shared" si="84"/>
        <v>71770.393257622534</v>
      </c>
      <c r="I275">
        <f t="shared" si="76"/>
        <v>0</v>
      </c>
      <c r="J275">
        <f t="shared" si="77"/>
        <v>79457.106077081</v>
      </c>
      <c r="K275">
        <f t="shared" si="78"/>
        <v>79440.29153995766</v>
      </c>
      <c r="L275">
        <f t="shared" si="85"/>
        <v>79440.29153995766</v>
      </c>
      <c r="M275">
        <f t="shared" si="79"/>
        <v>0</v>
      </c>
      <c r="N275" s="30">
        <f t="shared" si="86"/>
        <v>79440.29153995766</v>
      </c>
      <c r="O275" s="30">
        <f t="shared" si="80"/>
        <v>79438.086098173662</v>
      </c>
      <c r="P275" s="30">
        <f t="shared" si="87"/>
        <v>79438.086098173662</v>
      </c>
      <c r="Q275">
        <f t="shared" si="88"/>
        <v>0</v>
      </c>
      <c r="R275" s="30">
        <f t="shared" si="89"/>
        <v>79438.086098173662</v>
      </c>
      <c r="S275" s="30">
        <f t="shared" si="81"/>
        <v>79438.086098173648</v>
      </c>
      <c r="T275" s="30">
        <f t="shared" si="90"/>
        <v>79438.086098173648</v>
      </c>
      <c r="U275">
        <f t="shared" si="91"/>
        <v>0</v>
      </c>
      <c r="V275" s="30">
        <f t="shared" si="92"/>
        <v>79438.086098173648</v>
      </c>
      <c r="W275" s="30">
        <f t="shared" si="82"/>
        <v>79438.086098173662</v>
      </c>
      <c r="X275" s="30">
        <f t="shared" si="93"/>
        <v>79438.086098173662</v>
      </c>
      <c r="Y275">
        <f t="shared" si="94"/>
        <v>0</v>
      </c>
    </row>
    <row r="276" spans="1:25" x14ac:dyDescent="0.25">
      <c r="A276" s="4" t="s">
        <v>1185</v>
      </c>
      <c r="B276" s="7" t="s">
        <v>243</v>
      </c>
      <c r="C276" s="2" t="s">
        <v>1186</v>
      </c>
      <c r="D276">
        <f>VLOOKUP(B276,'Model allocations'!$A$1:$L$319,5,FALSE)</f>
        <v>12174.457953413397</v>
      </c>
      <c r="E276" s="32">
        <f>VLOOKUP(B276,'Initial adjusted formula count'!$A$1:$P$319,12,FALSE)</f>
        <v>0.12195121951219499</v>
      </c>
      <c r="F276">
        <f>VLOOKUP(B276,'Model allocations'!$A$1:$L$319,10,FALSE)</f>
        <v>10348.289260401387</v>
      </c>
      <c r="G276" s="31">
        <f t="shared" si="83"/>
        <v>0.85</v>
      </c>
      <c r="H276">
        <f t="shared" si="84"/>
        <v>10348.289260401387</v>
      </c>
      <c r="I276">
        <f t="shared" si="76"/>
        <v>0</v>
      </c>
      <c r="J276">
        <f t="shared" si="77"/>
        <v>10348.289260401387</v>
      </c>
      <c r="K276">
        <f t="shared" si="78"/>
        <v>10346.099378306219</v>
      </c>
      <c r="L276">
        <f t="shared" si="85"/>
        <v>10346.099378306219</v>
      </c>
      <c r="M276">
        <f t="shared" si="79"/>
        <v>10348.289260401387</v>
      </c>
      <c r="N276" s="30">
        <f t="shared" si="86"/>
        <v>0</v>
      </c>
      <c r="O276" s="30">
        <f t="shared" si="80"/>
        <v>0</v>
      </c>
      <c r="P276" s="30">
        <f t="shared" si="87"/>
        <v>10348.289260401387</v>
      </c>
      <c r="Q276">
        <f t="shared" si="88"/>
        <v>0</v>
      </c>
      <c r="R276" s="30">
        <f t="shared" si="89"/>
        <v>0</v>
      </c>
      <c r="S276" s="30">
        <f t="shared" si="81"/>
        <v>0</v>
      </c>
      <c r="T276" s="30">
        <f t="shared" si="90"/>
        <v>10348.289260401387</v>
      </c>
      <c r="U276">
        <f t="shared" si="91"/>
        <v>0</v>
      </c>
      <c r="V276" s="30">
        <f t="shared" si="92"/>
        <v>0</v>
      </c>
      <c r="W276" s="30">
        <f t="shared" si="82"/>
        <v>0</v>
      </c>
      <c r="X276" s="30">
        <f t="shared" si="93"/>
        <v>10348.289260401387</v>
      </c>
      <c r="Y276">
        <f t="shared" si="94"/>
        <v>0</v>
      </c>
    </row>
    <row r="277" spans="1:25" x14ac:dyDescent="0.25">
      <c r="A277" s="4" t="s">
        <v>1187</v>
      </c>
      <c r="B277" s="7" t="s">
        <v>245</v>
      </c>
      <c r="C277" s="2" t="s">
        <v>1188</v>
      </c>
      <c r="D277">
        <f>VLOOKUP(B277,'Model allocations'!$A$1:$L$319,5,FALSE)</f>
        <v>38879.720560900867</v>
      </c>
      <c r="E277" s="32">
        <f>VLOOKUP(B277,'Initial adjusted formula count'!$A$1:$P$319,12,FALSE)</f>
        <v>0.105633802816901</v>
      </c>
      <c r="F277">
        <f>VLOOKUP(B277,'Model allocations'!$A$1:$L$319,10,FALSE)</f>
        <v>37052.536512628431</v>
      </c>
      <c r="G277" s="31">
        <f t="shared" si="83"/>
        <v>0.85</v>
      </c>
      <c r="H277">
        <f t="shared" si="84"/>
        <v>33047.762476765733</v>
      </c>
      <c r="I277">
        <f t="shared" si="76"/>
        <v>0</v>
      </c>
      <c r="J277">
        <f t="shared" si="77"/>
        <v>37052.536512628431</v>
      </c>
      <c r="K277">
        <f t="shared" si="78"/>
        <v>37044.695536767802</v>
      </c>
      <c r="L277">
        <f t="shared" si="85"/>
        <v>37044.695536767802</v>
      </c>
      <c r="M277">
        <f t="shared" si="79"/>
        <v>0</v>
      </c>
      <c r="N277" s="30">
        <f t="shared" si="86"/>
        <v>37044.695536767802</v>
      </c>
      <c r="O277" s="30">
        <f t="shared" si="80"/>
        <v>37043.667092412565</v>
      </c>
      <c r="P277" s="30">
        <f t="shared" si="87"/>
        <v>37043.667092412565</v>
      </c>
      <c r="Q277">
        <f t="shared" si="88"/>
        <v>0</v>
      </c>
      <c r="R277" s="30">
        <f t="shared" si="89"/>
        <v>37043.667092412565</v>
      </c>
      <c r="S277" s="30">
        <f t="shared" si="81"/>
        <v>37043.667092412557</v>
      </c>
      <c r="T277" s="30">
        <f t="shared" si="90"/>
        <v>37043.667092412557</v>
      </c>
      <c r="U277">
        <f t="shared" si="91"/>
        <v>0</v>
      </c>
      <c r="V277" s="30">
        <f t="shared" si="92"/>
        <v>37043.667092412557</v>
      </c>
      <c r="W277" s="30">
        <f t="shared" si="82"/>
        <v>37043.667092412565</v>
      </c>
      <c r="X277" s="30">
        <f t="shared" si="93"/>
        <v>37043.667092412565</v>
      </c>
      <c r="Y277">
        <f t="shared" si="94"/>
        <v>0</v>
      </c>
    </row>
    <row r="278" spans="1:25" x14ac:dyDescent="0.25">
      <c r="A278" s="8" t="s">
        <v>1189</v>
      </c>
      <c r="B278" s="7" t="s">
        <v>608</v>
      </c>
      <c r="C278" s="2" t="s">
        <v>1190</v>
      </c>
      <c r="D278">
        <f>VLOOKUP(B278,'Model allocations'!$A$1:$L$319,5,FALSE)</f>
        <v>211841.42636701601</v>
      </c>
      <c r="E278" s="32">
        <f>VLOOKUP(B278,'Initial adjusted formula count'!$A$1:$P$319,12,FALSE)</f>
        <v>0.25044247787610602</v>
      </c>
      <c r="F278">
        <f>VLOOKUP(B278,'Model allocations'!$A$1:$L$319,10,FALSE)</f>
        <v>190657.2837303144</v>
      </c>
      <c r="G278" s="31">
        <f t="shared" si="83"/>
        <v>0.9</v>
      </c>
      <c r="H278">
        <f t="shared" si="84"/>
        <v>190657.2837303144</v>
      </c>
      <c r="I278">
        <f t="shared" si="76"/>
        <v>0</v>
      </c>
      <c r="J278">
        <f t="shared" si="77"/>
        <v>190657.2837303144</v>
      </c>
      <c r="K278">
        <f t="shared" si="78"/>
        <v>190616.93725743872</v>
      </c>
      <c r="L278">
        <f t="shared" si="85"/>
        <v>190616.93725743872</v>
      </c>
      <c r="M278">
        <f t="shared" si="79"/>
        <v>190657.2837303144</v>
      </c>
      <c r="N278" s="30">
        <f t="shared" si="86"/>
        <v>0</v>
      </c>
      <c r="O278" s="30">
        <f t="shared" si="80"/>
        <v>0</v>
      </c>
      <c r="P278" s="30">
        <f t="shared" si="87"/>
        <v>190657.2837303144</v>
      </c>
      <c r="Q278">
        <f t="shared" si="88"/>
        <v>0</v>
      </c>
      <c r="R278" s="30">
        <f t="shared" si="89"/>
        <v>0</v>
      </c>
      <c r="S278" s="30">
        <f t="shared" si="81"/>
        <v>0</v>
      </c>
      <c r="T278" s="30">
        <f t="shared" si="90"/>
        <v>190657.2837303144</v>
      </c>
      <c r="U278">
        <f t="shared" si="91"/>
        <v>0</v>
      </c>
      <c r="V278" s="30">
        <f t="shared" si="92"/>
        <v>0</v>
      </c>
      <c r="W278" s="30">
        <f t="shared" si="82"/>
        <v>0</v>
      </c>
      <c r="X278" s="30">
        <f t="shared" si="93"/>
        <v>190657.2837303144</v>
      </c>
      <c r="Y278">
        <f t="shared" si="94"/>
        <v>0</v>
      </c>
    </row>
    <row r="279" spans="1:25" x14ac:dyDescent="0.25">
      <c r="A279" s="4" t="s">
        <v>1191</v>
      </c>
      <c r="B279" s="7" t="s">
        <v>610</v>
      </c>
      <c r="C279" s="2" t="s">
        <v>1192</v>
      </c>
      <c r="D279">
        <f>VLOOKUP(B279,'Model allocations'!$A$1:$L$319,5,FALSE)</f>
        <v>378955.50143491558</v>
      </c>
      <c r="E279" s="32">
        <f>VLOOKUP(B279,'Initial adjusted formula count'!$A$1:$P$319,12,FALSE)</f>
        <v>0.208933717579251</v>
      </c>
      <c r="F279">
        <f>VLOOKUP(B279,'Model allocations'!$A$1:$L$319,10,FALSE)</f>
        <v>355408.13607655728</v>
      </c>
      <c r="G279" s="31">
        <f t="shared" si="83"/>
        <v>0.9</v>
      </c>
      <c r="H279">
        <f t="shared" si="84"/>
        <v>341059.95129142405</v>
      </c>
      <c r="I279">
        <f t="shared" si="76"/>
        <v>0</v>
      </c>
      <c r="J279">
        <f t="shared" si="77"/>
        <v>355408.13607655728</v>
      </c>
      <c r="K279">
        <f t="shared" si="78"/>
        <v>355332.92539254122</v>
      </c>
      <c r="L279">
        <f t="shared" si="85"/>
        <v>355332.92539254122</v>
      </c>
      <c r="M279">
        <f t="shared" si="79"/>
        <v>0</v>
      </c>
      <c r="N279" s="30">
        <f t="shared" si="86"/>
        <v>355332.92539254122</v>
      </c>
      <c r="O279" s="30">
        <f t="shared" si="80"/>
        <v>355323.06054857222</v>
      </c>
      <c r="P279" s="30">
        <f t="shared" si="87"/>
        <v>355323.06054857222</v>
      </c>
      <c r="Q279">
        <f t="shared" si="88"/>
        <v>0</v>
      </c>
      <c r="R279" s="30">
        <f t="shared" si="89"/>
        <v>355323.06054857222</v>
      </c>
      <c r="S279" s="30">
        <f t="shared" si="81"/>
        <v>355323.06054857216</v>
      </c>
      <c r="T279" s="30">
        <f t="shared" si="90"/>
        <v>355323.06054857216</v>
      </c>
      <c r="U279">
        <f t="shared" si="91"/>
        <v>0</v>
      </c>
      <c r="V279" s="30">
        <f t="shared" si="92"/>
        <v>355323.06054857216</v>
      </c>
      <c r="W279" s="30">
        <f t="shared" si="82"/>
        <v>355323.06054857222</v>
      </c>
      <c r="X279" s="30">
        <f t="shared" si="93"/>
        <v>355323.06054857222</v>
      </c>
      <c r="Y279">
        <f t="shared" si="94"/>
        <v>0</v>
      </c>
    </row>
    <row r="280" spans="1:25" x14ac:dyDescent="0.25">
      <c r="A280" s="4" t="s">
        <v>1193</v>
      </c>
      <c r="B280" s="7" t="s">
        <v>247</v>
      </c>
      <c r="C280" s="2" t="s">
        <v>1194</v>
      </c>
      <c r="D280">
        <f>VLOOKUP(B280,'Model allocations'!$A$1:$L$319,5,FALSE)</f>
        <v>7854.48900220219</v>
      </c>
      <c r="E280" s="32">
        <f>VLOOKUP(B280,'Initial adjusted formula count'!$A$1:$P$319,12,FALSE)</f>
        <v>0.12844036697247699</v>
      </c>
      <c r="F280">
        <f>VLOOKUP(B280,'Model allocations'!$A$1:$L$319,10,FALSE)</f>
        <v>11527.455803928849</v>
      </c>
      <c r="G280" s="31">
        <f t="shared" si="83"/>
        <v>0.85</v>
      </c>
      <c r="H280">
        <f t="shared" si="84"/>
        <v>6676.3156518718615</v>
      </c>
      <c r="I280">
        <f t="shared" si="76"/>
        <v>0</v>
      </c>
      <c r="J280">
        <f t="shared" si="77"/>
        <v>11527.455803928849</v>
      </c>
      <c r="K280">
        <f t="shared" si="78"/>
        <v>11525.016389216655</v>
      </c>
      <c r="L280">
        <f t="shared" si="85"/>
        <v>11525.016389216655</v>
      </c>
      <c r="M280">
        <f t="shared" si="79"/>
        <v>0</v>
      </c>
      <c r="N280" s="30">
        <f t="shared" si="86"/>
        <v>11525.016389216655</v>
      </c>
      <c r="O280" s="30">
        <f t="shared" si="80"/>
        <v>11524.696428750582</v>
      </c>
      <c r="P280" s="30">
        <f t="shared" si="87"/>
        <v>11524.696428750582</v>
      </c>
      <c r="Q280">
        <f t="shared" si="88"/>
        <v>0</v>
      </c>
      <c r="R280" s="30">
        <f t="shared" si="89"/>
        <v>11524.696428750582</v>
      </c>
      <c r="S280" s="30">
        <f t="shared" si="81"/>
        <v>11524.696428750578</v>
      </c>
      <c r="T280" s="30">
        <f t="shared" si="90"/>
        <v>11524.696428750578</v>
      </c>
      <c r="U280">
        <f t="shared" si="91"/>
        <v>0</v>
      </c>
      <c r="V280" s="30">
        <f t="shared" si="92"/>
        <v>11524.696428750578</v>
      </c>
      <c r="W280" s="30">
        <f t="shared" si="82"/>
        <v>11524.69642875058</v>
      </c>
      <c r="X280" s="30">
        <f t="shared" si="93"/>
        <v>11524.69642875058</v>
      </c>
      <c r="Y280">
        <f t="shared" si="94"/>
        <v>0</v>
      </c>
    </row>
    <row r="281" spans="1:25" x14ac:dyDescent="0.25">
      <c r="A281" s="4" t="s">
        <v>1195</v>
      </c>
      <c r="B281" s="7" t="s">
        <v>249</v>
      </c>
      <c r="C281" s="2" t="s">
        <v>1196</v>
      </c>
      <c r="D281">
        <f>VLOOKUP(B281,'Model allocations'!$A$1:$L$319,5,FALSE)</f>
        <v>34167.027159579542</v>
      </c>
      <c r="E281" s="32">
        <f>VLOOKUP(B281,'Initial adjusted formula count'!$A$1:$P$319,12,FALSE)</f>
        <v>9.8958333333333301E-2</v>
      </c>
      <c r="F281">
        <f>VLOOKUP(B281,'Model allocations'!$A$1:$L$319,10,FALSE)</f>
        <v>31288.808610664018</v>
      </c>
      <c r="G281" s="31">
        <f t="shared" si="83"/>
        <v>0.85</v>
      </c>
      <c r="H281">
        <f t="shared" si="84"/>
        <v>29041.97308564261</v>
      </c>
      <c r="I281">
        <f t="shared" si="76"/>
        <v>0</v>
      </c>
      <c r="J281">
        <f t="shared" si="77"/>
        <v>31288.808610664018</v>
      </c>
      <c r="K281">
        <f t="shared" si="78"/>
        <v>31282.18734215949</v>
      </c>
      <c r="L281">
        <f t="shared" si="85"/>
        <v>31282.18734215949</v>
      </c>
      <c r="M281">
        <f t="shared" si="79"/>
        <v>0</v>
      </c>
      <c r="N281" s="30">
        <f t="shared" si="86"/>
        <v>31282.18734215949</v>
      </c>
      <c r="O281" s="30">
        <f t="shared" si="80"/>
        <v>31281.318878037288</v>
      </c>
      <c r="P281" s="30">
        <f t="shared" si="87"/>
        <v>31281.318878037288</v>
      </c>
      <c r="Q281">
        <f t="shared" si="88"/>
        <v>0</v>
      </c>
      <c r="R281" s="30">
        <f t="shared" si="89"/>
        <v>31281.318878037288</v>
      </c>
      <c r="S281" s="30">
        <f t="shared" si="81"/>
        <v>31281.318878037284</v>
      </c>
      <c r="T281" s="30">
        <f t="shared" si="90"/>
        <v>31281.318878037284</v>
      </c>
      <c r="U281">
        <f t="shared" si="91"/>
        <v>0</v>
      </c>
      <c r="V281" s="30">
        <f t="shared" si="92"/>
        <v>31281.318878037284</v>
      </c>
      <c r="W281" s="30">
        <f t="shared" si="82"/>
        <v>31281.318878037288</v>
      </c>
      <c r="X281" s="30">
        <f t="shared" si="93"/>
        <v>31281.318878037288</v>
      </c>
      <c r="Y281">
        <f t="shared" si="94"/>
        <v>0</v>
      </c>
    </row>
    <row r="282" spans="1:25" x14ac:dyDescent="0.25">
      <c r="A282" s="4" t="s">
        <v>1197</v>
      </c>
      <c r="B282" s="7" t="s">
        <v>612</v>
      </c>
      <c r="C282" s="2" t="s">
        <v>1198</v>
      </c>
      <c r="D282">
        <f>VLOOKUP(B282,'Model allocations'!$A$1:$L$319,5,FALSE)</f>
        <v>24702.230458368351</v>
      </c>
      <c r="E282" s="32">
        <f>VLOOKUP(B282,'Initial adjusted formula count'!$A$1:$P$319,12,FALSE)</f>
        <v>0.17171717171717199</v>
      </c>
      <c r="F282">
        <f>VLOOKUP(B282,'Model allocations'!$A$1:$L$319,10,FALSE)</f>
        <v>22232.007412531515</v>
      </c>
      <c r="G282" s="31">
        <f t="shared" si="83"/>
        <v>0.9</v>
      </c>
      <c r="H282">
        <f t="shared" si="84"/>
        <v>22232.007412531515</v>
      </c>
      <c r="I282">
        <f t="shared" si="76"/>
        <v>0</v>
      </c>
      <c r="J282">
        <f t="shared" si="77"/>
        <v>22232.007412531515</v>
      </c>
      <c r="K282">
        <f t="shared" si="78"/>
        <v>22227.302724273657</v>
      </c>
      <c r="L282">
        <f t="shared" si="85"/>
        <v>22227.302724273657</v>
      </c>
      <c r="M282">
        <f t="shared" si="79"/>
        <v>22232.007412531515</v>
      </c>
      <c r="N282" s="30">
        <f t="shared" si="86"/>
        <v>0</v>
      </c>
      <c r="O282" s="30">
        <f t="shared" si="80"/>
        <v>0</v>
      </c>
      <c r="P282" s="30">
        <f t="shared" si="87"/>
        <v>22232.007412531515</v>
      </c>
      <c r="Q282">
        <f t="shared" si="88"/>
        <v>0</v>
      </c>
      <c r="R282" s="30">
        <f t="shared" si="89"/>
        <v>0</v>
      </c>
      <c r="S282" s="30">
        <f t="shared" si="81"/>
        <v>0</v>
      </c>
      <c r="T282" s="30">
        <f t="shared" si="90"/>
        <v>22232.007412531515</v>
      </c>
      <c r="U282">
        <f t="shared" si="91"/>
        <v>0</v>
      </c>
      <c r="V282" s="30">
        <f t="shared" si="92"/>
        <v>0</v>
      </c>
      <c r="W282" s="30">
        <f t="shared" si="82"/>
        <v>0</v>
      </c>
      <c r="X282" s="30">
        <f t="shared" si="93"/>
        <v>22232.007412531515</v>
      </c>
      <c r="Y282">
        <f t="shared" si="94"/>
        <v>0</v>
      </c>
    </row>
    <row r="283" spans="1:25" x14ac:dyDescent="0.25">
      <c r="A283" s="4" t="s">
        <v>46</v>
      </c>
      <c r="B283" s="7" t="s">
        <v>63</v>
      </c>
      <c r="C283" s="2" t="s">
        <v>1199</v>
      </c>
      <c r="D283">
        <f>VLOOKUP(B283,'Model allocations'!$A$1:$L$319,5,FALSE)</f>
        <v>270724.82131449744</v>
      </c>
      <c r="E283" s="32">
        <f>VLOOKUP(B283,'Initial adjusted formula count'!$A$1:$P$319,12,FALSE)</f>
        <v>0.20088474831565001</v>
      </c>
      <c r="F283">
        <f>VLOOKUP(B283,'Model allocations'!$A$1:$L$319,10,FALSE)</f>
        <v>245024.95943189863</v>
      </c>
      <c r="G283" s="31">
        <f t="shared" si="83"/>
        <v>0.9</v>
      </c>
      <c r="H283">
        <f t="shared" si="84"/>
        <v>243652.3391830477</v>
      </c>
      <c r="I283">
        <f t="shared" si="76"/>
        <v>0</v>
      </c>
      <c r="J283">
        <f t="shared" si="77"/>
        <v>245024.95943189863</v>
      </c>
      <c r="K283">
        <f t="shared" si="78"/>
        <v>244973.10779168765</v>
      </c>
      <c r="L283">
        <f t="shared" si="85"/>
        <v>244973.10779168765</v>
      </c>
      <c r="M283">
        <f t="shared" si="79"/>
        <v>0</v>
      </c>
      <c r="N283" s="30">
        <f t="shared" si="86"/>
        <v>244973.10779168765</v>
      </c>
      <c r="O283" s="30">
        <f t="shared" si="80"/>
        <v>244966.30678532919</v>
      </c>
      <c r="P283" s="30">
        <f t="shared" si="87"/>
        <v>244966.30678532919</v>
      </c>
      <c r="Q283">
        <f t="shared" si="88"/>
        <v>0</v>
      </c>
      <c r="R283" s="30">
        <f t="shared" si="89"/>
        <v>244966.30678532919</v>
      </c>
      <c r="S283" s="30">
        <f t="shared" si="81"/>
        <v>244966.30678532916</v>
      </c>
      <c r="T283" s="30">
        <f t="shared" si="90"/>
        <v>244966.30678532916</v>
      </c>
      <c r="U283">
        <f t="shared" si="91"/>
        <v>0</v>
      </c>
      <c r="V283" s="30">
        <f t="shared" si="92"/>
        <v>244966.30678532916</v>
      </c>
      <c r="W283" s="30">
        <f t="shared" si="82"/>
        <v>244966.30678532919</v>
      </c>
      <c r="X283" s="30">
        <f t="shared" si="93"/>
        <v>244966.30678532919</v>
      </c>
      <c r="Y283">
        <f t="shared" si="94"/>
        <v>0</v>
      </c>
    </row>
    <row r="284" spans="1:25" x14ac:dyDescent="0.25">
      <c r="A284" s="4" t="s">
        <v>1200</v>
      </c>
      <c r="B284" s="7" t="s">
        <v>251</v>
      </c>
      <c r="C284" s="2" t="s">
        <v>1201</v>
      </c>
      <c r="D284">
        <f>VLOOKUP(B284,'Model allocations'!$A$1:$L$319,5,FALSE)</f>
        <v>299059.66875884857</v>
      </c>
      <c r="E284" s="32">
        <f>VLOOKUP(B284,'Initial adjusted formula count'!$A$1:$P$319,12,FALSE)</f>
        <v>9.6971461852067606E-2</v>
      </c>
      <c r="F284">
        <f>VLOOKUP(B284,'Model allocations'!$A$1:$L$319,10,FALSE)</f>
        <v>274188.77019345039</v>
      </c>
      <c r="G284" s="31">
        <f t="shared" si="83"/>
        <v>0.85</v>
      </c>
      <c r="H284">
        <f t="shared" si="84"/>
        <v>254200.71844502128</v>
      </c>
      <c r="I284">
        <f t="shared" si="76"/>
        <v>0</v>
      </c>
      <c r="J284">
        <f t="shared" si="77"/>
        <v>274188.77019345039</v>
      </c>
      <c r="K284">
        <f t="shared" si="78"/>
        <v>274130.74697208178</v>
      </c>
      <c r="L284">
        <f t="shared" si="85"/>
        <v>274130.74697208178</v>
      </c>
      <c r="M284">
        <f t="shared" si="79"/>
        <v>0</v>
      </c>
      <c r="N284" s="30">
        <f t="shared" si="86"/>
        <v>274130.74697208178</v>
      </c>
      <c r="O284" s="30">
        <f t="shared" si="80"/>
        <v>274123.13648385304</v>
      </c>
      <c r="P284" s="30">
        <f t="shared" si="87"/>
        <v>274123.13648385304</v>
      </c>
      <c r="Q284">
        <f t="shared" si="88"/>
        <v>0</v>
      </c>
      <c r="R284" s="30">
        <f t="shared" si="89"/>
        <v>274123.13648385304</v>
      </c>
      <c r="S284" s="30">
        <f t="shared" si="81"/>
        <v>274123.13648385298</v>
      </c>
      <c r="T284" s="30">
        <f t="shared" si="90"/>
        <v>274123.13648385298</v>
      </c>
      <c r="U284">
        <f t="shared" si="91"/>
        <v>0</v>
      </c>
      <c r="V284" s="30">
        <f t="shared" si="92"/>
        <v>274123.13648385298</v>
      </c>
      <c r="W284" s="30">
        <f t="shared" si="82"/>
        <v>274123.13648385304</v>
      </c>
      <c r="X284" s="30">
        <f t="shared" si="93"/>
        <v>274123.13648385304</v>
      </c>
      <c r="Y284">
        <f t="shared" si="94"/>
        <v>0</v>
      </c>
    </row>
    <row r="285" spans="1:25" x14ac:dyDescent="0.25">
      <c r="A285" s="4" t="s">
        <v>1202</v>
      </c>
      <c r="B285" s="7" t="s">
        <v>614</v>
      </c>
      <c r="C285" s="2" t="s">
        <v>1203</v>
      </c>
      <c r="D285">
        <f>VLOOKUP(B285,'Model allocations'!$A$1:$L$319,5,FALSE)</f>
        <v>70820.962263258858</v>
      </c>
      <c r="E285" s="32">
        <f>VLOOKUP(B285,'Initial adjusted formula count'!$A$1:$P$319,12,FALSE)</f>
        <v>0.249382716049383</v>
      </c>
      <c r="F285">
        <f>VLOOKUP(B285,'Model allocations'!$A$1:$L$319,10,FALSE)</f>
        <v>113641.46749249438</v>
      </c>
      <c r="G285" s="31">
        <f t="shared" si="83"/>
        <v>0.9</v>
      </c>
      <c r="H285">
        <f t="shared" si="84"/>
        <v>63738.866036932974</v>
      </c>
      <c r="I285">
        <f t="shared" si="76"/>
        <v>0</v>
      </c>
      <c r="J285">
        <f t="shared" si="77"/>
        <v>113641.46749249438</v>
      </c>
      <c r="K285">
        <f t="shared" si="78"/>
        <v>113617.4189363835</v>
      </c>
      <c r="L285">
        <f t="shared" si="85"/>
        <v>113617.4189363835</v>
      </c>
      <c r="M285">
        <f t="shared" si="79"/>
        <v>0</v>
      </c>
      <c r="N285" s="30">
        <f t="shared" si="86"/>
        <v>113617.4189363835</v>
      </c>
      <c r="O285" s="30">
        <f t="shared" si="80"/>
        <v>113614.26466040772</v>
      </c>
      <c r="P285" s="30">
        <f t="shared" si="87"/>
        <v>113614.26466040772</v>
      </c>
      <c r="Q285">
        <f t="shared" si="88"/>
        <v>0</v>
      </c>
      <c r="R285" s="30">
        <f t="shared" si="89"/>
        <v>113614.26466040772</v>
      </c>
      <c r="S285" s="30">
        <f t="shared" si="81"/>
        <v>113614.26466040769</v>
      </c>
      <c r="T285" s="30">
        <f t="shared" si="90"/>
        <v>113614.26466040769</v>
      </c>
      <c r="U285">
        <f t="shared" si="91"/>
        <v>0</v>
      </c>
      <c r="V285" s="30">
        <f t="shared" si="92"/>
        <v>113614.26466040769</v>
      </c>
      <c r="W285" s="30">
        <f t="shared" si="82"/>
        <v>113614.2646604077</v>
      </c>
      <c r="X285" s="30">
        <f t="shared" si="93"/>
        <v>113614.2646604077</v>
      </c>
      <c r="Y285">
        <f t="shared" si="94"/>
        <v>0</v>
      </c>
    </row>
    <row r="286" spans="1:25" x14ac:dyDescent="0.25">
      <c r="A286" s="4" t="s">
        <v>1204</v>
      </c>
      <c r="B286" s="7" t="s">
        <v>253</v>
      </c>
      <c r="C286" s="2" t="s">
        <v>1205</v>
      </c>
      <c r="D286">
        <f>VLOOKUP(B286,'Model allocations'!$A$1:$L$319,5,FALSE)</f>
        <v>183795.04265153126</v>
      </c>
      <c r="E286" s="32">
        <f>VLOOKUP(B286,'Initial adjusted formula count'!$A$1:$P$319,12,FALSE)</f>
        <v>8.2145998240984994E-2</v>
      </c>
      <c r="F286">
        <f>VLOOKUP(B286,'Model allocations'!$A$1:$L$319,10,FALSE)</f>
        <v>192261.49501552765</v>
      </c>
      <c r="G286" s="31">
        <f t="shared" si="83"/>
        <v>0.85</v>
      </c>
      <c r="H286">
        <f t="shared" si="84"/>
        <v>156225.78625380158</v>
      </c>
      <c r="I286">
        <f t="shared" si="76"/>
        <v>0</v>
      </c>
      <c r="J286">
        <f t="shared" si="77"/>
        <v>192261.49501552765</v>
      </c>
      <c r="K286">
        <f t="shared" si="78"/>
        <v>192220.8090630064</v>
      </c>
      <c r="L286">
        <f t="shared" si="85"/>
        <v>192220.8090630064</v>
      </c>
      <c r="M286">
        <f t="shared" si="79"/>
        <v>0</v>
      </c>
      <c r="N286" s="30">
        <f t="shared" si="86"/>
        <v>192220.8090630064</v>
      </c>
      <c r="O286" s="30">
        <f t="shared" si="80"/>
        <v>192215.47257951865</v>
      </c>
      <c r="P286" s="30">
        <f t="shared" si="87"/>
        <v>192215.47257951865</v>
      </c>
      <c r="Q286">
        <f t="shared" si="88"/>
        <v>0</v>
      </c>
      <c r="R286" s="30">
        <f t="shared" si="89"/>
        <v>192215.47257951865</v>
      </c>
      <c r="S286" s="30">
        <f t="shared" si="81"/>
        <v>192215.47257951862</v>
      </c>
      <c r="T286" s="30">
        <f t="shared" si="90"/>
        <v>192215.47257951862</v>
      </c>
      <c r="U286">
        <f t="shared" si="91"/>
        <v>0</v>
      </c>
      <c r="V286" s="30">
        <f t="shared" si="92"/>
        <v>192215.47257951862</v>
      </c>
      <c r="W286" s="30">
        <f t="shared" si="82"/>
        <v>192215.47257951862</v>
      </c>
      <c r="X286" s="30">
        <f t="shared" si="93"/>
        <v>192215.47257951862</v>
      </c>
      <c r="Y286">
        <f t="shared" si="94"/>
        <v>0</v>
      </c>
    </row>
    <row r="287" spans="1:25" x14ac:dyDescent="0.25">
      <c r="A287" s="4" t="s">
        <v>1206</v>
      </c>
      <c r="B287" s="7" t="s">
        <v>616</v>
      </c>
      <c r="C287" s="2" t="s">
        <v>1207</v>
      </c>
      <c r="D287">
        <f>VLOOKUP(B287,'Model allocations'!$A$1:$L$319,5,FALSE)</f>
        <v>38385.506294771025</v>
      </c>
      <c r="E287" s="32">
        <f>VLOOKUP(B287,'Initial adjusted formula count'!$A$1:$P$319,12,FALSE)</f>
        <v>0.23263888888888901</v>
      </c>
      <c r="F287">
        <f>VLOOKUP(B287,'Model allocations'!$A$1:$L$319,10,FALSE)</f>
        <v>35442.644970639747</v>
      </c>
      <c r="G287" s="31">
        <f t="shared" si="83"/>
        <v>0.9</v>
      </c>
      <c r="H287">
        <f t="shared" si="84"/>
        <v>34546.955665293921</v>
      </c>
      <c r="I287">
        <f t="shared" si="76"/>
        <v>0</v>
      </c>
      <c r="J287">
        <f t="shared" si="77"/>
        <v>35442.644970639747</v>
      </c>
      <c r="K287">
        <f t="shared" si="78"/>
        <v>35435.144676468066</v>
      </c>
      <c r="L287">
        <f t="shared" si="85"/>
        <v>35435.144676468066</v>
      </c>
      <c r="M287">
        <f t="shared" si="79"/>
        <v>0</v>
      </c>
      <c r="N287" s="30">
        <f t="shared" si="86"/>
        <v>35435.144676468066</v>
      </c>
      <c r="O287" s="30">
        <f t="shared" si="80"/>
        <v>35434.160916877343</v>
      </c>
      <c r="P287" s="30">
        <f t="shared" si="87"/>
        <v>35434.160916877343</v>
      </c>
      <c r="Q287">
        <f t="shared" si="88"/>
        <v>0</v>
      </c>
      <c r="R287" s="30">
        <f t="shared" si="89"/>
        <v>35434.160916877343</v>
      </c>
      <c r="S287" s="30">
        <f t="shared" si="81"/>
        <v>35434.160916877336</v>
      </c>
      <c r="T287" s="30">
        <f t="shared" si="90"/>
        <v>35434.160916877336</v>
      </c>
      <c r="U287">
        <f t="shared" si="91"/>
        <v>0</v>
      </c>
      <c r="V287" s="30">
        <f t="shared" si="92"/>
        <v>35434.160916877336</v>
      </c>
      <c r="W287" s="30">
        <f t="shared" si="82"/>
        <v>35434.160916877336</v>
      </c>
      <c r="X287" s="30">
        <f t="shared" si="93"/>
        <v>35434.160916877336</v>
      </c>
      <c r="Y287">
        <f t="shared" si="94"/>
        <v>0</v>
      </c>
    </row>
    <row r="288" spans="1:25" x14ac:dyDescent="0.25">
      <c r="A288" s="4" t="s">
        <v>52</v>
      </c>
      <c r="B288" s="7" t="s">
        <v>66</v>
      </c>
      <c r="C288" s="2" t="s">
        <v>1208</v>
      </c>
      <c r="D288">
        <f>VLOOKUP(B288,'Model allocations'!$A$1:$L$319,5,FALSE)</f>
        <v>1975816.9676403874</v>
      </c>
      <c r="E288" s="32">
        <f>VLOOKUP(B288,'Initial adjusted formula count'!$A$1:$P$319,12,FALSE)</f>
        <v>0.11467654976748599</v>
      </c>
      <c r="F288">
        <f>VLOOKUP(B288,'Model allocations'!$A$1:$L$319,10,FALSE)</f>
        <v>1714948.3779502544</v>
      </c>
      <c r="G288" s="31">
        <f t="shared" si="83"/>
        <v>0.85</v>
      </c>
      <c r="H288">
        <f t="shared" si="84"/>
        <v>1679444.4224943293</v>
      </c>
      <c r="I288">
        <f t="shared" si="76"/>
        <v>0</v>
      </c>
      <c r="J288">
        <f t="shared" si="77"/>
        <v>1714948.3779502544</v>
      </c>
      <c r="K288">
        <f t="shared" si="78"/>
        <v>1714585.4643659403</v>
      </c>
      <c r="L288">
        <f t="shared" si="85"/>
        <v>1714585.4643659403</v>
      </c>
      <c r="M288">
        <f t="shared" si="79"/>
        <v>0</v>
      </c>
      <c r="N288" s="30">
        <f t="shared" si="86"/>
        <v>1714585.4643659403</v>
      </c>
      <c r="O288" s="30">
        <f t="shared" si="80"/>
        <v>1714537.863603757</v>
      </c>
      <c r="P288" s="30">
        <f t="shared" si="87"/>
        <v>1714537.863603757</v>
      </c>
      <c r="Q288">
        <f t="shared" si="88"/>
        <v>0</v>
      </c>
      <c r="R288" s="30">
        <f t="shared" si="89"/>
        <v>1714537.863603757</v>
      </c>
      <c r="S288" s="30">
        <f t="shared" si="81"/>
        <v>1714537.8636037568</v>
      </c>
      <c r="T288" s="30">
        <f t="shared" si="90"/>
        <v>1714537.8636037568</v>
      </c>
      <c r="U288">
        <f t="shared" si="91"/>
        <v>0</v>
      </c>
      <c r="V288" s="30">
        <f t="shared" si="92"/>
        <v>1714537.8636037568</v>
      </c>
      <c r="W288" s="30">
        <f t="shared" si="82"/>
        <v>1714537.863603757</v>
      </c>
      <c r="X288" s="30">
        <f t="shared" si="93"/>
        <v>1714537.863603757</v>
      </c>
      <c r="Y288">
        <f t="shared" si="94"/>
        <v>0</v>
      </c>
    </row>
    <row r="289" spans="1:25" x14ac:dyDescent="0.25">
      <c r="A289" s="4" t="s">
        <v>1209</v>
      </c>
      <c r="B289" s="7" t="s">
        <v>255</v>
      </c>
      <c r="C289" s="2" t="s">
        <v>1210</v>
      </c>
      <c r="D289">
        <f>VLOOKUP(B289,'Model allocations'!$A$1:$L$319,5,FALSE)</f>
        <v>59301.391966626543</v>
      </c>
      <c r="E289" s="32">
        <f>VLOOKUP(B289,'Initial adjusted formula count'!$A$1:$P$319,12,FALSE)</f>
        <v>8.29787234042553E-2</v>
      </c>
      <c r="F289">
        <f>VLOOKUP(B289,'Model allocations'!$A$1:$L$319,10,FALSE)</f>
        <v>50406.183171632561</v>
      </c>
      <c r="G289" s="31">
        <f t="shared" si="83"/>
        <v>0.85</v>
      </c>
      <c r="H289">
        <f t="shared" si="84"/>
        <v>50406.183171632561</v>
      </c>
      <c r="I289">
        <f t="shared" si="76"/>
        <v>0</v>
      </c>
      <c r="J289">
        <f t="shared" si="77"/>
        <v>50406.183171632561</v>
      </c>
      <c r="K289">
        <f t="shared" si="78"/>
        <v>50395.516326588353</v>
      </c>
      <c r="L289">
        <f t="shared" si="85"/>
        <v>50395.516326588353</v>
      </c>
      <c r="M289">
        <f t="shared" si="79"/>
        <v>50406.183171632561</v>
      </c>
      <c r="N289" s="30">
        <f t="shared" si="86"/>
        <v>0</v>
      </c>
      <c r="O289" s="30">
        <f t="shared" si="80"/>
        <v>0</v>
      </c>
      <c r="P289" s="30">
        <f t="shared" si="87"/>
        <v>50406.183171632561</v>
      </c>
      <c r="Q289">
        <f t="shared" si="88"/>
        <v>0</v>
      </c>
      <c r="R289" s="30">
        <f t="shared" si="89"/>
        <v>0</v>
      </c>
      <c r="S289" s="30">
        <f t="shared" si="81"/>
        <v>0</v>
      </c>
      <c r="T289" s="30">
        <f t="shared" si="90"/>
        <v>50406.183171632561</v>
      </c>
      <c r="U289">
        <f t="shared" si="91"/>
        <v>0</v>
      </c>
      <c r="V289" s="30">
        <f t="shared" si="92"/>
        <v>0</v>
      </c>
      <c r="W289" s="30">
        <f t="shared" si="82"/>
        <v>0</v>
      </c>
      <c r="X289" s="30">
        <f t="shared" si="93"/>
        <v>50406.183171632561</v>
      </c>
      <c r="Y289">
        <f t="shared" si="94"/>
        <v>0</v>
      </c>
    </row>
    <row r="290" spans="1:25" x14ac:dyDescent="0.25">
      <c r="A290" s="4" t="s">
        <v>1211</v>
      </c>
      <c r="B290" s="7" t="s">
        <v>618</v>
      </c>
      <c r="C290" s="2" t="s">
        <v>1212</v>
      </c>
      <c r="D290">
        <f>VLOOKUP(B290,'Model allocations'!$A$1:$L$319,5,FALSE)</f>
        <v>40696.719138002802</v>
      </c>
      <c r="E290" s="32">
        <f>VLOOKUP(B290,'Initial adjusted formula count'!$A$1:$P$319,12,FALSE)</f>
        <v>0.22424242424242399</v>
      </c>
      <c r="F290">
        <f>VLOOKUP(B290,'Model allocations'!$A$1:$L$319,10,FALSE)</f>
        <v>56639.279241047836</v>
      </c>
      <c r="G290" s="31">
        <f t="shared" si="83"/>
        <v>0.9</v>
      </c>
      <c r="H290">
        <f t="shared" si="84"/>
        <v>36627.047224202521</v>
      </c>
      <c r="I290">
        <f t="shared" si="76"/>
        <v>0</v>
      </c>
      <c r="J290">
        <f t="shared" si="77"/>
        <v>56639.279241047836</v>
      </c>
      <c r="K290">
        <f t="shared" si="78"/>
        <v>56627.293361993616</v>
      </c>
      <c r="L290">
        <f t="shared" si="85"/>
        <v>56627.293361993616</v>
      </c>
      <c r="M290">
        <f t="shared" si="79"/>
        <v>0</v>
      </c>
      <c r="N290" s="30">
        <f t="shared" si="86"/>
        <v>56627.293361993616</v>
      </c>
      <c r="O290" s="30">
        <f t="shared" si="80"/>
        <v>56625.721260526276</v>
      </c>
      <c r="P290" s="30">
        <f t="shared" si="87"/>
        <v>56625.721260526276</v>
      </c>
      <c r="Q290">
        <f t="shared" si="88"/>
        <v>0</v>
      </c>
      <c r="R290" s="30">
        <f t="shared" si="89"/>
        <v>56625.721260526276</v>
      </c>
      <c r="S290" s="30">
        <f t="shared" si="81"/>
        <v>56625.721260526261</v>
      </c>
      <c r="T290" s="30">
        <f t="shared" si="90"/>
        <v>56625.721260526261</v>
      </c>
      <c r="U290">
        <f t="shared" si="91"/>
        <v>0</v>
      </c>
      <c r="V290" s="30">
        <f t="shared" si="92"/>
        <v>56625.721260526261</v>
      </c>
      <c r="W290" s="30">
        <f t="shared" si="82"/>
        <v>56625.721260526268</v>
      </c>
      <c r="X290" s="30">
        <f t="shared" si="93"/>
        <v>56625.721260526268</v>
      </c>
      <c r="Y290">
        <f t="shared" si="94"/>
        <v>0</v>
      </c>
    </row>
    <row r="291" spans="1:25" x14ac:dyDescent="0.25">
      <c r="A291" s="4" t="s">
        <v>1213</v>
      </c>
      <c r="B291" s="7" t="s">
        <v>620</v>
      </c>
      <c r="C291" s="2" t="s">
        <v>1214</v>
      </c>
      <c r="D291">
        <f>VLOOKUP(B291,'Model allocations'!$A$1:$L$319,5,FALSE)</f>
        <v>123563.65153690509</v>
      </c>
      <c r="E291" s="32">
        <f>VLOOKUP(B291,'Initial adjusted formula count'!$A$1:$P$319,12,FALSE)</f>
        <v>0.17495029821073599</v>
      </c>
      <c r="F291">
        <f>VLOOKUP(B291,'Model allocations'!$A$1:$L$319,10,FALSE)</f>
        <v>156813.66268977613</v>
      </c>
      <c r="G291" s="31">
        <f t="shared" si="83"/>
        <v>0.9</v>
      </c>
      <c r="H291">
        <f t="shared" si="84"/>
        <v>111207.28638321458</v>
      </c>
      <c r="I291">
        <f t="shared" si="76"/>
        <v>0</v>
      </c>
      <c r="J291">
        <f t="shared" si="77"/>
        <v>156813.66268977613</v>
      </c>
      <c r="K291">
        <f t="shared" si="78"/>
        <v>156780.47812916318</v>
      </c>
      <c r="L291">
        <f t="shared" si="85"/>
        <v>156780.47812916318</v>
      </c>
      <c r="M291">
        <f t="shared" si="79"/>
        <v>0</v>
      </c>
      <c r="N291" s="30">
        <f t="shared" si="86"/>
        <v>156780.47812916318</v>
      </c>
      <c r="O291" s="30">
        <f t="shared" si="80"/>
        <v>156776.12554924839</v>
      </c>
      <c r="P291" s="30">
        <f t="shared" si="87"/>
        <v>156776.12554924839</v>
      </c>
      <c r="Q291">
        <f t="shared" si="88"/>
        <v>0</v>
      </c>
      <c r="R291" s="30">
        <f t="shared" si="89"/>
        <v>156776.12554924839</v>
      </c>
      <c r="S291" s="30">
        <f t="shared" si="81"/>
        <v>156776.12554924836</v>
      </c>
      <c r="T291" s="30">
        <f t="shared" si="90"/>
        <v>156776.12554924836</v>
      </c>
      <c r="U291">
        <f t="shared" si="91"/>
        <v>0</v>
      </c>
      <c r="V291" s="30">
        <f t="shared" si="92"/>
        <v>156776.12554924836</v>
      </c>
      <c r="W291" s="30">
        <f t="shared" si="82"/>
        <v>156776.12554924839</v>
      </c>
      <c r="X291" s="30">
        <f t="shared" si="93"/>
        <v>156776.12554924839</v>
      </c>
      <c r="Y291">
        <f t="shared" si="94"/>
        <v>0</v>
      </c>
    </row>
    <row r="292" spans="1:25" x14ac:dyDescent="0.25">
      <c r="A292" s="4" t="s">
        <v>1215</v>
      </c>
      <c r="B292" s="7" t="s">
        <v>622</v>
      </c>
      <c r="C292" s="2" t="s">
        <v>1216</v>
      </c>
      <c r="D292">
        <f>VLOOKUP(B292,'Model allocations'!$A$1:$L$319,5,FALSE)</f>
        <v>14923.529104184163</v>
      </c>
      <c r="E292" s="32">
        <f>VLOOKUP(B292,'Initial adjusted formula count'!$A$1:$P$319,12,FALSE)</f>
        <v>0.102189781021898</v>
      </c>
      <c r="F292">
        <f>VLOOKUP(B292,'Model allocations'!$A$1:$L$319,10,FALSE)</f>
        <v>12684.999738556538</v>
      </c>
      <c r="G292" s="31">
        <f t="shared" si="83"/>
        <v>0.85</v>
      </c>
      <c r="H292">
        <f t="shared" si="84"/>
        <v>12684.999738556538</v>
      </c>
      <c r="I292">
        <f t="shared" si="76"/>
        <v>0</v>
      </c>
      <c r="J292">
        <f t="shared" si="77"/>
        <v>12684.999738556538</v>
      </c>
      <c r="K292">
        <f t="shared" si="78"/>
        <v>12682.315366956011</v>
      </c>
      <c r="L292">
        <f t="shared" si="85"/>
        <v>12682.315366956011</v>
      </c>
      <c r="M292">
        <f t="shared" si="79"/>
        <v>12684.999738556538</v>
      </c>
      <c r="N292" s="30">
        <f t="shared" si="86"/>
        <v>0</v>
      </c>
      <c r="O292" s="30">
        <f t="shared" si="80"/>
        <v>0</v>
      </c>
      <c r="P292" s="30">
        <f t="shared" si="87"/>
        <v>12684.999738556538</v>
      </c>
      <c r="Q292">
        <f t="shared" si="88"/>
        <v>0</v>
      </c>
      <c r="R292" s="30">
        <f t="shared" si="89"/>
        <v>0</v>
      </c>
      <c r="S292" s="30">
        <f t="shared" si="81"/>
        <v>0</v>
      </c>
      <c r="T292" s="30">
        <f t="shared" si="90"/>
        <v>12684.999738556538</v>
      </c>
      <c r="U292">
        <f t="shared" si="91"/>
        <v>0</v>
      </c>
      <c r="V292" s="30">
        <f t="shared" si="92"/>
        <v>0</v>
      </c>
      <c r="W292" s="30">
        <f t="shared" si="82"/>
        <v>0</v>
      </c>
      <c r="X292" s="30">
        <f t="shared" si="93"/>
        <v>12684.999738556538</v>
      </c>
      <c r="Y292">
        <f t="shared" si="94"/>
        <v>0</v>
      </c>
    </row>
    <row r="293" spans="1:25" x14ac:dyDescent="0.25">
      <c r="A293" s="4" t="s">
        <v>1217</v>
      </c>
      <c r="B293" s="7" t="s">
        <v>624</v>
      </c>
      <c r="C293" s="2" t="s">
        <v>1218</v>
      </c>
      <c r="D293">
        <f>VLOOKUP(B293,'Model allocations'!$A$1:$L$319,5,FALSE)</f>
        <v>363270.11635185138</v>
      </c>
      <c r="E293" s="32">
        <f>VLOOKUP(B293,'Initial adjusted formula count'!$A$1:$P$319,12,FALSE)</f>
        <v>0.138222372423116</v>
      </c>
      <c r="F293">
        <f>VLOOKUP(B293,'Model allocations'!$A$1:$L$319,10,FALSE)</f>
        <v>362909.01039868867</v>
      </c>
      <c r="G293" s="31">
        <f t="shared" si="83"/>
        <v>0.85</v>
      </c>
      <c r="H293">
        <f t="shared" si="84"/>
        <v>308779.59889907367</v>
      </c>
      <c r="I293">
        <f t="shared" si="76"/>
        <v>0</v>
      </c>
      <c r="J293">
        <f t="shared" si="77"/>
        <v>362909.01039868867</v>
      </c>
      <c r="K293">
        <f t="shared" si="78"/>
        <v>362832.21239623154</v>
      </c>
      <c r="L293">
        <f t="shared" si="85"/>
        <v>362832.21239623154</v>
      </c>
      <c r="M293">
        <f t="shared" si="79"/>
        <v>0</v>
      </c>
      <c r="N293" s="30">
        <f t="shared" si="86"/>
        <v>362832.21239623154</v>
      </c>
      <c r="O293" s="30">
        <f t="shared" si="80"/>
        <v>362822.13935512997</v>
      </c>
      <c r="P293" s="30">
        <f t="shared" si="87"/>
        <v>362822.13935512997</v>
      </c>
      <c r="Q293">
        <f t="shared" si="88"/>
        <v>0</v>
      </c>
      <c r="R293" s="30">
        <f t="shared" si="89"/>
        <v>362822.13935512997</v>
      </c>
      <c r="S293" s="30">
        <f t="shared" si="81"/>
        <v>362822.13935512991</v>
      </c>
      <c r="T293" s="30">
        <f t="shared" si="90"/>
        <v>362822.13935512991</v>
      </c>
      <c r="U293">
        <f t="shared" si="91"/>
        <v>0</v>
      </c>
      <c r="V293" s="30">
        <f t="shared" si="92"/>
        <v>362822.13935512991</v>
      </c>
      <c r="W293" s="30">
        <f t="shared" si="82"/>
        <v>362822.13935512997</v>
      </c>
      <c r="X293" s="30">
        <f t="shared" si="93"/>
        <v>362822.13935512997</v>
      </c>
      <c r="Y293">
        <f t="shared" si="94"/>
        <v>0</v>
      </c>
    </row>
    <row r="294" spans="1:25" x14ac:dyDescent="0.25">
      <c r="A294" s="4" t="s">
        <v>1219</v>
      </c>
      <c r="B294" s="7" t="s">
        <v>625</v>
      </c>
      <c r="C294" s="2" t="s">
        <v>1220</v>
      </c>
      <c r="D294">
        <f>VLOOKUP(B294,'Model allocations'!$A$1:$L$319,5,FALSE)</f>
        <v>459207.36827934097</v>
      </c>
      <c r="E294" s="32">
        <f>VLOOKUP(B294,'Initial adjusted formula count'!$A$1:$P$319,12,FALSE)</f>
        <v>0.24441260744985699</v>
      </c>
      <c r="F294">
        <f>VLOOKUP(B294,'Model allocations'!$A$1:$L$319,10,FALSE)</f>
        <v>471787.58016990969</v>
      </c>
      <c r="G294" s="31">
        <f t="shared" si="83"/>
        <v>0.9</v>
      </c>
      <c r="H294">
        <f t="shared" si="84"/>
        <v>413286.63145140687</v>
      </c>
      <c r="I294">
        <f t="shared" si="76"/>
        <v>0</v>
      </c>
      <c r="J294">
        <f t="shared" si="77"/>
        <v>471787.58016990969</v>
      </c>
      <c r="K294">
        <f t="shared" si="78"/>
        <v>471687.74152522761</v>
      </c>
      <c r="L294">
        <f t="shared" si="85"/>
        <v>471687.74152522761</v>
      </c>
      <c r="M294">
        <f t="shared" si="79"/>
        <v>0</v>
      </c>
      <c r="N294" s="30">
        <f t="shared" si="86"/>
        <v>471687.74152522761</v>
      </c>
      <c r="O294" s="30">
        <f t="shared" si="80"/>
        <v>471674.64640895854</v>
      </c>
      <c r="P294" s="30">
        <f t="shared" si="87"/>
        <v>471674.64640895854</v>
      </c>
      <c r="Q294">
        <f t="shared" si="88"/>
        <v>0</v>
      </c>
      <c r="R294" s="30">
        <f t="shared" si="89"/>
        <v>471674.64640895854</v>
      </c>
      <c r="S294" s="30">
        <f t="shared" si="81"/>
        <v>471674.64640895842</v>
      </c>
      <c r="T294" s="30">
        <f t="shared" si="90"/>
        <v>471674.64640895842</v>
      </c>
      <c r="U294">
        <f t="shared" si="91"/>
        <v>0</v>
      </c>
      <c r="V294" s="30">
        <f t="shared" si="92"/>
        <v>471674.64640895842</v>
      </c>
      <c r="W294" s="30">
        <f t="shared" si="82"/>
        <v>471674.64640895848</v>
      </c>
      <c r="X294" s="30">
        <f t="shared" si="93"/>
        <v>471674.64640895848</v>
      </c>
      <c r="Y294">
        <f t="shared" si="94"/>
        <v>0</v>
      </c>
    </row>
    <row r="295" spans="1:25" x14ac:dyDescent="0.25">
      <c r="A295" s="4" t="s">
        <v>1221</v>
      </c>
      <c r="B295" s="7" t="s">
        <v>627</v>
      </c>
      <c r="C295" s="2" t="s">
        <v>1222</v>
      </c>
      <c r="D295">
        <f>VLOOKUP(B295,'Model allocations'!$A$1:$L$319,5,FALSE)</f>
        <v>73591.811567493729</v>
      </c>
      <c r="E295" s="32">
        <f>VLOOKUP(B295,'Initial adjusted formula count'!$A$1:$P$319,12,FALSE)</f>
        <v>0.20693641618497099</v>
      </c>
      <c r="F295">
        <f>VLOOKUP(B295,'Model allocations'!$A$1:$L$319,10,FALSE)</f>
        <v>87351.251904809033</v>
      </c>
      <c r="G295" s="31">
        <f t="shared" si="83"/>
        <v>0.9</v>
      </c>
      <c r="H295">
        <f t="shared" si="84"/>
        <v>66232.630410744358</v>
      </c>
      <c r="I295">
        <f t="shared" si="76"/>
        <v>0</v>
      </c>
      <c r="J295">
        <f t="shared" si="77"/>
        <v>87351.251904809033</v>
      </c>
      <c r="K295">
        <f t="shared" si="78"/>
        <v>87332.7668259981</v>
      </c>
      <c r="L295">
        <f t="shared" si="85"/>
        <v>87332.7668259981</v>
      </c>
      <c r="M295">
        <f t="shared" si="79"/>
        <v>0</v>
      </c>
      <c r="N295" s="30">
        <f t="shared" si="86"/>
        <v>87332.7668259981</v>
      </c>
      <c r="O295" s="30">
        <f t="shared" si="80"/>
        <v>87330.342271287431</v>
      </c>
      <c r="P295" s="30">
        <f t="shared" si="87"/>
        <v>87330.342271287431</v>
      </c>
      <c r="Q295">
        <f t="shared" si="88"/>
        <v>0</v>
      </c>
      <c r="R295" s="30">
        <f t="shared" si="89"/>
        <v>87330.342271287431</v>
      </c>
      <c r="S295" s="30">
        <f t="shared" si="81"/>
        <v>87330.342271287416</v>
      </c>
      <c r="T295" s="30">
        <f t="shared" si="90"/>
        <v>87330.342271287416</v>
      </c>
      <c r="U295">
        <f t="shared" si="91"/>
        <v>0</v>
      </c>
      <c r="V295" s="30">
        <f t="shared" si="92"/>
        <v>87330.342271287416</v>
      </c>
      <c r="W295" s="30">
        <f t="shared" si="82"/>
        <v>87330.342271287431</v>
      </c>
      <c r="X295" s="30">
        <f t="shared" si="93"/>
        <v>87330.342271287431</v>
      </c>
      <c r="Y295">
        <f t="shared" si="94"/>
        <v>0</v>
      </c>
    </row>
    <row r="296" spans="1:25" x14ac:dyDescent="0.25">
      <c r="A296" s="4" t="s">
        <v>1223</v>
      </c>
      <c r="B296" s="7" t="s">
        <v>257</v>
      </c>
      <c r="C296" s="2" t="s">
        <v>1224</v>
      </c>
      <c r="D296">
        <f>VLOOKUP(B296,'Model allocations'!$A$1:$L$319,5,FALSE)</f>
        <v>122922.75288446431</v>
      </c>
      <c r="E296" s="32">
        <f>VLOOKUP(B296,'Initial adjusted formula count'!$A$1:$P$319,12,FALSE)</f>
        <v>7.32816261032362E-2</v>
      </c>
      <c r="F296">
        <f>VLOOKUP(B296,'Model allocations'!$A$1:$L$319,10,FALSE)</f>
        <v>112804.38893844659</v>
      </c>
      <c r="G296" s="31">
        <f t="shared" si="83"/>
        <v>0.85</v>
      </c>
      <c r="H296">
        <f t="shared" si="84"/>
        <v>104484.33995179467</v>
      </c>
      <c r="I296">
        <f t="shared" si="76"/>
        <v>0</v>
      </c>
      <c r="J296">
        <f t="shared" si="77"/>
        <v>112804.38893844659</v>
      </c>
      <c r="K296">
        <f t="shared" si="78"/>
        <v>112780.51752304869</v>
      </c>
      <c r="L296">
        <f t="shared" si="85"/>
        <v>112780.51752304869</v>
      </c>
      <c r="M296">
        <f t="shared" si="79"/>
        <v>0</v>
      </c>
      <c r="N296" s="30">
        <f t="shared" si="86"/>
        <v>112780.51752304869</v>
      </c>
      <c r="O296" s="30">
        <f t="shared" si="80"/>
        <v>112777.38648134496</v>
      </c>
      <c r="P296" s="30">
        <f t="shared" si="87"/>
        <v>112777.38648134496</v>
      </c>
      <c r="Q296">
        <f t="shared" si="88"/>
        <v>0</v>
      </c>
      <c r="R296" s="30">
        <f t="shared" si="89"/>
        <v>112777.38648134496</v>
      </c>
      <c r="S296" s="30">
        <f t="shared" si="81"/>
        <v>112777.38648134495</v>
      </c>
      <c r="T296" s="30">
        <f t="shared" si="90"/>
        <v>112777.38648134495</v>
      </c>
      <c r="U296">
        <f t="shared" si="91"/>
        <v>0</v>
      </c>
      <c r="V296" s="30">
        <f t="shared" si="92"/>
        <v>112777.38648134495</v>
      </c>
      <c r="W296" s="30">
        <f t="shared" si="82"/>
        <v>112777.38648134495</v>
      </c>
      <c r="X296" s="30">
        <f t="shared" si="93"/>
        <v>112777.38648134495</v>
      </c>
      <c r="Y296">
        <f t="shared" si="94"/>
        <v>0</v>
      </c>
    </row>
    <row r="297" spans="1:25" x14ac:dyDescent="0.25">
      <c r="A297" s="4" t="s">
        <v>1225</v>
      </c>
      <c r="B297" s="7" t="s">
        <v>629</v>
      </c>
      <c r="C297" s="2" t="s">
        <v>1226</v>
      </c>
      <c r="D297">
        <f>VLOOKUP(B297,'Model allocations'!$A$1:$L$319,5,FALSE)</f>
        <v>0</v>
      </c>
      <c r="E297" s="32">
        <f>VLOOKUP(B297,'Initial adjusted formula count'!$A$1:$P$319,12,FALSE)</f>
        <v>0.104477611940298</v>
      </c>
      <c r="F297">
        <f>VLOOKUP(B297,'Model allocations'!$A$1:$L$319,10,FALSE)</f>
        <v>0</v>
      </c>
      <c r="G297" s="31">
        <f t="shared" si="83"/>
        <v>0.85</v>
      </c>
      <c r="H297">
        <f t="shared" si="84"/>
        <v>0</v>
      </c>
      <c r="I297">
        <f t="shared" si="76"/>
        <v>0</v>
      </c>
      <c r="J297">
        <f t="shared" si="77"/>
        <v>0</v>
      </c>
      <c r="K297">
        <f t="shared" si="78"/>
        <v>0</v>
      </c>
      <c r="L297">
        <f t="shared" si="85"/>
        <v>0</v>
      </c>
      <c r="M297">
        <f t="shared" si="79"/>
        <v>0</v>
      </c>
      <c r="N297" s="30">
        <f t="shared" si="86"/>
        <v>0</v>
      </c>
      <c r="O297" s="30">
        <f t="shared" si="80"/>
        <v>0</v>
      </c>
      <c r="P297" s="30">
        <f t="shared" si="87"/>
        <v>0</v>
      </c>
      <c r="Q297">
        <f t="shared" si="88"/>
        <v>0</v>
      </c>
      <c r="R297" s="30">
        <f t="shared" si="89"/>
        <v>0</v>
      </c>
      <c r="S297" s="30">
        <f t="shared" si="81"/>
        <v>0</v>
      </c>
      <c r="T297" s="30">
        <f t="shared" si="90"/>
        <v>0</v>
      </c>
      <c r="U297">
        <f t="shared" si="91"/>
        <v>0</v>
      </c>
      <c r="V297" s="30">
        <f t="shared" si="92"/>
        <v>0</v>
      </c>
      <c r="W297" s="30">
        <f t="shared" si="82"/>
        <v>0</v>
      </c>
      <c r="X297" s="30">
        <f t="shared" si="93"/>
        <v>0</v>
      </c>
      <c r="Y297">
        <f t="shared" si="94"/>
        <v>0</v>
      </c>
    </row>
    <row r="298" spans="1:25" x14ac:dyDescent="0.25">
      <c r="A298" s="4" t="s">
        <v>1227</v>
      </c>
      <c r="B298" s="7" t="s">
        <v>631</v>
      </c>
      <c r="C298" s="2" t="s">
        <v>1228</v>
      </c>
      <c r="D298">
        <f>VLOOKUP(B298,'Model allocations'!$A$1:$L$319,5,FALSE)</f>
        <v>20421.671405725705</v>
      </c>
      <c r="E298" s="32">
        <f>VLOOKUP(B298,'Initial adjusted formula count'!$A$1:$P$319,12,FALSE)</f>
        <v>0.12804878048780499</v>
      </c>
      <c r="F298">
        <f>VLOOKUP(B298,'Model allocations'!$A$1:$L$319,10,FALSE)</f>
        <v>17358.420694866847</v>
      </c>
      <c r="G298" s="31">
        <f t="shared" si="83"/>
        <v>0.85</v>
      </c>
      <c r="H298">
        <f t="shared" si="84"/>
        <v>17358.420694866847</v>
      </c>
      <c r="I298">
        <f t="shared" si="76"/>
        <v>0</v>
      </c>
      <c r="J298">
        <f t="shared" si="77"/>
        <v>17358.420694866847</v>
      </c>
      <c r="K298">
        <f t="shared" si="78"/>
        <v>17354.7473442556</v>
      </c>
      <c r="L298">
        <f t="shared" si="85"/>
        <v>17354.7473442556</v>
      </c>
      <c r="M298">
        <f t="shared" si="79"/>
        <v>17358.420694866847</v>
      </c>
      <c r="N298" s="30">
        <f t="shared" si="86"/>
        <v>0</v>
      </c>
      <c r="O298" s="30">
        <f t="shared" si="80"/>
        <v>0</v>
      </c>
      <c r="P298" s="30">
        <f t="shared" si="87"/>
        <v>17358.420694866847</v>
      </c>
      <c r="Q298">
        <f t="shared" si="88"/>
        <v>0</v>
      </c>
      <c r="R298" s="30">
        <f t="shared" si="89"/>
        <v>0</v>
      </c>
      <c r="S298" s="30">
        <f t="shared" si="81"/>
        <v>0</v>
      </c>
      <c r="T298" s="30">
        <f t="shared" si="90"/>
        <v>17358.420694866847</v>
      </c>
      <c r="U298">
        <f t="shared" si="91"/>
        <v>0</v>
      </c>
      <c r="V298" s="30">
        <f t="shared" si="92"/>
        <v>0</v>
      </c>
      <c r="W298" s="30">
        <f t="shared" si="82"/>
        <v>0</v>
      </c>
      <c r="X298" s="30">
        <f t="shared" si="93"/>
        <v>17358.420694866847</v>
      </c>
      <c r="Y298">
        <f t="shared" si="94"/>
        <v>0</v>
      </c>
    </row>
    <row r="299" spans="1:25" x14ac:dyDescent="0.25">
      <c r="A299" s="4" t="s">
        <v>1229</v>
      </c>
      <c r="B299" s="7" t="s">
        <v>633</v>
      </c>
      <c r="C299" s="2" t="s">
        <v>1230</v>
      </c>
      <c r="D299">
        <f>VLOOKUP(B299,'Model allocations'!$A$1:$L$319,5,FALSE)</f>
        <v>44635.246099412849</v>
      </c>
      <c r="E299" s="32">
        <f>VLOOKUP(B299,'Initial adjusted formula count'!$A$1:$P$319,12,FALSE)</f>
        <v>0.238095238095238</v>
      </c>
      <c r="F299">
        <f>VLOOKUP(B299,'Model allocations'!$A$1:$L$319,10,FALSE)</f>
        <v>40534.394245833901</v>
      </c>
      <c r="G299" s="31">
        <f t="shared" si="83"/>
        <v>0.9</v>
      </c>
      <c r="H299">
        <f t="shared" si="84"/>
        <v>40171.721489471565</v>
      </c>
      <c r="I299">
        <f t="shared" si="76"/>
        <v>0</v>
      </c>
      <c r="J299">
        <f t="shared" si="77"/>
        <v>40534.394245833901</v>
      </c>
      <c r="K299">
        <f t="shared" si="78"/>
        <v>40525.816446937504</v>
      </c>
      <c r="L299">
        <f t="shared" si="85"/>
        <v>40525.816446937504</v>
      </c>
      <c r="M299">
        <f t="shared" si="79"/>
        <v>0</v>
      </c>
      <c r="N299" s="30">
        <f t="shared" si="86"/>
        <v>40525.816446937504</v>
      </c>
      <c r="O299" s="30">
        <f t="shared" si="80"/>
        <v>40524.69135880917</v>
      </c>
      <c r="P299" s="30">
        <f t="shared" si="87"/>
        <v>40524.69135880917</v>
      </c>
      <c r="Q299">
        <f t="shared" si="88"/>
        <v>0</v>
      </c>
      <c r="R299" s="30">
        <f t="shared" si="89"/>
        <v>40524.69135880917</v>
      </c>
      <c r="S299" s="30">
        <f t="shared" si="81"/>
        <v>40524.691358809163</v>
      </c>
      <c r="T299" s="30">
        <f t="shared" si="90"/>
        <v>40524.691358809163</v>
      </c>
      <c r="U299">
        <f t="shared" si="91"/>
        <v>0</v>
      </c>
      <c r="V299" s="30">
        <f t="shared" si="92"/>
        <v>40524.691358809163</v>
      </c>
      <c r="W299" s="30">
        <f t="shared" si="82"/>
        <v>40524.69135880917</v>
      </c>
      <c r="X299" s="30">
        <f t="shared" si="93"/>
        <v>40524.69135880917</v>
      </c>
      <c r="Y299">
        <f t="shared" si="94"/>
        <v>0</v>
      </c>
    </row>
    <row r="300" spans="1:25" x14ac:dyDescent="0.25">
      <c r="A300" s="4" t="s">
        <v>56</v>
      </c>
      <c r="B300" s="7" t="s">
        <v>67</v>
      </c>
      <c r="C300" s="2" t="s">
        <v>1231</v>
      </c>
      <c r="D300">
        <f>VLOOKUP(B300,'Model allocations'!$A$1:$L$319,5,FALSE)</f>
        <v>520135.30895533948</v>
      </c>
      <c r="E300" s="32">
        <f>VLOOKUP(B300,'Initial adjusted formula count'!$A$1:$P$319,12,FALSE)</f>
        <v>0.111852350241065</v>
      </c>
      <c r="F300">
        <f>VLOOKUP(B300,'Model allocations'!$A$1:$L$319,10,FALSE)</f>
        <v>441257.87954374752</v>
      </c>
      <c r="G300" s="31">
        <f t="shared" si="83"/>
        <v>0.85</v>
      </c>
      <c r="H300">
        <f t="shared" si="84"/>
        <v>442115.01261203852</v>
      </c>
      <c r="I300">
        <f t="shared" si="76"/>
        <v>442115.01261203852</v>
      </c>
      <c r="J300">
        <f t="shared" si="77"/>
        <v>0</v>
      </c>
      <c r="K300">
        <f t="shared" si="78"/>
        <v>0</v>
      </c>
      <c r="L300">
        <f t="shared" si="85"/>
        <v>442115.01261203852</v>
      </c>
      <c r="M300">
        <f t="shared" si="79"/>
        <v>0</v>
      </c>
      <c r="N300" s="30">
        <f t="shared" si="86"/>
        <v>0</v>
      </c>
      <c r="O300" s="30">
        <f t="shared" si="80"/>
        <v>0</v>
      </c>
      <c r="P300" s="30">
        <f t="shared" si="87"/>
        <v>442115.01261203852</v>
      </c>
      <c r="Q300">
        <f t="shared" si="88"/>
        <v>0</v>
      </c>
      <c r="R300" s="30">
        <f t="shared" si="89"/>
        <v>0</v>
      </c>
      <c r="S300" s="30">
        <f t="shared" si="81"/>
        <v>0</v>
      </c>
      <c r="T300" s="30">
        <f t="shared" si="90"/>
        <v>442115.01261203852</v>
      </c>
      <c r="U300">
        <f t="shared" si="91"/>
        <v>0</v>
      </c>
      <c r="V300" s="30">
        <f t="shared" si="92"/>
        <v>0</v>
      </c>
      <c r="W300" s="30">
        <f t="shared" si="82"/>
        <v>0</v>
      </c>
      <c r="X300" s="30">
        <f t="shared" si="93"/>
        <v>442115.01261203852</v>
      </c>
      <c r="Y300">
        <f t="shared" si="94"/>
        <v>0</v>
      </c>
    </row>
    <row r="301" spans="1:25" x14ac:dyDescent="0.25">
      <c r="A301" s="4" t="s">
        <v>1232</v>
      </c>
      <c r="B301" s="7" t="s">
        <v>310</v>
      </c>
      <c r="C301" s="2" t="s">
        <v>1233</v>
      </c>
      <c r="D301">
        <f>VLOOKUP(B301,'Model allocations'!$A$1:$L$319,5,FALSE)</f>
        <v>154280.03948958201</v>
      </c>
      <c r="E301" s="32">
        <f>VLOOKUP(B301,'Initial adjusted formula count'!$A$1:$P$319,12,FALSE)</f>
        <v>0.134081696289367</v>
      </c>
      <c r="F301">
        <f>VLOOKUP(B301,'Model allocations'!$A$1:$L$319,10,FALSE)</f>
        <v>177028.78556033588</v>
      </c>
      <c r="G301" s="31">
        <f t="shared" si="83"/>
        <v>0.85</v>
      </c>
      <c r="H301">
        <f t="shared" si="84"/>
        <v>131138.0335661447</v>
      </c>
      <c r="I301">
        <f t="shared" si="76"/>
        <v>0</v>
      </c>
      <c r="J301">
        <f t="shared" si="77"/>
        <v>177028.78556033588</v>
      </c>
      <c r="K301">
        <f t="shared" si="78"/>
        <v>176991.32312011291</v>
      </c>
      <c r="L301">
        <f t="shared" si="85"/>
        <v>176991.32312011291</v>
      </c>
      <c r="M301">
        <f t="shared" si="79"/>
        <v>0</v>
      </c>
      <c r="N301" s="30">
        <f t="shared" si="86"/>
        <v>176991.32312011291</v>
      </c>
      <c r="O301" s="30">
        <f t="shared" si="80"/>
        <v>176986.40944152678</v>
      </c>
      <c r="P301" s="30">
        <f t="shared" si="87"/>
        <v>176986.40944152678</v>
      </c>
      <c r="Q301">
        <f t="shared" si="88"/>
        <v>0</v>
      </c>
      <c r="R301" s="30">
        <f t="shared" si="89"/>
        <v>176986.40944152678</v>
      </c>
      <c r="S301" s="30">
        <f t="shared" si="81"/>
        <v>176986.40944152672</v>
      </c>
      <c r="T301" s="30">
        <f t="shared" si="90"/>
        <v>176986.40944152672</v>
      </c>
      <c r="U301">
        <f t="shared" si="91"/>
        <v>0</v>
      </c>
      <c r="V301" s="30">
        <f t="shared" si="92"/>
        <v>176986.40944152672</v>
      </c>
      <c r="W301" s="30">
        <f t="shared" si="82"/>
        <v>176986.40944152675</v>
      </c>
      <c r="X301" s="30">
        <f t="shared" si="93"/>
        <v>176986.40944152675</v>
      </c>
      <c r="Y301">
        <f t="shared" si="94"/>
        <v>0</v>
      </c>
    </row>
    <row r="302" spans="1:25" x14ac:dyDescent="0.25">
      <c r="A302" s="4" t="s">
        <v>1234</v>
      </c>
      <c r="B302" s="7" t="s">
        <v>259</v>
      </c>
      <c r="C302" s="2" t="s">
        <v>1235</v>
      </c>
      <c r="D302">
        <f>VLOOKUP(B302,'Model allocations'!$A$1:$L$319,5,FALSE)</f>
        <v>312019.57561248221</v>
      </c>
      <c r="E302" s="32">
        <f>VLOOKUP(B302,'Initial adjusted formula count'!$A$1:$P$319,12,FALSE)</f>
        <v>0.11784351145038199</v>
      </c>
      <c r="F302">
        <f>VLOOKUP(B302,'Model allocations'!$A$1:$L$319,10,FALSE)</f>
        <v>315358.25520748214</v>
      </c>
      <c r="G302" s="31">
        <f t="shared" si="83"/>
        <v>0.85</v>
      </c>
      <c r="H302">
        <f t="shared" si="84"/>
        <v>265216.63927060988</v>
      </c>
      <c r="I302">
        <f t="shared" si="76"/>
        <v>0</v>
      </c>
      <c r="J302">
        <f t="shared" si="77"/>
        <v>315358.25520748214</v>
      </c>
      <c r="K302">
        <f t="shared" si="78"/>
        <v>315291.5197907128</v>
      </c>
      <c r="L302">
        <f t="shared" si="85"/>
        <v>315291.5197907128</v>
      </c>
      <c r="M302">
        <f t="shared" si="79"/>
        <v>0</v>
      </c>
      <c r="N302" s="30">
        <f t="shared" si="86"/>
        <v>315291.5197907128</v>
      </c>
      <c r="O302" s="30">
        <f t="shared" si="80"/>
        <v>315282.76658653381</v>
      </c>
      <c r="P302" s="30">
        <f t="shared" si="87"/>
        <v>315282.76658653381</v>
      </c>
      <c r="Q302">
        <f t="shared" si="88"/>
        <v>0</v>
      </c>
      <c r="R302" s="30">
        <f t="shared" si="89"/>
        <v>315282.76658653381</v>
      </c>
      <c r="S302" s="30">
        <f t="shared" si="81"/>
        <v>315282.76658653375</v>
      </c>
      <c r="T302" s="30">
        <f t="shared" si="90"/>
        <v>315282.76658653375</v>
      </c>
      <c r="U302">
        <f t="shared" si="91"/>
        <v>0</v>
      </c>
      <c r="V302" s="30">
        <f t="shared" si="92"/>
        <v>315282.76658653375</v>
      </c>
      <c r="W302" s="30">
        <f t="shared" si="82"/>
        <v>315282.76658653381</v>
      </c>
      <c r="X302" s="30">
        <f t="shared" si="93"/>
        <v>315282.76658653381</v>
      </c>
      <c r="Y302">
        <f t="shared" si="94"/>
        <v>0</v>
      </c>
    </row>
    <row r="303" spans="1:25" x14ac:dyDescent="0.25">
      <c r="A303" s="4" t="s">
        <v>13</v>
      </c>
      <c r="B303" s="7" t="s">
        <v>71</v>
      </c>
      <c r="C303" s="2" t="s">
        <v>1236</v>
      </c>
      <c r="D303">
        <f>VLOOKUP(B303,'Model allocations'!$A$1:$L$319,5,FALSE)</f>
        <v>6118.2888850737545</v>
      </c>
      <c r="E303" s="32">
        <f>VLOOKUP(B303,'Initial adjusted formula count'!$A$1:$P$319,12,FALSE)</f>
        <v>0.106617044908478</v>
      </c>
      <c r="F303">
        <f>VLOOKUP(B303,'Model allocations'!$A$1:$L$319,10,FALSE)</f>
        <v>0</v>
      </c>
      <c r="G303" s="31">
        <f t="shared" si="83"/>
        <v>0.85</v>
      </c>
      <c r="H303">
        <f t="shared" si="84"/>
        <v>0</v>
      </c>
      <c r="I303">
        <f t="shared" si="76"/>
        <v>0</v>
      </c>
      <c r="J303">
        <f t="shared" si="77"/>
        <v>0</v>
      </c>
      <c r="K303">
        <f t="shared" si="78"/>
        <v>0</v>
      </c>
      <c r="L303">
        <f t="shared" si="85"/>
        <v>0</v>
      </c>
      <c r="M303">
        <f t="shared" si="79"/>
        <v>0</v>
      </c>
      <c r="N303" s="30">
        <f t="shared" si="86"/>
        <v>0</v>
      </c>
      <c r="O303" s="30">
        <f t="shared" si="80"/>
        <v>0</v>
      </c>
      <c r="P303" s="30">
        <f t="shared" si="87"/>
        <v>0</v>
      </c>
      <c r="Q303">
        <f t="shared" si="88"/>
        <v>0</v>
      </c>
      <c r="R303" s="30">
        <f t="shared" si="89"/>
        <v>0</v>
      </c>
      <c r="S303" s="30">
        <f t="shared" si="81"/>
        <v>0</v>
      </c>
      <c r="T303" s="30">
        <f t="shared" si="90"/>
        <v>0</v>
      </c>
      <c r="U303">
        <f t="shared" si="91"/>
        <v>0</v>
      </c>
      <c r="V303" s="30">
        <f t="shared" si="92"/>
        <v>0</v>
      </c>
      <c r="W303" s="30">
        <f t="shared" si="82"/>
        <v>0</v>
      </c>
      <c r="X303" s="30">
        <f t="shared" si="93"/>
        <v>0</v>
      </c>
      <c r="Y303">
        <f t="shared" si="94"/>
        <v>0</v>
      </c>
    </row>
    <row r="304" spans="1:25" x14ac:dyDescent="0.25">
      <c r="A304" s="4" t="s">
        <v>1237</v>
      </c>
      <c r="B304" s="7" t="s">
        <v>635</v>
      </c>
      <c r="C304" s="2" t="s">
        <v>1238</v>
      </c>
      <c r="D304">
        <f>VLOOKUP(B304,'Model allocations'!$A$1:$L$319,5,FALSE)</f>
        <v>58008.582349309087</v>
      </c>
      <c r="E304" s="32">
        <f>VLOOKUP(B304,'Initial adjusted formula count'!$A$1:$P$319,12,FALSE)</f>
        <v>0.134615384615385</v>
      </c>
      <c r="F304">
        <f>VLOOKUP(B304,'Model allocations'!$A$1:$L$319,10,FALSE)</f>
        <v>49307.294996912722</v>
      </c>
      <c r="G304" s="31">
        <f t="shared" si="83"/>
        <v>0.85</v>
      </c>
      <c r="H304">
        <f t="shared" si="84"/>
        <v>49307.294996912722</v>
      </c>
      <c r="I304">
        <f t="shared" si="76"/>
        <v>0</v>
      </c>
      <c r="J304">
        <f t="shared" si="77"/>
        <v>49307.294996912722</v>
      </c>
      <c r="K304">
        <f t="shared" si="78"/>
        <v>49296.86069615461</v>
      </c>
      <c r="L304">
        <f t="shared" si="85"/>
        <v>49296.86069615461</v>
      </c>
      <c r="M304">
        <f t="shared" si="79"/>
        <v>49307.294996912722</v>
      </c>
      <c r="N304" s="30">
        <f t="shared" si="86"/>
        <v>0</v>
      </c>
      <c r="O304" s="30">
        <f t="shared" si="80"/>
        <v>0</v>
      </c>
      <c r="P304" s="30">
        <f t="shared" si="87"/>
        <v>49307.294996912722</v>
      </c>
      <c r="Q304">
        <f t="shared" si="88"/>
        <v>0</v>
      </c>
      <c r="R304" s="30">
        <f t="shared" si="89"/>
        <v>0</v>
      </c>
      <c r="S304" s="30">
        <f t="shared" si="81"/>
        <v>0</v>
      </c>
      <c r="T304" s="30">
        <f t="shared" si="90"/>
        <v>49307.294996912722</v>
      </c>
      <c r="U304">
        <f t="shared" si="91"/>
        <v>0</v>
      </c>
      <c r="V304" s="30">
        <f t="shared" si="92"/>
        <v>0</v>
      </c>
      <c r="W304" s="30">
        <f t="shared" si="82"/>
        <v>0</v>
      </c>
      <c r="X304" s="30">
        <f t="shared" si="93"/>
        <v>49307.294996912722</v>
      </c>
      <c r="Y304">
        <f t="shared" si="94"/>
        <v>0</v>
      </c>
    </row>
    <row r="305" spans="1:25" x14ac:dyDescent="0.25">
      <c r="A305" s="4" t="s">
        <v>1239</v>
      </c>
      <c r="B305" s="7" t="s">
        <v>260</v>
      </c>
      <c r="C305" s="2" t="s">
        <v>1240</v>
      </c>
      <c r="D305">
        <f>VLOOKUP(B305,'Model allocations'!$A$1:$L$319,5,FALSE)</f>
        <v>113104.64163171158</v>
      </c>
      <c r="E305" s="32">
        <f>VLOOKUP(B305,'Initial adjusted formula count'!$A$1:$P$319,12,FALSE)</f>
        <v>4.87752928647497E-2</v>
      </c>
      <c r="F305">
        <f>VLOOKUP(B305,'Model allocations'!$A$1:$L$319,10,FALSE)</f>
        <v>0</v>
      </c>
      <c r="G305" s="31">
        <f t="shared" si="83"/>
        <v>0.85</v>
      </c>
      <c r="H305">
        <f t="shared" si="84"/>
        <v>0</v>
      </c>
      <c r="I305">
        <f t="shared" si="76"/>
        <v>0</v>
      </c>
      <c r="J305">
        <f t="shared" si="77"/>
        <v>0</v>
      </c>
      <c r="K305">
        <f t="shared" si="78"/>
        <v>0</v>
      </c>
      <c r="L305">
        <f t="shared" si="85"/>
        <v>0</v>
      </c>
      <c r="M305">
        <f t="shared" si="79"/>
        <v>0</v>
      </c>
      <c r="N305" s="30">
        <f t="shared" si="86"/>
        <v>0</v>
      </c>
      <c r="O305" s="30">
        <f t="shared" si="80"/>
        <v>0</v>
      </c>
      <c r="P305" s="30">
        <f t="shared" si="87"/>
        <v>0</v>
      </c>
      <c r="Q305">
        <f t="shared" si="88"/>
        <v>0</v>
      </c>
      <c r="R305" s="30">
        <f t="shared" si="89"/>
        <v>0</v>
      </c>
      <c r="S305" s="30">
        <f t="shared" si="81"/>
        <v>0</v>
      </c>
      <c r="T305" s="30">
        <f t="shared" si="90"/>
        <v>0</v>
      </c>
      <c r="U305">
        <f t="shared" si="91"/>
        <v>0</v>
      </c>
      <c r="V305" s="30">
        <f t="shared" si="92"/>
        <v>0</v>
      </c>
      <c r="W305" s="30">
        <f t="shared" si="82"/>
        <v>0</v>
      </c>
      <c r="X305" s="30">
        <f t="shared" si="93"/>
        <v>0</v>
      </c>
      <c r="Y305">
        <f t="shared" si="94"/>
        <v>0</v>
      </c>
    </row>
    <row r="306" spans="1:25" x14ac:dyDescent="0.25">
      <c r="A306" s="4" t="s">
        <v>1241</v>
      </c>
      <c r="B306" s="7" t="s">
        <v>311</v>
      </c>
      <c r="C306" s="2" t="s">
        <v>1242</v>
      </c>
      <c r="D306">
        <f>VLOOKUP(B306,'Model allocations'!$A$1:$L$319,5,FALSE)</f>
        <v>64406.809818057969</v>
      </c>
      <c r="E306" s="32">
        <f>VLOOKUP(B306,'Initial adjusted formula count'!$A$1:$P$319,12,FALSE)</f>
        <v>0.122314049586777</v>
      </c>
      <c r="F306">
        <f>VLOOKUP(B306,'Model allocations'!$A$1:$L$319,10,FALSE)</f>
        <v>60930.837820766763</v>
      </c>
      <c r="G306" s="31">
        <f t="shared" si="83"/>
        <v>0.85</v>
      </c>
      <c r="H306">
        <f t="shared" si="84"/>
        <v>54745.788345349276</v>
      </c>
      <c r="I306">
        <f t="shared" si="76"/>
        <v>0</v>
      </c>
      <c r="J306">
        <f t="shared" si="77"/>
        <v>60930.837820766763</v>
      </c>
      <c r="K306">
        <f t="shared" si="78"/>
        <v>60917.943771573737</v>
      </c>
      <c r="L306">
        <f t="shared" si="85"/>
        <v>60917.943771573737</v>
      </c>
      <c r="M306">
        <f t="shared" si="79"/>
        <v>0</v>
      </c>
      <c r="N306" s="30">
        <f t="shared" si="86"/>
        <v>60917.943771573737</v>
      </c>
      <c r="O306" s="30">
        <f t="shared" si="80"/>
        <v>60916.252551967351</v>
      </c>
      <c r="P306" s="30">
        <f t="shared" si="87"/>
        <v>60916.252551967351</v>
      </c>
      <c r="Q306">
        <f t="shared" si="88"/>
        <v>0</v>
      </c>
      <c r="R306" s="30">
        <f t="shared" si="89"/>
        <v>60916.252551967351</v>
      </c>
      <c r="S306" s="30">
        <f t="shared" si="81"/>
        <v>60916.252551967336</v>
      </c>
      <c r="T306" s="30">
        <f t="shared" si="90"/>
        <v>60916.252551967336</v>
      </c>
      <c r="U306">
        <f t="shared" si="91"/>
        <v>0</v>
      </c>
      <c r="V306" s="30">
        <f t="shared" si="92"/>
        <v>60916.252551967336</v>
      </c>
      <c r="W306" s="30">
        <f t="shared" si="82"/>
        <v>60916.252551967351</v>
      </c>
      <c r="X306" s="30">
        <f t="shared" si="93"/>
        <v>60916.252551967351</v>
      </c>
      <c r="Y306">
        <f t="shared" si="94"/>
        <v>0</v>
      </c>
    </row>
    <row r="307" spans="1:25" x14ac:dyDescent="0.25">
      <c r="A307" s="4" t="s">
        <v>19</v>
      </c>
      <c r="B307" s="7" t="s">
        <v>73</v>
      </c>
      <c r="C307" s="2" t="s">
        <v>1243</v>
      </c>
      <c r="D307">
        <f>VLOOKUP(B307,'Model allocations'!$A$1:$L$319,5,FALSE)</f>
        <v>27936.337723612032</v>
      </c>
      <c r="E307" s="32">
        <f>VLOOKUP(B307,'Initial adjusted formula count'!$A$1:$P$319,12,FALSE)</f>
        <v>0.162781972031498</v>
      </c>
      <c r="F307">
        <f>VLOOKUP(B307,'Model allocations'!$A$1:$L$319,10,FALSE)</f>
        <v>28697.813676823946</v>
      </c>
      <c r="G307" s="31">
        <f t="shared" si="83"/>
        <v>0.9</v>
      </c>
      <c r="H307">
        <f t="shared" si="84"/>
        <v>25142.703951250831</v>
      </c>
      <c r="I307">
        <f t="shared" si="76"/>
        <v>0</v>
      </c>
      <c r="J307">
        <f t="shared" si="77"/>
        <v>28697.813676823946</v>
      </c>
      <c r="K307">
        <f t="shared" si="78"/>
        <v>28691.740708939113</v>
      </c>
      <c r="L307">
        <f t="shared" si="85"/>
        <v>28691.740708939113</v>
      </c>
      <c r="M307">
        <f t="shared" si="79"/>
        <v>0</v>
      </c>
      <c r="N307" s="30">
        <f t="shared" si="86"/>
        <v>28691.740708939113</v>
      </c>
      <c r="O307" s="30">
        <f t="shared" si="80"/>
        <v>28690.944161461899</v>
      </c>
      <c r="P307" s="30">
        <f t="shared" si="87"/>
        <v>28690.944161461899</v>
      </c>
      <c r="Q307">
        <f t="shared" si="88"/>
        <v>0</v>
      </c>
      <c r="R307" s="30">
        <f t="shared" si="89"/>
        <v>28690.944161461899</v>
      </c>
      <c r="S307" s="30">
        <f t="shared" si="81"/>
        <v>28690.944161461892</v>
      </c>
      <c r="T307" s="30">
        <f t="shared" si="90"/>
        <v>28690.944161461892</v>
      </c>
      <c r="U307">
        <f t="shared" si="91"/>
        <v>0</v>
      </c>
      <c r="V307" s="30">
        <f t="shared" si="92"/>
        <v>28690.944161461892</v>
      </c>
      <c r="W307" s="30">
        <f t="shared" si="82"/>
        <v>28690.944161461895</v>
      </c>
      <c r="X307" s="30">
        <f t="shared" si="93"/>
        <v>28690.944161461895</v>
      </c>
      <c r="Y307">
        <f t="shared" si="94"/>
        <v>0</v>
      </c>
    </row>
    <row r="308" spans="1:25" x14ac:dyDescent="0.25">
      <c r="A308" s="4" t="s">
        <v>1244</v>
      </c>
      <c r="B308" s="7" t="s">
        <v>262</v>
      </c>
      <c r="C308" s="2" t="s">
        <v>1245</v>
      </c>
      <c r="D308">
        <f>VLOOKUP(B308,'Model allocations'!$A$1:$L$319,5,FALSE)</f>
        <v>11781.73350330329</v>
      </c>
      <c r="E308" s="32">
        <f>VLOOKUP(B308,'Initial adjusted formula count'!$A$1:$P$319,12,FALSE)</f>
        <v>0.146017699115044</v>
      </c>
      <c r="F308">
        <f>VLOOKUP(B308,'Model allocations'!$A$1:$L$319,10,FALSE)</f>
        <v>13585.930054630429</v>
      </c>
      <c r="G308" s="31">
        <f t="shared" si="83"/>
        <v>0.85</v>
      </c>
      <c r="H308">
        <f t="shared" si="84"/>
        <v>10014.473477807796</v>
      </c>
      <c r="I308">
        <f t="shared" si="76"/>
        <v>0</v>
      </c>
      <c r="J308">
        <f t="shared" si="77"/>
        <v>13585.930054630429</v>
      </c>
      <c r="K308">
        <f t="shared" si="78"/>
        <v>13583.0550301482</v>
      </c>
      <c r="L308">
        <f t="shared" si="85"/>
        <v>13583.0550301482</v>
      </c>
      <c r="M308">
        <f t="shared" si="79"/>
        <v>0</v>
      </c>
      <c r="N308" s="30">
        <f t="shared" si="86"/>
        <v>13583.0550301482</v>
      </c>
      <c r="O308" s="30">
        <f t="shared" si="80"/>
        <v>13582.677933884612</v>
      </c>
      <c r="P308" s="30">
        <f t="shared" si="87"/>
        <v>13582.677933884612</v>
      </c>
      <c r="Q308">
        <f t="shared" si="88"/>
        <v>0</v>
      </c>
      <c r="R308" s="30">
        <f t="shared" si="89"/>
        <v>13582.677933884612</v>
      </c>
      <c r="S308" s="30">
        <f t="shared" si="81"/>
        <v>13582.677933884608</v>
      </c>
      <c r="T308" s="30">
        <f t="shared" si="90"/>
        <v>13582.677933884608</v>
      </c>
      <c r="U308">
        <f t="shared" si="91"/>
        <v>0</v>
      </c>
      <c r="V308" s="30">
        <f t="shared" si="92"/>
        <v>13582.677933884608</v>
      </c>
      <c r="W308" s="30">
        <f t="shared" si="82"/>
        <v>13582.67793388461</v>
      </c>
      <c r="X308" s="30">
        <f t="shared" si="93"/>
        <v>13582.67793388461</v>
      </c>
      <c r="Y308">
        <f t="shared" si="94"/>
        <v>0</v>
      </c>
    </row>
    <row r="309" spans="1:25" x14ac:dyDescent="0.25">
      <c r="A309" s="4" t="s">
        <v>1246</v>
      </c>
      <c r="B309" s="7" t="s">
        <v>637</v>
      </c>
      <c r="C309" s="2" t="s">
        <v>1247</v>
      </c>
      <c r="D309">
        <f>VLOOKUP(B309,'Model allocations'!$A$1:$L$319,5,FALSE)</f>
        <v>27343.95126818238</v>
      </c>
      <c r="E309" s="32">
        <f>VLOOKUP(B309,'Initial adjusted formula count'!$A$1:$P$319,12,FALSE)</f>
        <v>0.113149847094801</v>
      </c>
      <c r="F309">
        <f>VLOOKUP(B309,'Model allocations'!$A$1:$L$319,10,FALSE)</f>
        <v>23242.358577955023</v>
      </c>
      <c r="G309" s="31">
        <f t="shared" si="83"/>
        <v>0.85</v>
      </c>
      <c r="H309">
        <f t="shared" si="84"/>
        <v>23242.358577955023</v>
      </c>
      <c r="I309">
        <f t="shared" si="76"/>
        <v>0</v>
      </c>
      <c r="J309">
        <f t="shared" si="77"/>
        <v>23242.358577955023</v>
      </c>
      <c r="K309">
        <f t="shared" si="78"/>
        <v>23237.44008141723</v>
      </c>
      <c r="L309">
        <f t="shared" si="85"/>
        <v>23237.44008141723</v>
      </c>
      <c r="M309">
        <f t="shared" si="79"/>
        <v>23242.358577955023</v>
      </c>
      <c r="N309" s="30">
        <f t="shared" si="86"/>
        <v>0</v>
      </c>
      <c r="O309" s="30">
        <f t="shared" si="80"/>
        <v>0</v>
      </c>
      <c r="P309" s="30">
        <f t="shared" si="87"/>
        <v>23242.358577955023</v>
      </c>
      <c r="Q309">
        <f t="shared" si="88"/>
        <v>0</v>
      </c>
      <c r="R309" s="30">
        <f t="shared" si="89"/>
        <v>0</v>
      </c>
      <c r="S309" s="30">
        <f t="shared" si="81"/>
        <v>0</v>
      </c>
      <c r="T309" s="30">
        <f t="shared" si="90"/>
        <v>23242.358577955023</v>
      </c>
      <c r="U309">
        <f t="shared" si="91"/>
        <v>0</v>
      </c>
      <c r="V309" s="30">
        <f t="shared" si="92"/>
        <v>0</v>
      </c>
      <c r="W309" s="30">
        <f t="shared" si="82"/>
        <v>0</v>
      </c>
      <c r="X309" s="30">
        <f t="shared" si="93"/>
        <v>23242.358577955023</v>
      </c>
      <c r="Y309">
        <f t="shared" si="94"/>
        <v>0</v>
      </c>
    </row>
    <row r="310" spans="1:25" x14ac:dyDescent="0.25">
      <c r="A310" s="4" t="s">
        <v>1248</v>
      </c>
      <c r="B310" s="7" t="s">
        <v>639</v>
      </c>
      <c r="C310" s="2" t="s">
        <v>1249</v>
      </c>
      <c r="D310">
        <f>VLOOKUP(B310,'Model allocations'!$A$1:$L$319,5,FALSE)</f>
        <v>5328.460274099566</v>
      </c>
      <c r="E310" s="32">
        <f>VLOOKUP(B310,'Initial adjusted formula count'!$A$1:$P$319,12,FALSE)</f>
        <v>0.13392857142857101</v>
      </c>
      <c r="F310">
        <f>VLOOKUP(B310,'Model allocations'!$A$1:$L$319,10,FALSE)</f>
        <v>6175.4227521047396</v>
      </c>
      <c r="G310" s="31">
        <f t="shared" si="83"/>
        <v>0.85</v>
      </c>
      <c r="H310">
        <f t="shared" si="84"/>
        <v>4529.1912329846309</v>
      </c>
      <c r="I310">
        <f t="shared" si="76"/>
        <v>0</v>
      </c>
      <c r="J310">
        <f t="shared" si="77"/>
        <v>6175.4227521047396</v>
      </c>
      <c r="K310">
        <f t="shared" si="78"/>
        <v>6174.1159227946355</v>
      </c>
      <c r="L310">
        <f t="shared" si="85"/>
        <v>6174.1159227946355</v>
      </c>
      <c r="M310">
        <f t="shared" si="79"/>
        <v>0</v>
      </c>
      <c r="N310" s="30">
        <f t="shared" si="86"/>
        <v>6174.1159227946355</v>
      </c>
      <c r="O310" s="30">
        <f t="shared" si="80"/>
        <v>6173.9445154020959</v>
      </c>
      <c r="P310" s="30">
        <f t="shared" si="87"/>
        <v>6173.9445154020959</v>
      </c>
      <c r="Q310">
        <f t="shared" si="88"/>
        <v>0</v>
      </c>
      <c r="R310" s="30">
        <f t="shared" si="89"/>
        <v>6173.9445154020959</v>
      </c>
      <c r="S310" s="30">
        <f t="shared" si="81"/>
        <v>6173.9445154020941</v>
      </c>
      <c r="T310" s="30">
        <f t="shared" si="90"/>
        <v>6173.9445154020941</v>
      </c>
      <c r="U310">
        <f t="shared" si="91"/>
        <v>0</v>
      </c>
      <c r="V310" s="30">
        <f t="shared" si="92"/>
        <v>6173.9445154020941</v>
      </c>
      <c r="W310" s="30">
        <f t="shared" si="82"/>
        <v>6173.9445154020941</v>
      </c>
      <c r="X310" s="30">
        <f t="shared" si="93"/>
        <v>6173.9445154020941</v>
      </c>
      <c r="Y310">
        <f t="shared" si="94"/>
        <v>0</v>
      </c>
    </row>
    <row r="311" spans="1:25" x14ac:dyDescent="0.25">
      <c r="A311" s="4" t="s">
        <v>1250</v>
      </c>
      <c r="B311" s="7" t="s">
        <v>641</v>
      </c>
      <c r="C311" s="2" t="s">
        <v>1251</v>
      </c>
      <c r="D311">
        <f>VLOOKUP(B311,'Model allocations'!$A$1:$L$319,5,FALSE)</f>
        <v>46734.209563103039</v>
      </c>
      <c r="E311" s="32">
        <f>VLOOKUP(B311,'Initial adjusted formula count'!$A$1:$P$319,12,FALSE)</f>
        <v>0.125925925925926</v>
      </c>
      <c r="F311">
        <f>VLOOKUP(B311,'Model allocations'!$A$1:$L$319,10,FALSE)</f>
        <v>41992.874714312224</v>
      </c>
      <c r="G311" s="31">
        <f t="shared" si="83"/>
        <v>0.85</v>
      </c>
      <c r="H311">
        <f t="shared" si="84"/>
        <v>39724.078128637579</v>
      </c>
      <c r="I311">
        <f t="shared" si="76"/>
        <v>0</v>
      </c>
      <c r="J311">
        <f t="shared" si="77"/>
        <v>41992.874714312224</v>
      </c>
      <c r="K311">
        <f t="shared" si="78"/>
        <v>41983.98827500351</v>
      </c>
      <c r="L311">
        <f t="shared" si="85"/>
        <v>41983.98827500351</v>
      </c>
      <c r="M311">
        <f t="shared" si="79"/>
        <v>0</v>
      </c>
      <c r="N311" s="30">
        <f t="shared" si="86"/>
        <v>41983.98827500351</v>
      </c>
      <c r="O311" s="30">
        <f t="shared" si="80"/>
        <v>41982.822704734244</v>
      </c>
      <c r="P311" s="30">
        <f t="shared" si="87"/>
        <v>41982.822704734244</v>
      </c>
      <c r="Q311">
        <f t="shared" si="88"/>
        <v>0</v>
      </c>
      <c r="R311" s="30">
        <f t="shared" si="89"/>
        <v>41982.822704734244</v>
      </c>
      <c r="S311" s="30">
        <f t="shared" si="81"/>
        <v>41982.822704734237</v>
      </c>
      <c r="T311" s="30">
        <f t="shared" si="90"/>
        <v>41982.822704734237</v>
      </c>
      <c r="U311">
        <f t="shared" si="91"/>
        <v>0</v>
      </c>
      <c r="V311" s="30">
        <f t="shared" si="92"/>
        <v>41982.822704734237</v>
      </c>
      <c r="W311" s="30">
        <f t="shared" si="82"/>
        <v>41982.822704734244</v>
      </c>
      <c r="X311" s="30">
        <f t="shared" si="93"/>
        <v>41982.822704734244</v>
      </c>
      <c r="Y311">
        <f t="shared" si="94"/>
        <v>0</v>
      </c>
    </row>
    <row r="312" spans="1:25" x14ac:dyDescent="0.25">
      <c r="A312" s="4" t="s">
        <v>1252</v>
      </c>
      <c r="B312" s="7" t="s">
        <v>643</v>
      </c>
      <c r="C312" s="2" t="s">
        <v>1253</v>
      </c>
      <c r="D312">
        <f>VLOOKUP(B312,'Model allocations'!$A$1:$L$319,5,FALSE)</f>
        <v>8247.2134523123041</v>
      </c>
      <c r="E312" s="32">
        <f>VLOOKUP(B312,'Initial adjusted formula count'!$A$1:$P$319,12,FALSE)</f>
        <v>0.14383561643835599</v>
      </c>
      <c r="F312">
        <f>VLOOKUP(B312,'Model allocations'!$A$1:$L$319,10,FALSE)</f>
        <v>8645.5918529466326</v>
      </c>
      <c r="G312" s="31">
        <f t="shared" si="83"/>
        <v>0.85</v>
      </c>
      <c r="H312">
        <f t="shared" si="84"/>
        <v>7010.1314344654584</v>
      </c>
      <c r="I312">
        <f t="shared" si="76"/>
        <v>0</v>
      </c>
      <c r="J312">
        <f t="shared" si="77"/>
        <v>8645.5918529466326</v>
      </c>
      <c r="K312">
        <f t="shared" si="78"/>
        <v>8643.762291912486</v>
      </c>
      <c r="L312">
        <f t="shared" si="85"/>
        <v>8643.762291912486</v>
      </c>
      <c r="M312">
        <f t="shared" si="79"/>
        <v>0</v>
      </c>
      <c r="N312" s="30">
        <f t="shared" si="86"/>
        <v>8643.762291912486</v>
      </c>
      <c r="O312" s="30">
        <f t="shared" si="80"/>
        <v>8643.5223215629321</v>
      </c>
      <c r="P312" s="30">
        <f t="shared" si="87"/>
        <v>8643.5223215629321</v>
      </c>
      <c r="Q312">
        <f t="shared" si="88"/>
        <v>0</v>
      </c>
      <c r="R312" s="30">
        <f t="shared" si="89"/>
        <v>8643.5223215629321</v>
      </c>
      <c r="S312" s="30">
        <f t="shared" si="81"/>
        <v>8643.5223215629303</v>
      </c>
      <c r="T312" s="30">
        <f t="shared" si="90"/>
        <v>8643.5223215629303</v>
      </c>
      <c r="U312">
        <f t="shared" si="91"/>
        <v>0</v>
      </c>
      <c r="V312" s="30">
        <f t="shared" si="92"/>
        <v>8643.5223215629303</v>
      </c>
      <c r="W312" s="30">
        <f t="shared" si="82"/>
        <v>8643.5223215629321</v>
      </c>
      <c r="X312" s="30">
        <f t="shared" si="93"/>
        <v>8643.5223215629321</v>
      </c>
      <c r="Y312">
        <f t="shared" si="94"/>
        <v>0</v>
      </c>
    </row>
    <row r="313" spans="1:25" x14ac:dyDescent="0.25">
      <c r="A313" s="4" t="s">
        <v>1254</v>
      </c>
      <c r="B313" s="7" t="s">
        <v>645</v>
      </c>
      <c r="C313" s="2" t="s">
        <v>1255</v>
      </c>
      <c r="D313">
        <f>VLOOKUP(B313,'Model allocations'!$A$1:$L$319,5,FALSE)</f>
        <v>10352.020142677437</v>
      </c>
      <c r="E313" s="32">
        <f>VLOOKUP(B313,'Initial adjusted formula count'!$A$1:$P$319,12,FALSE)</f>
        <v>0.372093023255814</v>
      </c>
      <c r="F313">
        <f>VLOOKUP(B313,'Model allocations'!$A$1:$L$319,10,FALSE)</f>
        <v>12399.579882094837</v>
      </c>
      <c r="G313" s="31">
        <f t="shared" si="83"/>
        <v>0.95</v>
      </c>
      <c r="H313">
        <f t="shared" si="84"/>
        <v>9834.4191355435651</v>
      </c>
      <c r="I313">
        <f t="shared" si="76"/>
        <v>0</v>
      </c>
      <c r="J313">
        <f t="shared" si="77"/>
        <v>12399.579882094837</v>
      </c>
      <c r="K313">
        <f t="shared" si="78"/>
        <v>12396.955910413322</v>
      </c>
      <c r="L313">
        <f t="shared" si="85"/>
        <v>12396.955910413322</v>
      </c>
      <c r="M313">
        <f t="shared" si="79"/>
        <v>0</v>
      </c>
      <c r="N313" s="30">
        <f t="shared" si="86"/>
        <v>12396.955910413322</v>
      </c>
      <c r="O313" s="30">
        <f t="shared" si="80"/>
        <v>12396.611742938238</v>
      </c>
      <c r="P313" s="30">
        <f t="shared" si="87"/>
        <v>12396.611742938238</v>
      </c>
      <c r="Q313">
        <f t="shared" si="88"/>
        <v>0</v>
      </c>
      <c r="R313" s="30">
        <f t="shared" si="89"/>
        <v>12396.611742938238</v>
      </c>
      <c r="S313" s="30">
        <f t="shared" si="81"/>
        <v>12396.611742938234</v>
      </c>
      <c r="T313" s="30">
        <f t="shared" si="90"/>
        <v>12396.611742938234</v>
      </c>
      <c r="U313">
        <f t="shared" si="91"/>
        <v>0</v>
      </c>
      <c r="V313" s="30">
        <f t="shared" si="92"/>
        <v>12396.611742938234</v>
      </c>
      <c r="W313" s="30">
        <f t="shared" si="82"/>
        <v>12396.611742938236</v>
      </c>
      <c r="X313" s="30">
        <f t="shared" si="93"/>
        <v>12396.611742938236</v>
      </c>
      <c r="Y313">
        <f t="shared" si="94"/>
        <v>0</v>
      </c>
    </row>
    <row r="314" spans="1:25" x14ac:dyDescent="0.25">
      <c r="A314" s="4" t="s">
        <v>1256</v>
      </c>
      <c r="B314" s="7" t="s">
        <v>647</v>
      </c>
      <c r="C314" s="2" t="s">
        <v>1257</v>
      </c>
      <c r="D314">
        <f>VLOOKUP(B314,'Model allocations'!$A$1:$L$319,5,FALSE)</f>
        <v>104464.70372928915</v>
      </c>
      <c r="E314" s="32">
        <f>VLOOKUP(B314,'Initial adjusted formula count'!$A$1:$P$319,12,FALSE)</f>
        <v>9.2865232163080402E-2</v>
      </c>
      <c r="F314">
        <f>VLOOKUP(B314,'Model allocations'!$A$1:$L$319,10,FALSE)</f>
        <v>101276.93313451773</v>
      </c>
      <c r="G314" s="31">
        <f t="shared" si="83"/>
        <v>0.85</v>
      </c>
      <c r="H314">
        <f t="shared" si="84"/>
        <v>88794.998169895771</v>
      </c>
      <c r="I314">
        <f t="shared" si="76"/>
        <v>0</v>
      </c>
      <c r="J314">
        <f t="shared" si="77"/>
        <v>101276.93313451773</v>
      </c>
      <c r="K314">
        <f t="shared" si="78"/>
        <v>101255.50113383202</v>
      </c>
      <c r="L314">
        <f t="shared" si="85"/>
        <v>101255.50113383202</v>
      </c>
      <c r="M314">
        <f t="shared" si="79"/>
        <v>0</v>
      </c>
      <c r="N314" s="30">
        <f t="shared" si="86"/>
        <v>101255.50113383202</v>
      </c>
      <c r="O314" s="30">
        <f t="shared" si="80"/>
        <v>101252.69005259436</v>
      </c>
      <c r="P314" s="30">
        <f t="shared" si="87"/>
        <v>101252.69005259436</v>
      </c>
      <c r="Q314">
        <f t="shared" si="88"/>
        <v>0</v>
      </c>
      <c r="R314" s="30">
        <f t="shared" si="89"/>
        <v>101252.69005259436</v>
      </c>
      <c r="S314" s="30">
        <f t="shared" si="81"/>
        <v>101252.69005259433</v>
      </c>
      <c r="T314" s="30">
        <f t="shared" si="90"/>
        <v>101252.69005259433</v>
      </c>
      <c r="U314">
        <f t="shared" si="91"/>
        <v>0</v>
      </c>
      <c r="V314" s="30">
        <f t="shared" si="92"/>
        <v>101252.69005259433</v>
      </c>
      <c r="W314" s="30">
        <f t="shared" si="82"/>
        <v>101252.69005259433</v>
      </c>
      <c r="X314" s="30">
        <f t="shared" si="93"/>
        <v>101252.69005259433</v>
      </c>
      <c r="Y314">
        <f t="shared" si="94"/>
        <v>0</v>
      </c>
    </row>
    <row r="315" spans="1:25" x14ac:dyDescent="0.25">
      <c r="A315" s="4" t="s">
        <v>1258</v>
      </c>
      <c r="B315" s="7" t="s">
        <v>649</v>
      </c>
      <c r="C315" s="2" t="s">
        <v>1259</v>
      </c>
      <c r="D315">
        <f>VLOOKUP(B315,'Model allocations'!$A$1:$L$319,5,FALSE)</f>
        <v>2238333.0034025693</v>
      </c>
      <c r="E315" s="32">
        <f>VLOOKUP(B315,'Initial adjusted formula count'!$A$1:$P$319,12,FALSE)</f>
        <v>0.26003268567277998</v>
      </c>
      <c r="F315">
        <f>VLOOKUP(B315,'Model allocations'!$A$1:$L$319,10,FALSE)</f>
        <v>2929414.7061734186</v>
      </c>
      <c r="G315" s="31">
        <f t="shared" si="83"/>
        <v>0.9</v>
      </c>
      <c r="H315">
        <f t="shared" si="84"/>
        <v>2014499.7030623124</v>
      </c>
      <c r="I315">
        <f t="shared" si="76"/>
        <v>0</v>
      </c>
      <c r="J315">
        <f t="shared" si="77"/>
        <v>2929414.7061734186</v>
      </c>
      <c r="K315">
        <f t="shared" si="78"/>
        <v>2928794.7899096822</v>
      </c>
      <c r="L315">
        <f t="shared" si="85"/>
        <v>2928794.7899096822</v>
      </c>
      <c r="M315">
        <f t="shared" si="79"/>
        <v>0</v>
      </c>
      <c r="N315" s="30">
        <f t="shared" si="86"/>
        <v>2928794.7899096822</v>
      </c>
      <c r="O315" s="30">
        <f t="shared" si="80"/>
        <v>2928713.4799562413</v>
      </c>
      <c r="P315" s="30">
        <f t="shared" si="87"/>
        <v>2928713.4799562413</v>
      </c>
      <c r="Q315">
        <f t="shared" si="88"/>
        <v>0</v>
      </c>
      <c r="R315" s="30">
        <f t="shared" si="89"/>
        <v>2928713.4799562413</v>
      </c>
      <c r="S315" s="30">
        <f t="shared" si="81"/>
        <v>2928713.4799562409</v>
      </c>
      <c r="T315" s="30">
        <f t="shared" si="90"/>
        <v>2928713.4799562409</v>
      </c>
      <c r="U315">
        <f t="shared" si="91"/>
        <v>0</v>
      </c>
      <c r="V315" s="30">
        <f t="shared" si="92"/>
        <v>2928713.4799562409</v>
      </c>
      <c r="W315" s="30">
        <f t="shared" si="82"/>
        <v>2928713.4799562413</v>
      </c>
      <c r="X315" s="30">
        <f t="shared" si="93"/>
        <v>2928713.4799562413</v>
      </c>
      <c r="Y315">
        <f t="shared" si="94"/>
        <v>0</v>
      </c>
    </row>
    <row r="316" spans="1:25" x14ac:dyDescent="0.25">
      <c r="A316" s="4" t="s">
        <v>1260</v>
      </c>
      <c r="B316" s="7" t="s">
        <v>651</v>
      </c>
      <c r="C316" s="2" t="s">
        <v>1261</v>
      </c>
      <c r="D316">
        <f>VLOOKUP(B316,'Model allocations'!$A$1:$L$319,5,FALSE)</f>
        <v>302005.10213467438</v>
      </c>
      <c r="E316" s="32">
        <f>VLOOKUP(B316,'Initial adjusted formula count'!$A$1:$P$319,12,FALSE)</f>
        <v>9.2218137254901994E-2</v>
      </c>
      <c r="F316">
        <f>VLOOKUP(B316,'Model allocations'!$A$1:$L$319,10,FALSE)</f>
        <v>256704.33681447321</v>
      </c>
      <c r="G316" s="31">
        <f t="shared" si="83"/>
        <v>0.85</v>
      </c>
      <c r="H316">
        <f t="shared" si="84"/>
        <v>256704.33681447321</v>
      </c>
      <c r="I316">
        <f t="shared" si="76"/>
        <v>0</v>
      </c>
      <c r="J316">
        <f t="shared" si="77"/>
        <v>256704.33681447321</v>
      </c>
      <c r="K316">
        <f t="shared" si="78"/>
        <v>256650.01361024147</v>
      </c>
      <c r="L316">
        <f t="shared" si="85"/>
        <v>256650.01361024147</v>
      </c>
      <c r="M316">
        <f t="shared" si="79"/>
        <v>256704.33681447321</v>
      </c>
      <c r="N316" s="30">
        <f t="shared" si="86"/>
        <v>0</v>
      </c>
      <c r="O316" s="30">
        <f t="shared" si="80"/>
        <v>0</v>
      </c>
      <c r="P316" s="30">
        <f t="shared" si="87"/>
        <v>256704.33681447321</v>
      </c>
      <c r="Q316">
        <f t="shared" si="88"/>
        <v>0</v>
      </c>
      <c r="R316" s="30">
        <f t="shared" si="89"/>
        <v>0</v>
      </c>
      <c r="S316" s="30">
        <f t="shared" si="81"/>
        <v>0</v>
      </c>
      <c r="T316" s="30">
        <f t="shared" si="90"/>
        <v>256704.33681447321</v>
      </c>
      <c r="U316">
        <f t="shared" si="91"/>
        <v>0</v>
      </c>
      <c r="V316" s="30">
        <f t="shared" si="92"/>
        <v>0</v>
      </c>
      <c r="W316" s="30">
        <f t="shared" si="82"/>
        <v>0</v>
      </c>
      <c r="X316" s="30">
        <f t="shared" si="93"/>
        <v>256704.33681447321</v>
      </c>
      <c r="Y316">
        <f t="shared" si="94"/>
        <v>0</v>
      </c>
    </row>
    <row r="317" spans="1:25" x14ac:dyDescent="0.25">
      <c r="A317" s="4" t="s">
        <v>1262</v>
      </c>
      <c r="B317" s="7" t="s">
        <v>653</v>
      </c>
      <c r="C317" s="2" t="s">
        <v>1263</v>
      </c>
      <c r="D317">
        <f>VLOOKUP(B317,'Model allocations'!$A$1:$L$319,5,FALSE)</f>
        <v>67548.605418938852</v>
      </c>
      <c r="E317" s="32">
        <f>VLOOKUP(B317,'Initial adjusted formula count'!$A$1:$P$319,12,FALSE)</f>
        <v>0.123857024106401</v>
      </c>
      <c r="F317">
        <f>VLOOKUP(B317,'Model allocations'!$A$1:$L$319,10,FALSE)</f>
        <v>61342.532670907087</v>
      </c>
      <c r="G317" s="31">
        <f t="shared" si="83"/>
        <v>0.85</v>
      </c>
      <c r="H317">
        <f t="shared" si="84"/>
        <v>57416.314606098022</v>
      </c>
      <c r="I317">
        <f t="shared" si="76"/>
        <v>0</v>
      </c>
      <c r="J317">
        <f t="shared" si="77"/>
        <v>61342.532670907087</v>
      </c>
      <c r="K317">
        <f t="shared" si="78"/>
        <v>61329.551499760055</v>
      </c>
      <c r="L317">
        <f t="shared" si="85"/>
        <v>61329.551499760055</v>
      </c>
      <c r="M317">
        <f t="shared" si="79"/>
        <v>0</v>
      </c>
      <c r="N317" s="30">
        <f t="shared" si="86"/>
        <v>61329.551499760055</v>
      </c>
      <c r="O317" s="30">
        <f t="shared" si="80"/>
        <v>61327.848852994153</v>
      </c>
      <c r="P317" s="30">
        <f t="shared" si="87"/>
        <v>61327.848852994153</v>
      </c>
      <c r="Q317">
        <f t="shared" si="88"/>
        <v>0</v>
      </c>
      <c r="R317" s="30">
        <f t="shared" si="89"/>
        <v>61327.848852994153</v>
      </c>
      <c r="S317" s="30">
        <f t="shared" si="81"/>
        <v>61327.848852994146</v>
      </c>
      <c r="T317" s="30">
        <f t="shared" si="90"/>
        <v>61327.848852994146</v>
      </c>
      <c r="U317">
        <f t="shared" si="91"/>
        <v>0</v>
      </c>
      <c r="V317" s="30">
        <f t="shared" si="92"/>
        <v>61327.848852994146</v>
      </c>
      <c r="W317" s="30">
        <f t="shared" si="82"/>
        <v>61327.848852994153</v>
      </c>
      <c r="X317" s="30">
        <f t="shared" si="93"/>
        <v>61327.848852994153</v>
      </c>
      <c r="Y317">
        <f t="shared" si="94"/>
        <v>0</v>
      </c>
    </row>
    <row r="318" spans="1:25" x14ac:dyDescent="0.25">
      <c r="A318" s="1"/>
      <c r="B318" s="7" t="s">
        <v>655</v>
      </c>
      <c r="C318" s="2" t="s">
        <v>656</v>
      </c>
      <c r="D318">
        <f>VLOOKUP(B318,'Model allocations'!$A$1:$L$319,5,FALSE)</f>
        <v>434478.05281586602</v>
      </c>
      <c r="E318" s="32">
        <f>VLOOKUP(B318,'Initial adjusted formula count'!$A$1:$P$319,12,FALSE)</f>
        <v>1</v>
      </c>
      <c r="F318">
        <f>VLOOKUP(B318,'Model allocations'!$A$1:$L$319,10,FALSE)</f>
        <v>412754.15017507272</v>
      </c>
      <c r="G318" s="31">
        <f t="shared" si="83"/>
        <v>0.95</v>
      </c>
      <c r="H318">
        <f t="shared" si="84"/>
        <v>412754.15017507272</v>
      </c>
      <c r="I318">
        <f t="shared" si="76"/>
        <v>0</v>
      </c>
      <c r="J318">
        <f t="shared" si="77"/>
        <v>412754.15017507272</v>
      </c>
      <c r="K318">
        <f t="shared" si="78"/>
        <v>412666.80405433435</v>
      </c>
      <c r="L318">
        <f t="shared" si="85"/>
        <v>412666.80405433435</v>
      </c>
      <c r="M318">
        <f t="shared" si="79"/>
        <v>412754.15017507272</v>
      </c>
      <c r="N318" s="30">
        <f t="shared" si="86"/>
        <v>0</v>
      </c>
      <c r="O318" s="30">
        <f t="shared" si="80"/>
        <v>0</v>
      </c>
      <c r="P318" s="30">
        <f t="shared" si="87"/>
        <v>412754.15017507272</v>
      </c>
      <c r="Q318">
        <f t="shared" si="88"/>
        <v>0</v>
      </c>
      <c r="R318" s="30">
        <f t="shared" si="89"/>
        <v>0</v>
      </c>
      <c r="S318" s="30">
        <f t="shared" si="81"/>
        <v>0</v>
      </c>
      <c r="T318" s="30">
        <f t="shared" si="90"/>
        <v>412754.15017507272</v>
      </c>
      <c r="U318">
        <f t="shared" si="91"/>
        <v>0</v>
      </c>
      <c r="V318" s="30">
        <f t="shared" si="92"/>
        <v>0</v>
      </c>
      <c r="W318" s="30">
        <f t="shared" si="82"/>
        <v>0</v>
      </c>
      <c r="X318" s="30">
        <f t="shared" si="93"/>
        <v>412754.15017507272</v>
      </c>
      <c r="Y318">
        <f t="shared" si="94"/>
        <v>0</v>
      </c>
    </row>
    <row r="319" spans="1:25" x14ac:dyDescent="0.25">
      <c r="B319" t="s">
        <v>1409</v>
      </c>
      <c r="C319" t="s">
        <v>1415</v>
      </c>
      <c r="D319">
        <f>VLOOKUP(B319,'Model allocations'!$A$1:$L$319,5,FALSE)</f>
        <v>25142.205381888307</v>
      </c>
      <c r="E319" s="32">
        <f>VLOOKUP(B319,'Initial adjusted formula count'!$A$1:$P$319,12,FALSE)</f>
        <v>0.14981174476863399</v>
      </c>
      <c r="F319">
        <f>VLOOKUP(B319,'Model allocations'!$A$1:$L$319,10,FALSE)</f>
        <v>25406.037059244059</v>
      </c>
      <c r="G319" s="31">
        <f t="shared" ref="G319:G320" si="95">IF(E319&lt;0.15,0.85,IF(AND(E319&gt;=0.15,E319&lt;0.3),0.9,0.95))</f>
        <v>0.85</v>
      </c>
      <c r="H319">
        <f t="shared" ref="H319:H320" si="96">IF(F319 = 0, 0, D319*G319)</f>
        <v>21370.874574605059</v>
      </c>
      <c r="I319">
        <f t="shared" ref="I319:I320" si="97">IF(F319&lt;H319,H319,0)</f>
        <v>0</v>
      </c>
      <c r="J319">
        <f t="shared" ref="J319:J320" si="98">IF(I319=0,F319,0)</f>
        <v>25406.037059244059</v>
      </c>
      <c r="K319">
        <f t="shared" ref="K319:K320" si="99">(J319/$J$3)*($F$3-$I$3)</f>
        <v>25400.660689849541</v>
      </c>
      <c r="L319">
        <f t="shared" ref="L319:L320" si="100">I319+K319</f>
        <v>25400.660689849541</v>
      </c>
      <c r="M319">
        <f t="shared" ref="M319:M320" si="101">IF(L319&lt;H319,H319,0)</f>
        <v>0</v>
      </c>
      <c r="N319" s="30">
        <f t="shared" ref="N319:N320" si="102">IF($I319+$M319=0,L319,0)</f>
        <v>25400.660689849541</v>
      </c>
      <c r="O319" s="30">
        <f t="shared" ref="O319:O320" si="103">((N319/$N$3)*($F$3-$I$3-$M$3))</f>
        <v>25399.955510181382</v>
      </c>
      <c r="P319" s="30">
        <f t="shared" ref="P319:P320" si="104">$I319+$M319+O319</f>
        <v>25399.955510181382</v>
      </c>
      <c r="Q319">
        <f t="shared" ref="Q319:Q320" si="105">IF(P319&lt;H319,H319,0)</f>
        <v>0</v>
      </c>
      <c r="R319" s="30">
        <f t="shared" ref="R319:R320" si="106">IF($I319+$M319+$Q319=0,P319,0)</f>
        <v>25399.955510181382</v>
      </c>
      <c r="S319" s="30">
        <f t="shared" ref="S319:S320" si="107">((R319/$R$3)*($F$3-$I$3-$M$3-$Q$3))</f>
        <v>25399.955510181378</v>
      </c>
      <c r="T319" s="30">
        <f t="shared" ref="T319:T320" si="108">$I319+$M319+$Q319+S319</f>
        <v>25399.955510181378</v>
      </c>
      <c r="U319">
        <f t="shared" ref="U319:U320" si="109">IF(T319&lt;H319,H319,0)</f>
        <v>0</v>
      </c>
      <c r="V319" s="30">
        <f t="shared" ref="V319:V320" si="110">IF($I319+$M319+$Q319+U319=0,T319,0)</f>
        <v>25399.955510181378</v>
      </c>
      <c r="W319" s="30">
        <f t="shared" ref="W319:W320" si="111">((V319/$V$3)*($F$3-$I$3-$M$3-$Q$3-$U$3))</f>
        <v>25399.955510181382</v>
      </c>
      <c r="X319" s="30">
        <f t="shared" ref="X319:X320" si="112">$I319+$M319+$Q319+$U319+W319</f>
        <v>25399.955510181382</v>
      </c>
      <c r="Y319">
        <f t="shared" ref="Y319:Y320" si="113">IF(X319&lt;H319,H319,0)</f>
        <v>0</v>
      </c>
    </row>
    <row r="320" spans="1:25" x14ac:dyDescent="0.25">
      <c r="B320" t="s">
        <v>1411</v>
      </c>
      <c r="C320" t="s">
        <v>1416</v>
      </c>
      <c r="D320">
        <f>VLOOKUP(B320,'Model allocations'!$A$1:$L$319,5,FALSE)</f>
        <v>0</v>
      </c>
      <c r="E320" s="32">
        <f>VLOOKUP(B320,'Initial adjusted formula count'!$A$1:$P$319,12,FALSE)</f>
        <v>0.13058419145015701</v>
      </c>
      <c r="F320">
        <f>VLOOKUP(B320,'Model allocations'!$A$1:$L$319,10,FALSE)</f>
        <v>0</v>
      </c>
      <c r="G320" s="31">
        <f t="shared" si="95"/>
        <v>0.85</v>
      </c>
      <c r="H320">
        <f t="shared" si="96"/>
        <v>0</v>
      </c>
      <c r="I320">
        <f t="shared" si="97"/>
        <v>0</v>
      </c>
      <c r="J320">
        <f t="shared" si="98"/>
        <v>0</v>
      </c>
      <c r="K320">
        <f t="shared" si="99"/>
        <v>0</v>
      </c>
      <c r="L320">
        <f t="shared" si="100"/>
        <v>0</v>
      </c>
      <c r="M320">
        <f t="shared" si="101"/>
        <v>0</v>
      </c>
      <c r="N320" s="30">
        <f t="shared" si="102"/>
        <v>0</v>
      </c>
      <c r="O320" s="30">
        <f t="shared" si="103"/>
        <v>0</v>
      </c>
      <c r="P320" s="30">
        <f t="shared" si="104"/>
        <v>0</v>
      </c>
      <c r="Q320">
        <f t="shared" si="105"/>
        <v>0</v>
      </c>
      <c r="R320" s="30">
        <f t="shared" si="106"/>
        <v>0</v>
      </c>
      <c r="S320" s="30">
        <f t="shared" si="107"/>
        <v>0</v>
      </c>
      <c r="T320" s="30">
        <f t="shared" si="108"/>
        <v>0</v>
      </c>
      <c r="U320">
        <f t="shared" si="109"/>
        <v>0</v>
      </c>
      <c r="V320" s="30">
        <f t="shared" si="110"/>
        <v>0</v>
      </c>
      <c r="W320" s="30">
        <f t="shared" si="111"/>
        <v>0</v>
      </c>
      <c r="X320" s="30">
        <f t="shared" si="112"/>
        <v>0</v>
      </c>
      <c r="Y320">
        <f t="shared" si="113"/>
        <v>0</v>
      </c>
    </row>
    <row r="327" spans="7:7" x14ac:dyDescent="0.25">
      <c r="G327" s="31"/>
    </row>
    <row r="328" spans="7:7" x14ac:dyDescent="0.25">
      <c r="G328" s="31"/>
    </row>
    <row r="329" spans="7:7" x14ac:dyDescent="0.25">
      <c r="G329" s="31"/>
    </row>
    <row r="330" spans="7:7" x14ac:dyDescent="0.25">
      <c r="G330" s="31"/>
    </row>
  </sheetData>
  <sheetProtection algorithmName="SHA-512" hashValue="EsSF+KqAYtL0DszH8txkpvcBcvx+KugGKxatP6oBUrb2tpFEWKG1fhoVtCg7fRBs+S6g6WCl6+3MU/04HEWYnQ==" saltValue="KH0dvWWnjbzHF2Ktrw//3g==" spinCount="100000" sheet="1" objects="1" scenarios="1"/>
  <autoFilter ref="A3:Y320" xr:uid="{E4CCECE1-CFB0-4124-B246-34444E47CF8A}"/>
  <conditionalFormatting sqref="B1:B318">
    <cfRule type="duplicateValues" dxfId="1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A506B-0783-4864-A67B-A0D4F556461E}">
  <dimension ref="A1:Z320"/>
  <sheetViews>
    <sheetView workbookViewId="0">
      <selection activeCell="D4" sqref="D4"/>
    </sheetView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14.7109375" customWidth="1"/>
    <col min="7" max="7" width="12.85546875" customWidth="1"/>
    <col min="8" max="8" width="11.28515625" bestFit="1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1.28515625" bestFit="1" customWidth="1"/>
    <col min="14" max="14" width="13.28515625" customWidth="1"/>
    <col min="15" max="15" width="16.42578125" customWidth="1"/>
    <col min="16" max="16" width="14.28515625" customWidth="1"/>
    <col min="18" max="18" width="11.140625" customWidth="1"/>
    <col min="19" max="19" width="11.28515625" bestFit="1" customWidth="1"/>
    <col min="20" max="20" width="12.7109375" customWidth="1"/>
    <col min="22" max="22" width="13.85546875" customWidth="1"/>
    <col min="23" max="23" width="11.85546875" customWidth="1"/>
    <col min="24" max="24" width="13.28515625" customWidth="1"/>
    <col min="25" max="25" width="7.85546875" customWidth="1"/>
    <col min="26" max="26" width="10.140625" customWidth="1"/>
  </cols>
  <sheetData>
    <row r="1" spans="1:26" x14ac:dyDescent="0.25">
      <c r="A1" s="1"/>
      <c r="B1" s="5"/>
      <c r="C1" s="4"/>
      <c r="Y1" t="str" cm="1">
        <f t="array" ref="Y1">Assumptions[EFIG GRANTS]</f>
        <v>100327201</v>
      </c>
      <c r="Z1" s="47">
        <f>X3-Y1</f>
        <v>-61166.904616698623</v>
      </c>
    </row>
    <row r="2" spans="1:26" ht="76.5" x14ac:dyDescent="0.25">
      <c r="A2" s="1" t="s">
        <v>0</v>
      </c>
      <c r="B2" s="5" t="s">
        <v>4</v>
      </c>
      <c r="C2" s="3" t="s">
        <v>1284</v>
      </c>
      <c r="D2" s="34" t="s">
        <v>1383</v>
      </c>
      <c r="E2" s="37" t="s">
        <v>1301</v>
      </c>
      <c r="F2" s="34" t="s">
        <v>1300</v>
      </c>
      <c r="G2" s="36" t="s">
        <v>658</v>
      </c>
      <c r="H2" s="35" t="s">
        <v>1299</v>
      </c>
      <c r="I2" s="35" t="s">
        <v>1373</v>
      </c>
      <c r="J2" s="35" t="s">
        <v>1374</v>
      </c>
      <c r="K2" s="35" t="s">
        <v>1375</v>
      </c>
      <c r="L2" s="35" t="s">
        <v>1376</v>
      </c>
      <c r="M2" s="33" t="s">
        <v>1298</v>
      </c>
      <c r="N2" s="35" t="s">
        <v>1374</v>
      </c>
      <c r="O2" s="33" t="s">
        <v>1375</v>
      </c>
      <c r="P2" s="33" t="s">
        <v>1376</v>
      </c>
      <c r="Q2" s="33" t="s">
        <v>1377</v>
      </c>
      <c r="R2" s="33" t="s">
        <v>1374</v>
      </c>
      <c r="S2" s="33" t="s">
        <v>1375</v>
      </c>
      <c r="T2" s="33" t="s">
        <v>1376</v>
      </c>
      <c r="U2" s="33" t="s">
        <v>1378</v>
      </c>
      <c r="V2" s="33" t="s">
        <v>1374</v>
      </c>
      <c r="W2" s="33" t="s">
        <v>1375</v>
      </c>
      <c r="X2" s="33" t="s">
        <v>1376</v>
      </c>
      <c r="Y2" s="33" t="s">
        <v>1379</v>
      </c>
      <c r="Z2" s="33"/>
    </row>
    <row r="3" spans="1:26" x14ac:dyDescent="0.25">
      <c r="A3" s="1"/>
      <c r="B3" s="5"/>
      <c r="C3" s="6"/>
      <c r="D3" s="34">
        <f>SUM(D4:D318)</f>
        <v>98512815.072224692</v>
      </c>
      <c r="E3" s="34"/>
      <c r="F3" s="34" cm="1">
        <f t="array" ref="F3">SUM(IF(ISERROR($F$4:$F$318),"",$F$4:$F$318))</f>
        <v>100266034.09538332</v>
      </c>
      <c r="G3" s="34"/>
      <c r="H3" s="34" cm="1">
        <f t="array" ref="H3">SUM(IF(ISERROR($H$4:$H$318),"",$H$4:$H$318))</f>
        <v>84494869.308007091</v>
      </c>
      <c r="I3" s="34" cm="1">
        <f t="array" ref="I3">SUM(IF(ISERROR($I$4:$I$318),"",$I$4:$I$318))</f>
        <v>3362470.9579501702</v>
      </c>
      <c r="J3" s="34" cm="1">
        <f t="array" ref="J3">SUM(IF(ISERROR($J$4:$J$318),"",$J$4:$J$318))</f>
        <v>96923224.624094054</v>
      </c>
      <c r="K3" s="34" cm="1">
        <f t="array" ref="K3">SUM(IF(ISERROR($K$4:$K$318),"",$K$4:$K$318))</f>
        <v>96903563.137433141</v>
      </c>
      <c r="L3" s="34" cm="1">
        <f t="array" ref="L3">SUM(IF(ISERROR($L$4:$L$318),0,$L$4:$L$318))</f>
        <v>100266034.09538333</v>
      </c>
      <c r="M3" s="34" cm="1">
        <f t="array" ref="M3">SUM(IF(ISERROR($M$4:$M$318),0,$M$4:$M$318))</f>
        <v>10810444.524342461</v>
      </c>
      <c r="N3" s="34" cm="1">
        <f t="array" ref="N3">SUM(IF(ISERROR($N$4:$N$318),0,$N$4:$N$318))</f>
        <v>86095311.579860419</v>
      </c>
      <c r="O3" s="34" cm="1">
        <f t="array" ref="O3">SUM(IF(ISERROR($O$4:$O$318),0,$O$4:$O$318))</f>
        <v>86093118.613090619</v>
      </c>
      <c r="P3" s="34" cm="1">
        <f t="array" ref="P3">SUM(IF(ISERROR($P$4:$P$318),0,$P$4:$P$318))</f>
        <v>100266034.09538321</v>
      </c>
      <c r="Q3" s="34" cm="1">
        <f t="array" ref="Q3">SUM(IF(ISERROR($Q$4:$Q$318),0,$Q$4:$Q$318))</f>
        <v>0</v>
      </c>
      <c r="R3" s="34" cm="1">
        <f t="array" ref="R3">SUM(IF(ISERROR($R$4:$R$318),0,$R$4:$R$318))</f>
        <v>86093118.613090619</v>
      </c>
      <c r="S3" s="34" cm="1">
        <f t="array" ref="S3">SUM(IF(ISERROR($S$4:$S$318),0,$S$4:$S$318))</f>
        <v>86093118.613090679</v>
      </c>
      <c r="T3" s="34" cm="1">
        <f t="array" ref="T3">SUM(IF(ISERROR($T$4:$T$318),0,$T$4:$T$318))</f>
        <v>100266034.0953833</v>
      </c>
      <c r="U3" s="34" cm="1">
        <f t="array" ref="U3">SUM(IF(ISERROR($U$4:$U$318),0,$U$4:$U$318))</f>
        <v>0</v>
      </c>
      <c r="V3" s="34" cm="1">
        <f t="array" ref="V3">SUM(IF(ISERROR($V$4:$V$318),0,$V$4:$V$318))</f>
        <v>86093118.613090679</v>
      </c>
      <c r="W3" s="34" cm="1">
        <f t="array" ref="W3">SUM(IF(ISERROR($W$4:$W$318),0,$W$4:$W$318))</f>
        <v>86093118.613090679</v>
      </c>
      <c r="X3" s="34" cm="1">
        <f t="array" ref="X3">SUM(IF(ISERROR($X$4:$X$318),0,$X$4:$X$318))</f>
        <v>100266034.0953833</v>
      </c>
      <c r="Y3" s="34" cm="1">
        <f t="array" ref="Y3">SUM(IF(ISERROR($Y$4:$Y$318),0,$Y$4:$Y$318))</f>
        <v>0</v>
      </c>
      <c r="Z3" s="33"/>
    </row>
    <row r="4" spans="1:26" x14ac:dyDescent="0.25">
      <c r="A4" s="4" t="s">
        <v>665</v>
      </c>
      <c r="B4" s="7" t="s">
        <v>313</v>
      </c>
      <c r="C4" s="2" t="s">
        <v>666</v>
      </c>
      <c r="D4">
        <f>VLOOKUP(B4,'Model allocations'!$A$1:$L$319,6,FALSE)</f>
        <v>489544.44843571616</v>
      </c>
      <c r="E4" s="32">
        <f>VLOOKUP(B4,'Initial adjusted formula count'!$A$1:$P$319,12,FALSE)</f>
        <v>0.237263880938752</v>
      </c>
      <c r="F4">
        <f>VLOOKUP(B4,'Model allocations'!$A$1:$L$319,11,FALSE)</f>
        <v>615787.34051849949</v>
      </c>
      <c r="G4" s="31">
        <f>IF(E4&lt;0.15,0.85,IF(AND(E4&gt;=0.15,E4&lt;0.3),0.9,0.95))</f>
        <v>0.9</v>
      </c>
      <c r="H4">
        <f>IF(F4 = 0, 0, D4*G4)</f>
        <v>440590.00359214452</v>
      </c>
      <c r="I4">
        <f t="shared" ref="I4:I67" si="0">IF(F4&lt;H4,H4,0)</f>
        <v>0</v>
      </c>
      <c r="J4">
        <f t="shared" ref="J4:J67" si="1">IF(I4=0,F4,0)</f>
        <v>615787.34051849949</v>
      </c>
      <c r="K4">
        <f t="shared" ref="K4:K67" si="2">(J4/$J$3)*($F$3-$I$3)</f>
        <v>615662.42417746235</v>
      </c>
      <c r="L4">
        <f t="shared" ref="L4:L67" si="3">I4+K4</f>
        <v>615662.42417746235</v>
      </c>
      <c r="M4">
        <f t="shared" ref="M4:M67" si="4">IF(L4&lt;H4,H4,0)</f>
        <v>0</v>
      </c>
      <c r="N4" s="30">
        <f t="shared" ref="N4:N67" si="5">IF($I4+$M4=0,L4,0)</f>
        <v>615662.42417746235</v>
      </c>
      <c r="O4" s="30">
        <f t="shared" ref="O4:O67" si="6">((N4/$N$3)*($F$3-$I$3-$M$3))</f>
        <v>615646.74240324227</v>
      </c>
      <c r="P4" s="30">
        <f t="shared" ref="P4:P67" si="7">$I4+$M4+O4</f>
        <v>615646.74240324227</v>
      </c>
      <c r="Q4">
        <f t="shared" ref="Q4:Q67" si="8">IF(P4&lt;H4,H4,0)</f>
        <v>0</v>
      </c>
      <c r="R4" s="30">
        <f t="shared" ref="R4:R67" si="9">IF($I4+$M4+$Q4=0,P4,0)</f>
        <v>615646.74240324227</v>
      </c>
      <c r="S4" s="30">
        <f t="shared" ref="S4:S67" si="10">((R4/$R$3)*($F$3-$I$3-$M$3-$Q$3))</f>
        <v>615646.74240324274</v>
      </c>
      <c r="T4" s="30">
        <f t="shared" ref="T4:T67" si="11">$I4+$M4+$Q4+S4</f>
        <v>615646.74240324274</v>
      </c>
      <c r="U4">
        <f t="shared" ref="U4:U67" si="12">IF(T4&lt;H4,H4,0)</f>
        <v>0</v>
      </c>
      <c r="V4" s="30">
        <f t="shared" ref="V4:V67" si="13">IF($I4+$M4+$Q4+U4=0,T4,0)</f>
        <v>615646.74240324274</v>
      </c>
      <c r="W4" s="30">
        <f t="shared" ref="W4:W67" si="14">((V4/$V$3)*($F$3-$I$3-$M$3-$Q$3-$U$3))</f>
        <v>615646.74240324274</v>
      </c>
      <c r="X4" s="30">
        <f t="shared" ref="X4:X67" si="15">$I4+$M4+$Q4+$U4+W4</f>
        <v>615646.74240324274</v>
      </c>
      <c r="Y4">
        <f t="shared" ref="Y4:Y67" si="16">IF(X4&lt;H4,H4,0)</f>
        <v>0</v>
      </c>
    </row>
    <row r="5" spans="1:26" x14ac:dyDescent="0.25">
      <c r="A5" s="4" t="s">
        <v>667</v>
      </c>
      <c r="B5" s="7" t="s">
        <v>264</v>
      </c>
      <c r="C5" s="2" t="s">
        <v>668</v>
      </c>
      <c r="D5">
        <f>VLOOKUP(B5,'Model allocations'!$A$1:$L$319,6,FALSE)</f>
        <v>23827.802435663845</v>
      </c>
      <c r="E5" s="32">
        <f>VLOOKUP(B5,'Initial adjusted formula count'!$A$1:$P$319,12,FALSE)</f>
        <v>5.2917232021709601E-2</v>
      </c>
      <c r="F5">
        <f>VLOOKUP(B5,'Model allocations'!$A$1:$L$319,11,FALSE)</f>
        <v>22137.687648230905</v>
      </c>
      <c r="G5" s="31">
        <f t="shared" ref="G5:G68" si="17">IF(E5&lt;0.15,0.85,IF(AND(E5&gt;=0.15,E5&lt;0.3),0.9,0.95))</f>
        <v>0.85</v>
      </c>
      <c r="H5">
        <f t="shared" ref="H5:H68" si="18">IF(F5 = 0, 0, D5*G5)</f>
        <v>20253.632070314266</v>
      </c>
      <c r="I5">
        <f t="shared" si="0"/>
        <v>0</v>
      </c>
      <c r="J5">
        <f t="shared" si="1"/>
        <v>22137.687648230905</v>
      </c>
      <c r="K5">
        <f t="shared" si="2"/>
        <v>22133.19687884011</v>
      </c>
      <c r="L5">
        <f t="shared" si="3"/>
        <v>22133.19687884011</v>
      </c>
      <c r="M5">
        <f t="shared" si="4"/>
        <v>0</v>
      </c>
      <c r="N5" s="30">
        <f t="shared" si="5"/>
        <v>22133.19687884011</v>
      </c>
      <c r="O5" s="30">
        <f t="shared" si="6"/>
        <v>22132.633115676093</v>
      </c>
      <c r="P5" s="30">
        <f t="shared" si="7"/>
        <v>22132.633115676093</v>
      </c>
      <c r="Q5">
        <f t="shared" si="8"/>
        <v>0</v>
      </c>
      <c r="R5" s="30">
        <f t="shared" si="9"/>
        <v>22132.633115676093</v>
      </c>
      <c r="S5" s="30">
        <f t="shared" si="10"/>
        <v>22132.633115676112</v>
      </c>
      <c r="T5" s="30">
        <f t="shared" si="11"/>
        <v>22132.633115676112</v>
      </c>
      <c r="U5">
        <f t="shared" si="12"/>
        <v>0</v>
      </c>
      <c r="V5" s="30">
        <f t="shared" si="13"/>
        <v>22132.633115676112</v>
      </c>
      <c r="W5" s="30">
        <f t="shared" si="14"/>
        <v>22132.633115676112</v>
      </c>
      <c r="X5" s="30">
        <f t="shared" si="15"/>
        <v>22132.633115676112</v>
      </c>
      <c r="Y5">
        <f t="shared" si="16"/>
        <v>0</v>
      </c>
    </row>
    <row r="6" spans="1:26" x14ac:dyDescent="0.25">
      <c r="A6" s="4" t="s">
        <v>669</v>
      </c>
      <c r="B6" s="7" t="s">
        <v>266</v>
      </c>
      <c r="C6" s="2" t="s">
        <v>670</v>
      </c>
      <c r="D6">
        <f>VLOOKUP(B6,'Model allocations'!$A$1:$L$319,6,FALSE)</f>
        <v>0</v>
      </c>
      <c r="E6" s="32">
        <f>VLOOKUP(B6,'Initial adjusted formula count'!$A$1:$P$319,12,FALSE)</f>
        <v>6.1224489795918401E-2</v>
      </c>
      <c r="F6">
        <f>VLOOKUP(B6,'Model allocations'!$A$1:$L$319,11,FALSE)</f>
        <v>0</v>
      </c>
      <c r="G6" s="31">
        <f t="shared" si="17"/>
        <v>0.85</v>
      </c>
      <c r="H6">
        <f t="shared" si="18"/>
        <v>0</v>
      </c>
      <c r="I6">
        <f t="shared" si="0"/>
        <v>0</v>
      </c>
      <c r="J6">
        <f t="shared" si="1"/>
        <v>0</v>
      </c>
      <c r="K6">
        <f t="shared" si="2"/>
        <v>0</v>
      </c>
      <c r="L6">
        <f t="shared" si="3"/>
        <v>0</v>
      </c>
      <c r="M6">
        <f t="shared" si="4"/>
        <v>0</v>
      </c>
      <c r="N6" s="30">
        <f t="shared" si="5"/>
        <v>0</v>
      </c>
      <c r="O6" s="30">
        <f t="shared" si="6"/>
        <v>0</v>
      </c>
      <c r="P6" s="30">
        <f t="shared" si="7"/>
        <v>0</v>
      </c>
      <c r="Q6">
        <f t="shared" si="8"/>
        <v>0</v>
      </c>
      <c r="R6" s="30">
        <f t="shared" si="9"/>
        <v>0</v>
      </c>
      <c r="S6" s="30">
        <f t="shared" si="10"/>
        <v>0</v>
      </c>
      <c r="T6" s="30">
        <f t="shared" si="11"/>
        <v>0</v>
      </c>
      <c r="U6">
        <f t="shared" si="12"/>
        <v>0</v>
      </c>
      <c r="V6" s="30">
        <f t="shared" si="13"/>
        <v>0</v>
      </c>
      <c r="W6" s="30">
        <f t="shared" si="14"/>
        <v>0</v>
      </c>
      <c r="X6" s="30">
        <f t="shared" si="15"/>
        <v>0</v>
      </c>
      <c r="Y6">
        <f t="shared" si="16"/>
        <v>0</v>
      </c>
    </row>
    <row r="7" spans="1:26" x14ac:dyDescent="0.25">
      <c r="A7" s="4" t="s">
        <v>671</v>
      </c>
      <c r="B7" s="7" t="s">
        <v>93</v>
      </c>
      <c r="C7" s="2" t="s">
        <v>672</v>
      </c>
      <c r="D7">
        <f>VLOOKUP(B7,'Model allocations'!$A$1:$L$319,6,FALSE)</f>
        <v>155963.79776070884</v>
      </c>
      <c r="E7" s="32">
        <f>VLOOKUP(B7,'Initial adjusted formula count'!$A$1:$P$319,12,FALSE)</f>
        <v>9.2644978783592596E-2</v>
      </c>
      <c r="F7">
        <f>VLOOKUP(B7,'Model allocations'!$A$1:$L$319,11,FALSE)</f>
        <v>148719.85035478199</v>
      </c>
      <c r="G7" s="31">
        <f t="shared" si="17"/>
        <v>0.85</v>
      </c>
      <c r="H7">
        <f t="shared" si="18"/>
        <v>132569.22809660251</v>
      </c>
      <c r="I7">
        <f t="shared" si="0"/>
        <v>0</v>
      </c>
      <c r="J7">
        <f t="shared" si="1"/>
        <v>148719.85035478199</v>
      </c>
      <c r="K7">
        <f t="shared" si="2"/>
        <v>148689.68159631046</v>
      </c>
      <c r="L7">
        <f t="shared" si="3"/>
        <v>148689.68159631046</v>
      </c>
      <c r="M7">
        <f t="shared" si="4"/>
        <v>0</v>
      </c>
      <c r="N7" s="30">
        <f t="shared" si="5"/>
        <v>148689.68159631046</v>
      </c>
      <c r="O7" s="30">
        <f t="shared" si="6"/>
        <v>148685.89426428551</v>
      </c>
      <c r="P7" s="30">
        <f t="shared" si="7"/>
        <v>148685.89426428551</v>
      </c>
      <c r="Q7">
        <f t="shared" si="8"/>
        <v>0</v>
      </c>
      <c r="R7" s="30">
        <f t="shared" si="9"/>
        <v>148685.89426428551</v>
      </c>
      <c r="S7" s="30">
        <f t="shared" si="10"/>
        <v>148685.8942642856</v>
      </c>
      <c r="T7" s="30">
        <f t="shared" si="11"/>
        <v>148685.8942642856</v>
      </c>
      <c r="U7">
        <f t="shared" si="12"/>
        <v>0</v>
      </c>
      <c r="V7" s="30">
        <f t="shared" si="13"/>
        <v>148685.8942642856</v>
      </c>
      <c r="W7" s="30">
        <f t="shared" si="14"/>
        <v>148685.8942642856</v>
      </c>
      <c r="X7" s="30">
        <f t="shared" si="15"/>
        <v>148685.8942642856</v>
      </c>
      <c r="Y7">
        <f t="shared" si="16"/>
        <v>0</v>
      </c>
    </row>
    <row r="8" spans="1:26" x14ac:dyDescent="0.25">
      <c r="A8" s="4" t="s">
        <v>673</v>
      </c>
      <c r="B8" s="7" t="s">
        <v>95</v>
      </c>
      <c r="C8" s="2" t="s">
        <v>674</v>
      </c>
      <c r="D8">
        <f>VLOOKUP(B8,'Model allocations'!$A$1:$L$319,6,FALSE)</f>
        <v>263188.90872119612</v>
      </c>
      <c r="E8" s="32">
        <f>VLOOKUP(B8,'Initial adjusted formula count'!$A$1:$P$319,12,FALSE)</f>
        <v>9.7210481825866404E-2</v>
      </c>
      <c r="F8">
        <f>VLOOKUP(B8,'Model allocations'!$A$1:$L$319,11,FALSE)</f>
        <v>326388.98455725057</v>
      </c>
      <c r="G8" s="31">
        <f t="shared" si="17"/>
        <v>0.85</v>
      </c>
      <c r="H8">
        <f t="shared" si="18"/>
        <v>223710.57241301669</v>
      </c>
      <c r="I8">
        <f t="shared" si="0"/>
        <v>0</v>
      </c>
      <c r="J8">
        <f t="shared" si="1"/>
        <v>326388.98455725057</v>
      </c>
      <c r="K8">
        <f t="shared" si="2"/>
        <v>326322.77449571958</v>
      </c>
      <c r="L8">
        <f t="shared" si="3"/>
        <v>326322.77449571958</v>
      </c>
      <c r="M8">
        <f t="shared" si="4"/>
        <v>0</v>
      </c>
      <c r="N8" s="30">
        <f t="shared" si="5"/>
        <v>326322.77449571958</v>
      </c>
      <c r="O8" s="30">
        <f t="shared" si="6"/>
        <v>326314.46260291676</v>
      </c>
      <c r="P8" s="30">
        <f t="shared" si="7"/>
        <v>326314.46260291676</v>
      </c>
      <c r="Q8">
        <f t="shared" si="8"/>
        <v>0</v>
      </c>
      <c r="R8" s="30">
        <f t="shared" si="9"/>
        <v>326314.46260291676</v>
      </c>
      <c r="S8" s="30">
        <f t="shared" si="10"/>
        <v>326314.46260291699</v>
      </c>
      <c r="T8" s="30">
        <f t="shared" si="11"/>
        <v>326314.46260291699</v>
      </c>
      <c r="U8">
        <f t="shared" si="12"/>
        <v>0</v>
      </c>
      <c r="V8" s="30">
        <f t="shared" si="13"/>
        <v>326314.46260291699</v>
      </c>
      <c r="W8" s="30">
        <f t="shared" si="14"/>
        <v>326314.46260291699</v>
      </c>
      <c r="X8" s="30">
        <f t="shared" si="15"/>
        <v>326314.46260291699</v>
      </c>
      <c r="Y8">
        <f t="shared" si="16"/>
        <v>0</v>
      </c>
    </row>
    <row r="9" spans="1:26" x14ac:dyDescent="0.25">
      <c r="A9" s="4" t="s">
        <v>675</v>
      </c>
      <c r="B9" s="7" t="s">
        <v>314</v>
      </c>
      <c r="C9" s="2" t="s">
        <v>676</v>
      </c>
      <c r="D9">
        <f>VLOOKUP(B9,'Model allocations'!$A$1:$L$319,6,FALSE)</f>
        <v>34658.621724601966</v>
      </c>
      <c r="E9" s="32">
        <f>VLOOKUP(B9,'Initial adjusted formula count'!$A$1:$P$319,12,FALSE)</f>
        <v>9.7363083164300201E-2</v>
      </c>
      <c r="F9">
        <f>VLOOKUP(B9,'Model allocations'!$A$1:$L$319,11,FALSE)</f>
        <v>29459.828465911669</v>
      </c>
      <c r="G9" s="31">
        <f t="shared" si="17"/>
        <v>0.85</v>
      </c>
      <c r="H9">
        <f t="shared" si="18"/>
        <v>29459.828465911669</v>
      </c>
      <c r="I9">
        <f t="shared" si="0"/>
        <v>0</v>
      </c>
      <c r="J9">
        <f t="shared" si="1"/>
        <v>29459.828465911669</v>
      </c>
      <c r="K9">
        <f t="shared" si="2"/>
        <v>29453.852354131839</v>
      </c>
      <c r="L9">
        <f t="shared" si="3"/>
        <v>29453.852354131839</v>
      </c>
      <c r="M9">
        <f t="shared" si="4"/>
        <v>29459.828465911669</v>
      </c>
      <c r="N9" s="30">
        <f t="shared" si="5"/>
        <v>0</v>
      </c>
      <c r="O9" s="30">
        <f t="shared" si="6"/>
        <v>0</v>
      </c>
      <c r="P9" s="30">
        <f t="shared" si="7"/>
        <v>29459.828465911669</v>
      </c>
      <c r="Q9">
        <f t="shared" si="8"/>
        <v>0</v>
      </c>
      <c r="R9" s="30">
        <f t="shared" si="9"/>
        <v>0</v>
      </c>
      <c r="S9" s="30">
        <f t="shared" si="10"/>
        <v>0</v>
      </c>
      <c r="T9" s="30">
        <f t="shared" si="11"/>
        <v>29459.828465911669</v>
      </c>
      <c r="U9">
        <f t="shared" si="12"/>
        <v>0</v>
      </c>
      <c r="V9" s="30">
        <f t="shared" si="13"/>
        <v>0</v>
      </c>
      <c r="W9" s="30">
        <f t="shared" si="14"/>
        <v>0</v>
      </c>
      <c r="X9" s="30">
        <f t="shared" si="15"/>
        <v>29459.828465911669</v>
      </c>
      <c r="Y9">
        <f t="shared" si="16"/>
        <v>0</v>
      </c>
    </row>
    <row r="10" spans="1:26" x14ac:dyDescent="0.25">
      <c r="A10" s="4" t="s">
        <v>677</v>
      </c>
      <c r="B10" s="7" t="s">
        <v>316</v>
      </c>
      <c r="C10" s="2" t="s">
        <v>678</v>
      </c>
      <c r="D10">
        <f>VLOOKUP(B10,'Model allocations'!$A$1:$L$319,6,FALSE)</f>
        <v>2273118.1982658859</v>
      </c>
      <c r="E10" s="32">
        <f>VLOOKUP(B10,'Initial adjusted formula count'!$A$1:$P$319,12,FALSE)</f>
        <v>0.16230252008965201</v>
      </c>
      <c r="F10">
        <f>VLOOKUP(B10,'Model allocations'!$A$1:$L$319,11,FALSE)</f>
        <v>2532494.7036559545</v>
      </c>
      <c r="G10" s="31">
        <f t="shared" si="17"/>
        <v>0.9</v>
      </c>
      <c r="H10">
        <f t="shared" si="18"/>
        <v>2045806.3784392974</v>
      </c>
      <c r="I10">
        <f t="shared" si="0"/>
        <v>0</v>
      </c>
      <c r="J10">
        <f t="shared" si="1"/>
        <v>2532494.7036559545</v>
      </c>
      <c r="K10">
        <f t="shared" si="2"/>
        <v>2531980.9711524406</v>
      </c>
      <c r="L10">
        <f t="shared" si="3"/>
        <v>2531980.9711524406</v>
      </c>
      <c r="M10">
        <f t="shared" si="4"/>
        <v>0</v>
      </c>
      <c r="N10" s="30">
        <f t="shared" si="5"/>
        <v>2531980.9711524406</v>
      </c>
      <c r="O10" s="30">
        <f t="shared" si="6"/>
        <v>2531916.4780920236</v>
      </c>
      <c r="P10" s="30">
        <f t="shared" si="7"/>
        <v>2531916.4780920236</v>
      </c>
      <c r="Q10">
        <f t="shared" si="8"/>
        <v>0</v>
      </c>
      <c r="R10" s="30">
        <f t="shared" si="9"/>
        <v>2531916.4780920236</v>
      </c>
      <c r="S10" s="30">
        <f t="shared" si="10"/>
        <v>2531916.4780920255</v>
      </c>
      <c r="T10" s="30">
        <f t="shared" si="11"/>
        <v>2531916.4780920255</v>
      </c>
      <c r="U10">
        <f t="shared" si="12"/>
        <v>0</v>
      </c>
      <c r="V10" s="30">
        <f t="shared" si="13"/>
        <v>2531916.4780920255</v>
      </c>
      <c r="W10" s="30">
        <f t="shared" si="14"/>
        <v>2531916.4780920255</v>
      </c>
      <c r="X10" s="30">
        <f t="shared" si="15"/>
        <v>2531916.4780920255</v>
      </c>
      <c r="Y10">
        <f t="shared" si="16"/>
        <v>0</v>
      </c>
    </row>
    <row r="11" spans="1:26" x14ac:dyDescent="0.25">
      <c r="A11" s="4" t="s">
        <v>679</v>
      </c>
      <c r="B11" s="7" t="s">
        <v>97</v>
      </c>
      <c r="C11" s="2" t="s">
        <v>680</v>
      </c>
      <c r="D11">
        <f>VLOOKUP(B11,'Model allocations'!$A$1:$L$319,6,FALSE)</f>
        <v>0</v>
      </c>
      <c r="E11" s="32">
        <f>VLOOKUP(B11,'Initial adjusted formula count'!$A$1:$P$319,12,FALSE)</f>
        <v>3.57232704402516E-2</v>
      </c>
      <c r="F11">
        <f>VLOOKUP(B11,'Model allocations'!$A$1:$L$319,11,FALSE)</f>
        <v>0</v>
      </c>
      <c r="G11" s="31">
        <f t="shared" si="17"/>
        <v>0.85</v>
      </c>
      <c r="H11">
        <f t="shared" si="18"/>
        <v>0</v>
      </c>
      <c r="I11">
        <f t="shared" si="0"/>
        <v>0</v>
      </c>
      <c r="J11">
        <f t="shared" si="1"/>
        <v>0</v>
      </c>
      <c r="K11">
        <f t="shared" si="2"/>
        <v>0</v>
      </c>
      <c r="L11">
        <f t="shared" si="3"/>
        <v>0</v>
      </c>
      <c r="M11">
        <f t="shared" si="4"/>
        <v>0</v>
      </c>
      <c r="N11" s="30">
        <f t="shared" si="5"/>
        <v>0</v>
      </c>
      <c r="O11" s="30">
        <f t="shared" si="6"/>
        <v>0</v>
      </c>
      <c r="P11" s="30">
        <f t="shared" si="7"/>
        <v>0</v>
      </c>
      <c r="Q11">
        <f t="shared" si="8"/>
        <v>0</v>
      </c>
      <c r="R11" s="30">
        <f t="shared" si="9"/>
        <v>0</v>
      </c>
      <c r="S11" s="30">
        <f t="shared" si="10"/>
        <v>0</v>
      </c>
      <c r="T11" s="30">
        <f t="shared" si="11"/>
        <v>0</v>
      </c>
      <c r="U11">
        <f t="shared" si="12"/>
        <v>0</v>
      </c>
      <c r="V11" s="30">
        <f t="shared" si="13"/>
        <v>0</v>
      </c>
      <c r="W11" s="30">
        <f t="shared" si="14"/>
        <v>0</v>
      </c>
      <c r="X11" s="30">
        <f t="shared" si="15"/>
        <v>0</v>
      </c>
      <c r="Y11">
        <f t="shared" si="16"/>
        <v>0</v>
      </c>
    </row>
    <row r="12" spans="1:26" x14ac:dyDescent="0.25">
      <c r="A12" s="4" t="s">
        <v>681</v>
      </c>
      <c r="B12" s="7" t="s">
        <v>99</v>
      </c>
      <c r="C12" s="2" t="s">
        <v>682</v>
      </c>
      <c r="D12">
        <f>VLOOKUP(B12,'Model allocations'!$A$1:$L$319,6,FALSE)</f>
        <v>729184.90862775838</v>
      </c>
      <c r="E12" s="32">
        <f>VLOOKUP(B12,'Initial adjusted formula count'!$A$1:$P$319,12,FALSE)</f>
        <v>5.1700164328150701E-2</v>
      </c>
      <c r="F12">
        <f>VLOOKUP(B12,'Model allocations'!$A$1:$L$319,11,FALSE)</f>
        <v>619807.17233359464</v>
      </c>
      <c r="G12" s="31">
        <f t="shared" si="17"/>
        <v>0.85</v>
      </c>
      <c r="H12">
        <f t="shared" si="18"/>
        <v>619807.17233359464</v>
      </c>
      <c r="I12">
        <f t="shared" si="0"/>
        <v>0</v>
      </c>
      <c r="J12">
        <f t="shared" si="1"/>
        <v>619807.17233359464</v>
      </c>
      <c r="K12">
        <f t="shared" si="2"/>
        <v>619681.44054435182</v>
      </c>
      <c r="L12">
        <f t="shared" si="3"/>
        <v>619681.44054435182</v>
      </c>
      <c r="M12">
        <f t="shared" si="4"/>
        <v>619807.17233359464</v>
      </c>
      <c r="N12" s="30">
        <f t="shared" si="5"/>
        <v>0</v>
      </c>
      <c r="O12" s="30">
        <f t="shared" si="6"/>
        <v>0</v>
      </c>
      <c r="P12" s="30">
        <f t="shared" si="7"/>
        <v>619807.17233359464</v>
      </c>
      <c r="Q12">
        <f t="shared" si="8"/>
        <v>0</v>
      </c>
      <c r="R12" s="30">
        <f t="shared" si="9"/>
        <v>0</v>
      </c>
      <c r="S12" s="30">
        <f t="shared" si="10"/>
        <v>0</v>
      </c>
      <c r="T12" s="30">
        <f t="shared" si="11"/>
        <v>619807.17233359464</v>
      </c>
      <c r="U12">
        <f t="shared" si="12"/>
        <v>0</v>
      </c>
      <c r="V12" s="30">
        <f t="shared" si="13"/>
        <v>0</v>
      </c>
      <c r="W12" s="30">
        <f t="shared" si="14"/>
        <v>0</v>
      </c>
      <c r="X12" s="30">
        <f t="shared" si="15"/>
        <v>619807.17233359464</v>
      </c>
      <c r="Y12">
        <f t="shared" si="16"/>
        <v>0</v>
      </c>
    </row>
    <row r="13" spans="1:26" x14ac:dyDescent="0.25">
      <c r="A13" s="4" t="s">
        <v>683</v>
      </c>
      <c r="B13" s="7" t="s">
        <v>101</v>
      </c>
      <c r="C13" s="2" t="s">
        <v>684</v>
      </c>
      <c r="D13">
        <f>VLOOKUP(B13,'Model allocations'!$A$1:$L$319,6,FALSE)</f>
        <v>1119906.7144762005</v>
      </c>
      <c r="E13" s="32">
        <f>VLOOKUP(B13,'Initial adjusted formula count'!$A$1:$P$319,12,FALSE)</f>
        <v>6.0331353547983801E-2</v>
      </c>
      <c r="F13">
        <f>VLOOKUP(B13,'Model allocations'!$A$1:$L$319,11,FALSE)</f>
        <v>954191.10094041436</v>
      </c>
      <c r="G13" s="31">
        <f t="shared" si="17"/>
        <v>0.85</v>
      </c>
      <c r="H13">
        <f t="shared" si="18"/>
        <v>951920.70730477036</v>
      </c>
      <c r="I13">
        <f t="shared" si="0"/>
        <v>0</v>
      </c>
      <c r="J13">
        <f t="shared" si="1"/>
        <v>954191.10094041436</v>
      </c>
      <c r="K13">
        <f t="shared" si="2"/>
        <v>953997.53726487781</v>
      </c>
      <c r="L13">
        <f t="shared" si="3"/>
        <v>953997.53726487781</v>
      </c>
      <c r="M13">
        <f t="shared" si="4"/>
        <v>0</v>
      </c>
      <c r="N13" s="30">
        <f t="shared" si="5"/>
        <v>953997.53726487781</v>
      </c>
      <c r="O13" s="30">
        <f t="shared" si="6"/>
        <v>953973.23762696213</v>
      </c>
      <c r="P13" s="30">
        <f t="shared" si="7"/>
        <v>953973.23762696213</v>
      </c>
      <c r="Q13">
        <f t="shared" si="8"/>
        <v>0</v>
      </c>
      <c r="R13" s="30">
        <f t="shared" si="9"/>
        <v>953973.23762696213</v>
      </c>
      <c r="S13" s="30">
        <f t="shared" si="10"/>
        <v>953973.23762696283</v>
      </c>
      <c r="T13" s="30">
        <f t="shared" si="11"/>
        <v>953973.23762696283</v>
      </c>
      <c r="U13">
        <f t="shared" si="12"/>
        <v>0</v>
      </c>
      <c r="V13" s="30">
        <f t="shared" si="13"/>
        <v>953973.23762696283</v>
      </c>
      <c r="W13" s="30">
        <f t="shared" si="14"/>
        <v>953973.23762696283</v>
      </c>
      <c r="X13" s="30">
        <f t="shared" si="15"/>
        <v>953973.23762696283</v>
      </c>
      <c r="Y13">
        <f t="shared" si="16"/>
        <v>0</v>
      </c>
    </row>
    <row r="14" spans="1:26" x14ac:dyDescent="0.25">
      <c r="A14" s="4" t="s">
        <v>14</v>
      </c>
      <c r="B14" s="7" t="s">
        <v>59</v>
      </c>
      <c r="C14" s="2" t="s">
        <v>685</v>
      </c>
      <c r="D14">
        <f>VLOOKUP(B14,'Model allocations'!$A$1:$L$319,6,FALSE)</f>
        <v>1274744.6007548065</v>
      </c>
      <c r="E14" s="32">
        <f>VLOOKUP(B14,'Initial adjusted formula count'!$A$1:$P$319,12,FALSE)</f>
        <v>0.109426670225929</v>
      </c>
      <c r="F14">
        <f>VLOOKUP(B14,'Model allocations'!$A$1:$L$319,11,FALSE)</f>
        <v>1084355.6500459372</v>
      </c>
      <c r="G14" s="31">
        <f t="shared" si="17"/>
        <v>0.85</v>
      </c>
      <c r="H14">
        <f t="shared" si="18"/>
        <v>1083532.9106415855</v>
      </c>
      <c r="I14">
        <f t="shared" si="0"/>
        <v>0</v>
      </c>
      <c r="J14">
        <f t="shared" si="1"/>
        <v>1084355.6500459372</v>
      </c>
      <c r="K14">
        <f t="shared" si="2"/>
        <v>1084135.6816716725</v>
      </c>
      <c r="L14">
        <f t="shared" si="3"/>
        <v>1084135.6816716725</v>
      </c>
      <c r="M14">
        <f t="shared" si="4"/>
        <v>0</v>
      </c>
      <c r="N14" s="30">
        <f t="shared" si="5"/>
        <v>1084135.6816716725</v>
      </c>
      <c r="O14" s="30">
        <f t="shared" si="6"/>
        <v>1084108.0672350654</v>
      </c>
      <c r="P14" s="30">
        <f t="shared" si="7"/>
        <v>1084108.0672350654</v>
      </c>
      <c r="Q14">
        <f t="shared" si="8"/>
        <v>0</v>
      </c>
      <c r="R14" s="30">
        <f t="shared" si="9"/>
        <v>1084108.0672350654</v>
      </c>
      <c r="S14" s="30">
        <f t="shared" si="10"/>
        <v>1084108.0672350661</v>
      </c>
      <c r="T14" s="30">
        <f t="shared" si="11"/>
        <v>1084108.0672350661</v>
      </c>
      <c r="U14">
        <f t="shared" si="12"/>
        <v>0</v>
      </c>
      <c r="V14" s="30">
        <f t="shared" si="13"/>
        <v>1084108.0672350661</v>
      </c>
      <c r="W14" s="30">
        <f t="shared" si="14"/>
        <v>1084108.0672350661</v>
      </c>
      <c r="X14" s="30">
        <f t="shared" si="15"/>
        <v>1084108.0672350661</v>
      </c>
      <c r="Y14">
        <f t="shared" si="16"/>
        <v>0</v>
      </c>
    </row>
    <row r="15" spans="1:26" x14ac:dyDescent="0.25">
      <c r="A15" s="4" t="s">
        <v>686</v>
      </c>
      <c r="B15" s="7" t="s">
        <v>103</v>
      </c>
      <c r="C15" s="2" t="s">
        <v>687</v>
      </c>
      <c r="D15">
        <f>VLOOKUP(B15,'Model allocations'!$A$1:$L$319,6,FALSE)</f>
        <v>0</v>
      </c>
      <c r="E15" s="32">
        <f>VLOOKUP(B15,'Initial adjusted formula count'!$A$1:$P$319,12,FALSE)</f>
        <v>6.25E-2</v>
      </c>
      <c r="F15">
        <f>VLOOKUP(B15,'Model allocations'!$A$1:$L$319,11,FALSE)</f>
        <v>0</v>
      </c>
      <c r="G15" s="31">
        <f t="shared" si="17"/>
        <v>0.85</v>
      </c>
      <c r="H15">
        <f t="shared" si="18"/>
        <v>0</v>
      </c>
      <c r="I15">
        <f t="shared" si="0"/>
        <v>0</v>
      </c>
      <c r="J15">
        <f t="shared" si="1"/>
        <v>0</v>
      </c>
      <c r="K15">
        <f t="shared" si="2"/>
        <v>0</v>
      </c>
      <c r="L15">
        <f t="shared" si="3"/>
        <v>0</v>
      </c>
      <c r="M15">
        <f t="shared" si="4"/>
        <v>0</v>
      </c>
      <c r="N15" s="30">
        <f t="shared" si="5"/>
        <v>0</v>
      </c>
      <c r="O15" s="30">
        <f t="shared" si="6"/>
        <v>0</v>
      </c>
      <c r="P15" s="30">
        <f t="shared" si="7"/>
        <v>0</v>
      </c>
      <c r="Q15">
        <f t="shared" si="8"/>
        <v>0</v>
      </c>
      <c r="R15" s="30">
        <f t="shared" si="9"/>
        <v>0</v>
      </c>
      <c r="S15" s="30">
        <f t="shared" si="10"/>
        <v>0</v>
      </c>
      <c r="T15" s="30">
        <f t="shared" si="11"/>
        <v>0</v>
      </c>
      <c r="U15">
        <f t="shared" si="12"/>
        <v>0</v>
      </c>
      <c r="V15" s="30">
        <f t="shared" si="13"/>
        <v>0</v>
      </c>
      <c r="W15" s="30">
        <f t="shared" si="14"/>
        <v>0</v>
      </c>
      <c r="X15" s="30">
        <f t="shared" si="15"/>
        <v>0</v>
      </c>
      <c r="Y15">
        <f t="shared" si="16"/>
        <v>0</v>
      </c>
    </row>
    <row r="16" spans="1:26" x14ac:dyDescent="0.25">
      <c r="A16" s="4" t="s">
        <v>688</v>
      </c>
      <c r="B16" s="7" t="s">
        <v>268</v>
      </c>
      <c r="C16" s="2" t="s">
        <v>689</v>
      </c>
      <c r="D16">
        <f>VLOOKUP(B16,'Model allocations'!$A$1:$L$319,6,FALSE)</f>
        <v>1736992.6434634493</v>
      </c>
      <c r="E16" s="32">
        <f>VLOOKUP(B16,'Initial adjusted formula count'!$A$1:$P$319,12,FALSE)</f>
        <v>9.6088505842380004E-2</v>
      </c>
      <c r="F16">
        <f>VLOOKUP(B16,'Model allocations'!$A$1:$L$319,11,FALSE)</f>
        <v>1794571.7820482571</v>
      </c>
      <c r="G16" s="31">
        <f t="shared" si="17"/>
        <v>0.85</v>
      </c>
      <c r="H16">
        <f t="shared" si="18"/>
        <v>1476443.7469439318</v>
      </c>
      <c r="I16">
        <f t="shared" si="0"/>
        <v>0</v>
      </c>
      <c r="J16">
        <f t="shared" si="1"/>
        <v>1794571.7820482571</v>
      </c>
      <c r="K16">
        <f t="shared" si="2"/>
        <v>1794207.7418577699</v>
      </c>
      <c r="L16">
        <f t="shared" si="3"/>
        <v>1794207.7418577699</v>
      </c>
      <c r="M16">
        <f t="shared" si="4"/>
        <v>0</v>
      </c>
      <c r="N16" s="30">
        <f t="shared" si="5"/>
        <v>1794207.7418577699</v>
      </c>
      <c r="O16" s="30">
        <f t="shared" si="6"/>
        <v>1794162.04090282</v>
      </c>
      <c r="P16" s="30">
        <f t="shared" si="7"/>
        <v>1794162.04090282</v>
      </c>
      <c r="Q16">
        <f t="shared" si="8"/>
        <v>0</v>
      </c>
      <c r="R16" s="30">
        <f t="shared" si="9"/>
        <v>1794162.04090282</v>
      </c>
      <c r="S16" s="30">
        <f t="shared" si="10"/>
        <v>1794162.0409028211</v>
      </c>
      <c r="T16" s="30">
        <f t="shared" si="11"/>
        <v>1794162.0409028211</v>
      </c>
      <c r="U16">
        <f t="shared" si="12"/>
        <v>0</v>
      </c>
      <c r="V16" s="30">
        <f t="shared" si="13"/>
        <v>1794162.0409028211</v>
      </c>
      <c r="W16" s="30">
        <f t="shared" si="14"/>
        <v>1794162.0409028211</v>
      </c>
      <c r="X16" s="30">
        <f t="shared" si="15"/>
        <v>1794162.0409028211</v>
      </c>
      <c r="Y16">
        <f t="shared" si="16"/>
        <v>0</v>
      </c>
    </row>
    <row r="17" spans="1:25" x14ac:dyDescent="0.25">
      <c r="A17" s="4" t="s">
        <v>690</v>
      </c>
      <c r="B17" s="7" t="s">
        <v>318</v>
      </c>
      <c r="C17" s="2" t="s">
        <v>691</v>
      </c>
      <c r="D17">
        <f>VLOOKUP(B17,'Model allocations'!$A$1:$L$319,6,FALSE)</f>
        <v>9216.4044427772187</v>
      </c>
      <c r="E17" s="32">
        <f>VLOOKUP(B17,'Initial adjusted formula count'!$A$1:$P$319,12,FALSE)</f>
        <v>0.15384615384615399</v>
      </c>
      <c r="F17">
        <f>VLOOKUP(B17,'Model allocations'!$A$1:$L$319,11,FALSE)</f>
        <v>8294.7639984994967</v>
      </c>
      <c r="G17" s="31">
        <f t="shared" si="17"/>
        <v>0.9</v>
      </c>
      <c r="H17">
        <f t="shared" si="18"/>
        <v>8294.7639984994967</v>
      </c>
      <c r="I17">
        <f t="shared" si="0"/>
        <v>0</v>
      </c>
      <c r="J17">
        <f t="shared" si="1"/>
        <v>8294.7639984994967</v>
      </c>
      <c r="K17">
        <f t="shared" si="2"/>
        <v>8293.0813533714118</v>
      </c>
      <c r="L17">
        <f t="shared" si="3"/>
        <v>8293.0813533714118</v>
      </c>
      <c r="M17">
        <f t="shared" si="4"/>
        <v>8294.7639984994967</v>
      </c>
      <c r="N17" s="30">
        <f t="shared" si="5"/>
        <v>0</v>
      </c>
      <c r="O17" s="30">
        <f t="shared" si="6"/>
        <v>0</v>
      </c>
      <c r="P17" s="30">
        <f t="shared" si="7"/>
        <v>8294.7639984994967</v>
      </c>
      <c r="Q17">
        <f t="shared" si="8"/>
        <v>0</v>
      </c>
      <c r="R17" s="30">
        <f t="shared" si="9"/>
        <v>0</v>
      </c>
      <c r="S17" s="30">
        <f t="shared" si="10"/>
        <v>0</v>
      </c>
      <c r="T17" s="30">
        <f t="shared" si="11"/>
        <v>8294.7639984994967</v>
      </c>
      <c r="U17">
        <f t="shared" si="12"/>
        <v>0</v>
      </c>
      <c r="V17" s="30">
        <f t="shared" si="13"/>
        <v>0</v>
      </c>
      <c r="W17" s="30">
        <f t="shared" si="14"/>
        <v>0</v>
      </c>
      <c r="X17" s="30">
        <f t="shared" si="15"/>
        <v>8294.7639984994967</v>
      </c>
      <c r="Y17">
        <f t="shared" si="16"/>
        <v>0</v>
      </c>
    </row>
    <row r="18" spans="1:25" x14ac:dyDescent="0.25">
      <c r="A18" s="4" t="s">
        <v>692</v>
      </c>
      <c r="B18" s="7" t="s">
        <v>320</v>
      </c>
      <c r="C18" s="2" t="s">
        <v>693</v>
      </c>
      <c r="D18">
        <f>VLOOKUP(B18,'Model allocations'!$A$1:$L$319,6,FALSE)</f>
        <v>210659.43516984626</v>
      </c>
      <c r="E18" s="32">
        <f>VLOOKUP(B18,'Initial adjusted formula count'!$A$1:$P$319,12,FALSE)</f>
        <v>0.10877476748888</v>
      </c>
      <c r="F18">
        <f>VLOOKUP(B18,'Model allocations'!$A$1:$L$319,11,FALSE)</f>
        <v>179060.51989436932</v>
      </c>
      <c r="G18" s="31">
        <f t="shared" si="17"/>
        <v>0.85</v>
      </c>
      <c r="H18">
        <f t="shared" si="18"/>
        <v>179060.51989436932</v>
      </c>
      <c r="I18">
        <f t="shared" si="0"/>
        <v>0</v>
      </c>
      <c r="J18">
        <f t="shared" si="1"/>
        <v>179060.51989436932</v>
      </c>
      <c r="K18">
        <f t="shared" si="2"/>
        <v>179024.19633995753</v>
      </c>
      <c r="L18">
        <f t="shared" si="3"/>
        <v>179024.19633995753</v>
      </c>
      <c r="M18">
        <f t="shared" si="4"/>
        <v>179060.51989436932</v>
      </c>
      <c r="N18" s="30">
        <f t="shared" si="5"/>
        <v>0</v>
      </c>
      <c r="O18" s="30">
        <f t="shared" si="6"/>
        <v>0</v>
      </c>
      <c r="P18" s="30">
        <f t="shared" si="7"/>
        <v>179060.51989436932</v>
      </c>
      <c r="Q18">
        <f t="shared" si="8"/>
        <v>0</v>
      </c>
      <c r="R18" s="30">
        <f t="shared" si="9"/>
        <v>0</v>
      </c>
      <c r="S18" s="30">
        <f t="shared" si="10"/>
        <v>0</v>
      </c>
      <c r="T18" s="30">
        <f t="shared" si="11"/>
        <v>179060.51989436932</v>
      </c>
      <c r="U18">
        <f t="shared" si="12"/>
        <v>0</v>
      </c>
      <c r="V18" s="30">
        <f t="shared" si="13"/>
        <v>0</v>
      </c>
      <c r="W18" s="30">
        <f t="shared" si="14"/>
        <v>0</v>
      </c>
      <c r="X18" s="30">
        <f t="shared" si="15"/>
        <v>179060.51989436932</v>
      </c>
      <c r="Y18">
        <f t="shared" si="16"/>
        <v>0</v>
      </c>
    </row>
    <row r="19" spans="1:25" x14ac:dyDescent="0.25">
      <c r="A19" s="4" t="s">
        <v>694</v>
      </c>
      <c r="B19" s="7" t="s">
        <v>322</v>
      </c>
      <c r="C19" s="2" t="s">
        <v>695</v>
      </c>
      <c r="D19">
        <f>VLOOKUP(B19,'Model allocations'!$A$1:$L$319,6,FALSE)</f>
        <v>15704.687968960267</v>
      </c>
      <c r="E19" s="32">
        <f>VLOOKUP(B19,'Initial adjusted formula count'!$A$1:$P$319,12,FALSE)</f>
        <v>0.13953488372093001</v>
      </c>
      <c r="F19">
        <f>VLOOKUP(B19,'Model allocations'!$A$1:$L$319,11,FALSE)</f>
        <v>17028.990498639167</v>
      </c>
      <c r="G19" s="31">
        <f t="shared" si="17"/>
        <v>0.85</v>
      </c>
      <c r="H19">
        <f t="shared" si="18"/>
        <v>13348.984773616226</v>
      </c>
      <c r="I19">
        <f t="shared" si="0"/>
        <v>0</v>
      </c>
      <c r="J19">
        <f t="shared" si="1"/>
        <v>17028.990498639167</v>
      </c>
      <c r="K19">
        <f t="shared" si="2"/>
        <v>17025.536060646245</v>
      </c>
      <c r="L19">
        <f t="shared" si="3"/>
        <v>17025.536060646245</v>
      </c>
      <c r="M19">
        <f t="shared" si="4"/>
        <v>0</v>
      </c>
      <c r="N19" s="30">
        <f t="shared" si="5"/>
        <v>17025.536060646245</v>
      </c>
      <c r="O19" s="30">
        <f t="shared" si="6"/>
        <v>17025.102396673923</v>
      </c>
      <c r="P19" s="30">
        <f t="shared" si="7"/>
        <v>17025.102396673923</v>
      </c>
      <c r="Q19">
        <f t="shared" si="8"/>
        <v>0</v>
      </c>
      <c r="R19" s="30">
        <f t="shared" si="9"/>
        <v>17025.102396673923</v>
      </c>
      <c r="S19" s="30">
        <f t="shared" si="10"/>
        <v>17025.102396673934</v>
      </c>
      <c r="T19" s="30">
        <f t="shared" si="11"/>
        <v>17025.102396673934</v>
      </c>
      <c r="U19">
        <f t="shared" si="12"/>
        <v>0</v>
      </c>
      <c r="V19" s="30">
        <f t="shared" si="13"/>
        <v>17025.102396673934</v>
      </c>
      <c r="W19" s="30">
        <f t="shared" si="14"/>
        <v>17025.102396673934</v>
      </c>
      <c r="X19" s="30">
        <f t="shared" si="15"/>
        <v>17025.102396673934</v>
      </c>
      <c r="Y19">
        <f t="shared" si="16"/>
        <v>0</v>
      </c>
    </row>
    <row r="20" spans="1:25" x14ac:dyDescent="0.25">
      <c r="A20" s="4" t="s">
        <v>10</v>
      </c>
      <c r="B20" s="7" t="s">
        <v>58</v>
      </c>
      <c r="C20" s="2" t="s">
        <v>696</v>
      </c>
      <c r="D20">
        <f>VLOOKUP(B20,'Model allocations'!$A$1:$L$319,6,FALSE)</f>
        <v>507388.67375213397</v>
      </c>
      <c r="E20" s="32">
        <f>VLOOKUP(B20,'Initial adjusted formula count'!$A$1:$P$319,12,FALSE)</f>
        <v>0.19495978101349801</v>
      </c>
      <c r="F20">
        <f>VLOOKUP(B20,'Model allocations'!$A$1:$L$319,11,FALSE)</f>
        <v>631054.64545464399</v>
      </c>
      <c r="G20" s="31">
        <f t="shared" si="17"/>
        <v>0.9</v>
      </c>
      <c r="H20">
        <f t="shared" si="18"/>
        <v>456649.80637692061</v>
      </c>
      <c r="I20">
        <f t="shared" si="0"/>
        <v>0</v>
      </c>
      <c r="J20">
        <f t="shared" si="1"/>
        <v>631054.64545464399</v>
      </c>
      <c r="K20">
        <f t="shared" si="2"/>
        <v>630926.63204462756</v>
      </c>
      <c r="L20">
        <f t="shared" si="3"/>
        <v>630926.63204462756</v>
      </c>
      <c r="M20">
        <f t="shared" si="4"/>
        <v>0</v>
      </c>
      <c r="N20" s="30">
        <f t="shared" si="5"/>
        <v>630926.63204462756</v>
      </c>
      <c r="O20" s="30">
        <f t="shared" si="6"/>
        <v>630910.56146990252</v>
      </c>
      <c r="P20" s="30">
        <f t="shared" si="7"/>
        <v>630910.56146990252</v>
      </c>
      <c r="Q20">
        <f t="shared" si="8"/>
        <v>0</v>
      </c>
      <c r="R20" s="30">
        <f t="shared" si="9"/>
        <v>630910.56146990252</v>
      </c>
      <c r="S20" s="30">
        <f t="shared" si="10"/>
        <v>630910.56146990287</v>
      </c>
      <c r="T20" s="30">
        <f t="shared" si="11"/>
        <v>630910.56146990287</v>
      </c>
      <c r="U20">
        <f t="shared" si="12"/>
        <v>0</v>
      </c>
      <c r="V20" s="30">
        <f t="shared" si="13"/>
        <v>630910.56146990287</v>
      </c>
      <c r="W20" s="30">
        <f t="shared" si="14"/>
        <v>630910.56146990287</v>
      </c>
      <c r="X20" s="30">
        <f t="shared" si="15"/>
        <v>630910.56146990287</v>
      </c>
      <c r="Y20">
        <f t="shared" si="16"/>
        <v>0</v>
      </c>
    </row>
    <row r="21" spans="1:25" x14ac:dyDescent="0.25">
      <c r="A21" s="4" t="s">
        <v>697</v>
      </c>
      <c r="B21" s="7" t="s">
        <v>324</v>
      </c>
      <c r="C21" s="2" t="s">
        <v>698</v>
      </c>
      <c r="D21">
        <f>VLOOKUP(B21,'Model allocations'!$A$1:$L$319,6,FALSE)</f>
        <v>205524.30237483457</v>
      </c>
      <c r="E21" s="32">
        <f>VLOOKUP(B21,'Initial adjusted formula count'!$A$1:$P$319,12,FALSE)</f>
        <v>0.19628099173553701</v>
      </c>
      <c r="F21">
        <f>VLOOKUP(B21,'Model allocations'!$A$1:$L$319,11,FALSE)</f>
        <v>184971.87213735111</v>
      </c>
      <c r="G21" s="31">
        <f t="shared" si="17"/>
        <v>0.9</v>
      </c>
      <c r="H21">
        <f t="shared" si="18"/>
        <v>184971.87213735111</v>
      </c>
      <c r="I21">
        <f t="shared" si="0"/>
        <v>0</v>
      </c>
      <c r="J21">
        <f t="shared" si="1"/>
        <v>184971.87213735111</v>
      </c>
      <c r="K21">
        <f t="shared" si="2"/>
        <v>184934.34942789961</v>
      </c>
      <c r="L21">
        <f t="shared" si="3"/>
        <v>184934.34942789961</v>
      </c>
      <c r="M21">
        <f t="shared" si="4"/>
        <v>184971.87213735111</v>
      </c>
      <c r="N21" s="30">
        <f t="shared" si="5"/>
        <v>0</v>
      </c>
      <c r="O21" s="30">
        <f t="shared" si="6"/>
        <v>0</v>
      </c>
      <c r="P21" s="30">
        <f t="shared" si="7"/>
        <v>184971.87213735111</v>
      </c>
      <c r="Q21">
        <f t="shared" si="8"/>
        <v>0</v>
      </c>
      <c r="R21" s="30">
        <f t="shared" si="9"/>
        <v>0</v>
      </c>
      <c r="S21" s="30">
        <f t="shared" si="10"/>
        <v>0</v>
      </c>
      <c r="T21" s="30">
        <f t="shared" si="11"/>
        <v>184971.87213735111</v>
      </c>
      <c r="U21">
        <f t="shared" si="12"/>
        <v>0</v>
      </c>
      <c r="V21" s="30">
        <f t="shared" si="13"/>
        <v>0</v>
      </c>
      <c r="W21" s="30">
        <f t="shared" si="14"/>
        <v>0</v>
      </c>
      <c r="X21" s="30">
        <f t="shared" si="15"/>
        <v>184971.87213735111</v>
      </c>
      <c r="Y21">
        <f t="shared" si="16"/>
        <v>0</v>
      </c>
    </row>
    <row r="22" spans="1:25" x14ac:dyDescent="0.25">
      <c r="A22" s="4" t="s">
        <v>699</v>
      </c>
      <c r="B22" s="7" t="s">
        <v>326</v>
      </c>
      <c r="C22" s="2" t="s">
        <v>700</v>
      </c>
      <c r="D22">
        <f>VLOOKUP(B22,'Model allocations'!$A$1:$L$319,6,FALSE)</f>
        <v>169029.82738040146</v>
      </c>
      <c r="E22" s="32">
        <f>VLOOKUP(B22,'Initial adjusted formula count'!$A$1:$P$319,12,FALSE)</f>
        <v>0.24076809453471201</v>
      </c>
      <c r="F22">
        <f>VLOOKUP(B22,'Model allocations'!$A$1:$L$319,11,FALSE)</f>
        <v>152126.84464236131</v>
      </c>
      <c r="G22" s="31">
        <f t="shared" si="17"/>
        <v>0.9</v>
      </c>
      <c r="H22">
        <f t="shared" si="18"/>
        <v>152126.84464236131</v>
      </c>
      <c r="I22">
        <f t="shared" si="0"/>
        <v>0</v>
      </c>
      <c r="J22">
        <f t="shared" si="1"/>
        <v>152126.84464236131</v>
      </c>
      <c r="K22">
        <f t="shared" si="2"/>
        <v>152095.98475363699</v>
      </c>
      <c r="L22">
        <f t="shared" si="3"/>
        <v>152095.98475363699</v>
      </c>
      <c r="M22">
        <f t="shared" si="4"/>
        <v>152126.84464236131</v>
      </c>
      <c r="N22" s="30">
        <f t="shared" si="5"/>
        <v>0</v>
      </c>
      <c r="O22" s="30">
        <f t="shared" si="6"/>
        <v>0</v>
      </c>
      <c r="P22" s="30">
        <f t="shared" si="7"/>
        <v>152126.84464236131</v>
      </c>
      <c r="Q22">
        <f t="shared" si="8"/>
        <v>0</v>
      </c>
      <c r="R22" s="30">
        <f t="shared" si="9"/>
        <v>0</v>
      </c>
      <c r="S22" s="30">
        <f t="shared" si="10"/>
        <v>0</v>
      </c>
      <c r="T22" s="30">
        <f t="shared" si="11"/>
        <v>152126.84464236131</v>
      </c>
      <c r="U22">
        <f t="shared" si="12"/>
        <v>0</v>
      </c>
      <c r="V22" s="30">
        <f t="shared" si="13"/>
        <v>0</v>
      </c>
      <c r="W22" s="30">
        <f t="shared" si="14"/>
        <v>0</v>
      </c>
      <c r="X22" s="30">
        <f t="shared" si="15"/>
        <v>152126.84464236131</v>
      </c>
      <c r="Y22">
        <f t="shared" si="16"/>
        <v>0</v>
      </c>
    </row>
    <row r="23" spans="1:25" x14ac:dyDescent="0.25">
      <c r="A23" s="4" t="s">
        <v>701</v>
      </c>
      <c r="B23" s="7" t="s">
        <v>328</v>
      </c>
      <c r="C23" s="2" t="s">
        <v>702</v>
      </c>
      <c r="D23">
        <f>VLOOKUP(B23,'Model allocations'!$A$1:$L$319,6,FALSE)</f>
        <v>25259.826284999024</v>
      </c>
      <c r="E23" s="32">
        <f>VLOOKUP(B23,'Initial adjusted formula count'!$A$1:$P$319,12,FALSE)</f>
        <v>0.232758620689655</v>
      </c>
      <c r="F23">
        <f>VLOOKUP(B23,'Model allocations'!$A$1:$L$319,11,FALSE)</f>
        <v>22733.843656499121</v>
      </c>
      <c r="G23" s="31">
        <f t="shared" si="17"/>
        <v>0.9</v>
      </c>
      <c r="H23">
        <f t="shared" si="18"/>
        <v>22733.843656499121</v>
      </c>
      <c r="I23">
        <f t="shared" si="0"/>
        <v>0</v>
      </c>
      <c r="J23">
        <f t="shared" si="1"/>
        <v>22733.843656499121</v>
      </c>
      <c r="K23">
        <f t="shared" si="2"/>
        <v>22729.231953106697</v>
      </c>
      <c r="L23">
        <f t="shared" si="3"/>
        <v>22729.231953106697</v>
      </c>
      <c r="M23">
        <f t="shared" si="4"/>
        <v>22733.843656499121</v>
      </c>
      <c r="N23" s="30">
        <f t="shared" si="5"/>
        <v>0</v>
      </c>
      <c r="O23" s="30">
        <f t="shared" si="6"/>
        <v>0</v>
      </c>
      <c r="P23" s="30">
        <f t="shared" si="7"/>
        <v>22733.843656499121</v>
      </c>
      <c r="Q23">
        <f t="shared" si="8"/>
        <v>0</v>
      </c>
      <c r="R23" s="30">
        <f t="shared" si="9"/>
        <v>0</v>
      </c>
      <c r="S23" s="30">
        <f t="shared" si="10"/>
        <v>0</v>
      </c>
      <c r="T23" s="30">
        <f t="shared" si="11"/>
        <v>22733.843656499121</v>
      </c>
      <c r="U23">
        <f t="shared" si="12"/>
        <v>0</v>
      </c>
      <c r="V23" s="30">
        <f t="shared" si="13"/>
        <v>0</v>
      </c>
      <c r="W23" s="30">
        <f t="shared" si="14"/>
        <v>0</v>
      </c>
      <c r="X23" s="30">
        <f t="shared" si="15"/>
        <v>22733.843656499121</v>
      </c>
      <c r="Y23">
        <f t="shared" si="16"/>
        <v>0</v>
      </c>
    </row>
    <row r="24" spans="1:25" x14ac:dyDescent="0.25">
      <c r="A24" s="4" t="s">
        <v>703</v>
      </c>
      <c r="B24" s="7" t="s">
        <v>330</v>
      </c>
      <c r="C24" s="2" t="s">
        <v>704</v>
      </c>
      <c r="D24">
        <f>VLOOKUP(B24,'Model allocations'!$A$1:$L$319,6,FALSE)</f>
        <v>274019.72801013419</v>
      </c>
      <c r="E24" s="32">
        <f>VLOOKUP(B24,'Initial adjusted formula count'!$A$1:$P$319,12,FALSE)</f>
        <v>0.107497984412792</v>
      </c>
      <c r="F24">
        <f>VLOOKUP(B24,'Model allocations'!$A$1:$L$319,11,FALSE)</f>
        <v>232916.76880861406</v>
      </c>
      <c r="G24" s="31">
        <f t="shared" si="17"/>
        <v>0.85</v>
      </c>
      <c r="H24">
        <f t="shared" si="18"/>
        <v>232916.76880861406</v>
      </c>
      <c r="I24">
        <f t="shared" si="0"/>
        <v>0</v>
      </c>
      <c r="J24">
        <f t="shared" si="1"/>
        <v>232916.76880861406</v>
      </c>
      <c r="K24">
        <f t="shared" si="2"/>
        <v>232869.52017485478</v>
      </c>
      <c r="L24">
        <f t="shared" si="3"/>
        <v>232869.52017485478</v>
      </c>
      <c r="M24">
        <f t="shared" si="4"/>
        <v>232916.76880861406</v>
      </c>
      <c r="N24" s="30">
        <f t="shared" si="5"/>
        <v>0</v>
      </c>
      <c r="O24" s="30">
        <f t="shared" si="6"/>
        <v>0</v>
      </c>
      <c r="P24" s="30">
        <f t="shared" si="7"/>
        <v>232916.76880861406</v>
      </c>
      <c r="Q24">
        <f t="shared" si="8"/>
        <v>0</v>
      </c>
      <c r="R24" s="30">
        <f t="shared" si="9"/>
        <v>0</v>
      </c>
      <c r="S24" s="30">
        <f t="shared" si="10"/>
        <v>0</v>
      </c>
      <c r="T24" s="30">
        <f t="shared" si="11"/>
        <v>232916.76880861406</v>
      </c>
      <c r="U24">
        <f t="shared" si="12"/>
        <v>0</v>
      </c>
      <c r="V24" s="30">
        <f t="shared" si="13"/>
        <v>0</v>
      </c>
      <c r="W24" s="30">
        <f t="shared" si="14"/>
        <v>0</v>
      </c>
      <c r="X24" s="30">
        <f t="shared" si="15"/>
        <v>232916.76880861406</v>
      </c>
      <c r="Y24">
        <f t="shared" si="16"/>
        <v>0</v>
      </c>
    </row>
    <row r="25" spans="1:25" x14ac:dyDescent="0.25">
      <c r="A25" s="4" t="s">
        <v>705</v>
      </c>
      <c r="B25" s="7" t="s">
        <v>105</v>
      </c>
      <c r="C25" s="2" t="s">
        <v>706</v>
      </c>
      <c r="D25">
        <f>VLOOKUP(B25,'Model allocations'!$A$1:$L$319,6,FALSE)</f>
        <v>0</v>
      </c>
      <c r="E25" s="32">
        <f>VLOOKUP(B25,'Initial adjusted formula count'!$A$1:$P$319,12,FALSE)</f>
        <v>3.4287257019438397E-2</v>
      </c>
      <c r="F25">
        <f>VLOOKUP(B25,'Model allocations'!$A$1:$L$319,11,FALSE)</f>
        <v>0</v>
      </c>
      <c r="G25" s="31">
        <f t="shared" si="17"/>
        <v>0.85</v>
      </c>
      <c r="H25">
        <f t="shared" si="18"/>
        <v>0</v>
      </c>
      <c r="I25">
        <f t="shared" si="0"/>
        <v>0</v>
      </c>
      <c r="J25">
        <f t="shared" si="1"/>
        <v>0</v>
      </c>
      <c r="K25">
        <f t="shared" si="2"/>
        <v>0</v>
      </c>
      <c r="L25">
        <f t="shared" si="3"/>
        <v>0</v>
      </c>
      <c r="M25">
        <f t="shared" si="4"/>
        <v>0</v>
      </c>
      <c r="N25" s="30">
        <f t="shared" si="5"/>
        <v>0</v>
      </c>
      <c r="O25" s="30">
        <f t="shared" si="6"/>
        <v>0</v>
      </c>
      <c r="P25" s="30">
        <f t="shared" si="7"/>
        <v>0</v>
      </c>
      <c r="Q25">
        <f t="shared" si="8"/>
        <v>0</v>
      </c>
      <c r="R25" s="30">
        <f t="shared" si="9"/>
        <v>0</v>
      </c>
      <c r="S25" s="30">
        <f t="shared" si="10"/>
        <v>0</v>
      </c>
      <c r="T25" s="30">
        <f t="shared" si="11"/>
        <v>0</v>
      </c>
      <c r="U25">
        <f t="shared" si="12"/>
        <v>0</v>
      </c>
      <c r="V25" s="30">
        <f t="shared" si="13"/>
        <v>0</v>
      </c>
      <c r="W25" s="30">
        <f t="shared" si="14"/>
        <v>0</v>
      </c>
      <c r="X25" s="30">
        <f t="shared" si="15"/>
        <v>0</v>
      </c>
      <c r="Y25">
        <f t="shared" si="16"/>
        <v>0</v>
      </c>
    </row>
    <row r="26" spans="1:25" x14ac:dyDescent="0.25">
      <c r="A26" s="4" t="s">
        <v>707</v>
      </c>
      <c r="B26" s="7" t="s">
        <v>332</v>
      </c>
      <c r="C26" s="2" t="s">
        <v>708</v>
      </c>
      <c r="D26">
        <f>VLOOKUP(B26,'Model allocations'!$A$1:$L$319,6,FALSE)</f>
        <v>91605.945848337316</v>
      </c>
      <c r="E26" s="32">
        <f>VLOOKUP(B26,'Initial adjusted formula count'!$A$1:$P$319,12,FALSE)</f>
        <v>0.20909090909090899</v>
      </c>
      <c r="F26">
        <f>VLOOKUP(B26,'Model allocations'!$A$1:$L$319,11,FALSE)</f>
        <v>82445.351263503588</v>
      </c>
      <c r="G26" s="31">
        <f t="shared" si="17"/>
        <v>0.9</v>
      </c>
      <c r="H26">
        <f t="shared" si="18"/>
        <v>82445.351263503588</v>
      </c>
      <c r="I26">
        <f t="shared" si="0"/>
        <v>0</v>
      </c>
      <c r="J26">
        <f t="shared" si="1"/>
        <v>82445.351263503588</v>
      </c>
      <c r="K26">
        <f t="shared" si="2"/>
        <v>82428.626704653958</v>
      </c>
      <c r="L26">
        <f t="shared" si="3"/>
        <v>82428.626704653958</v>
      </c>
      <c r="M26">
        <f t="shared" si="4"/>
        <v>82445.351263503588</v>
      </c>
      <c r="N26" s="30">
        <f t="shared" si="5"/>
        <v>0</v>
      </c>
      <c r="O26" s="30">
        <f t="shared" si="6"/>
        <v>0</v>
      </c>
      <c r="P26" s="30">
        <f t="shared" si="7"/>
        <v>82445.351263503588</v>
      </c>
      <c r="Q26">
        <f t="shared" si="8"/>
        <v>0</v>
      </c>
      <c r="R26" s="30">
        <f t="shared" si="9"/>
        <v>0</v>
      </c>
      <c r="S26" s="30">
        <f t="shared" si="10"/>
        <v>0</v>
      </c>
      <c r="T26" s="30">
        <f t="shared" si="11"/>
        <v>82445.351263503588</v>
      </c>
      <c r="U26">
        <f t="shared" si="12"/>
        <v>0</v>
      </c>
      <c r="V26" s="30">
        <f t="shared" si="13"/>
        <v>0</v>
      </c>
      <c r="W26" s="30">
        <f t="shared" si="14"/>
        <v>0</v>
      </c>
      <c r="X26" s="30">
        <f t="shared" si="15"/>
        <v>82445.351263503588</v>
      </c>
      <c r="Y26">
        <f t="shared" si="16"/>
        <v>0</v>
      </c>
    </row>
    <row r="27" spans="1:25" x14ac:dyDescent="0.25">
      <c r="A27" s="4" t="s">
        <v>709</v>
      </c>
      <c r="B27" s="7" t="s">
        <v>107</v>
      </c>
      <c r="C27" s="2" t="s">
        <v>710</v>
      </c>
      <c r="D27">
        <f>VLOOKUP(B27,'Model allocations'!$A$1:$L$319,6,FALSE)</f>
        <v>10289.278324491208</v>
      </c>
      <c r="E27" s="32">
        <f>VLOOKUP(B27,'Initial adjusted formula count'!$A$1:$P$319,12,FALSE)</f>
        <v>3.3653846153846201E-2</v>
      </c>
      <c r="F27">
        <f>VLOOKUP(B27,'Model allocations'!$A$1:$L$319,11,FALSE)</f>
        <v>0</v>
      </c>
      <c r="G27" s="31">
        <f t="shared" si="17"/>
        <v>0.85</v>
      </c>
      <c r="H27">
        <f t="shared" si="18"/>
        <v>0</v>
      </c>
      <c r="I27">
        <f t="shared" si="0"/>
        <v>0</v>
      </c>
      <c r="J27">
        <f t="shared" si="1"/>
        <v>0</v>
      </c>
      <c r="K27">
        <f t="shared" si="2"/>
        <v>0</v>
      </c>
      <c r="L27">
        <f t="shared" si="3"/>
        <v>0</v>
      </c>
      <c r="M27">
        <f t="shared" si="4"/>
        <v>0</v>
      </c>
      <c r="N27" s="30">
        <f t="shared" si="5"/>
        <v>0</v>
      </c>
      <c r="O27" s="30">
        <f t="shared" si="6"/>
        <v>0</v>
      </c>
      <c r="P27" s="30">
        <f t="shared" si="7"/>
        <v>0</v>
      </c>
      <c r="Q27">
        <f t="shared" si="8"/>
        <v>0</v>
      </c>
      <c r="R27" s="30">
        <f t="shared" si="9"/>
        <v>0</v>
      </c>
      <c r="S27" s="30">
        <f t="shared" si="10"/>
        <v>0</v>
      </c>
      <c r="T27" s="30">
        <f t="shared" si="11"/>
        <v>0</v>
      </c>
      <c r="U27">
        <f t="shared" si="12"/>
        <v>0</v>
      </c>
      <c r="V27" s="30">
        <f t="shared" si="13"/>
        <v>0</v>
      </c>
      <c r="W27" s="30">
        <f t="shared" si="14"/>
        <v>0</v>
      </c>
      <c r="X27" s="30">
        <f t="shared" si="15"/>
        <v>0</v>
      </c>
      <c r="Y27">
        <f t="shared" si="16"/>
        <v>0</v>
      </c>
    </row>
    <row r="28" spans="1:25" x14ac:dyDescent="0.25">
      <c r="A28" s="4" t="s">
        <v>711</v>
      </c>
      <c r="B28" s="7" t="s">
        <v>334</v>
      </c>
      <c r="C28" s="2" t="s">
        <v>712</v>
      </c>
      <c r="D28">
        <f>VLOOKUP(B28,'Model allocations'!$A$1:$L$319,6,FALSE)</f>
        <v>95311.20974265541</v>
      </c>
      <c r="E28" s="32">
        <f>VLOOKUP(B28,'Initial adjusted formula count'!$A$1:$P$319,12,FALSE)</f>
        <v>0.11389961389961401</v>
      </c>
      <c r="F28">
        <f>VLOOKUP(B28,'Model allocations'!$A$1:$L$319,11,FALSE)</f>
        <v>100471.04394197105</v>
      </c>
      <c r="G28" s="31">
        <f t="shared" si="17"/>
        <v>0.85</v>
      </c>
      <c r="H28">
        <f t="shared" si="18"/>
        <v>81014.528281257095</v>
      </c>
      <c r="I28">
        <f t="shared" si="0"/>
        <v>0</v>
      </c>
      <c r="J28">
        <f t="shared" si="1"/>
        <v>100471.04394197105</v>
      </c>
      <c r="K28">
        <f t="shared" si="2"/>
        <v>100450.66275781281</v>
      </c>
      <c r="L28">
        <f t="shared" si="3"/>
        <v>100450.66275781281</v>
      </c>
      <c r="M28">
        <f t="shared" si="4"/>
        <v>0</v>
      </c>
      <c r="N28" s="30">
        <f t="shared" si="5"/>
        <v>100450.66275781281</v>
      </c>
      <c r="O28" s="30">
        <f t="shared" si="6"/>
        <v>100448.10414037612</v>
      </c>
      <c r="P28" s="30">
        <f t="shared" si="7"/>
        <v>100448.10414037612</v>
      </c>
      <c r="Q28">
        <f t="shared" si="8"/>
        <v>0</v>
      </c>
      <c r="R28" s="30">
        <f t="shared" si="9"/>
        <v>100448.10414037612</v>
      </c>
      <c r="S28" s="30">
        <f t="shared" si="10"/>
        <v>100448.10414037619</v>
      </c>
      <c r="T28" s="30">
        <f t="shared" si="11"/>
        <v>100448.10414037619</v>
      </c>
      <c r="U28">
        <f t="shared" si="12"/>
        <v>0</v>
      </c>
      <c r="V28" s="30">
        <f t="shared" si="13"/>
        <v>100448.10414037619</v>
      </c>
      <c r="W28" s="30">
        <f t="shared" si="14"/>
        <v>100448.10414037619</v>
      </c>
      <c r="X28" s="30">
        <f t="shared" si="15"/>
        <v>100448.10414037619</v>
      </c>
      <c r="Y28">
        <f t="shared" si="16"/>
        <v>0</v>
      </c>
    </row>
    <row r="29" spans="1:25" x14ac:dyDescent="0.25">
      <c r="A29" s="4" t="s">
        <v>713</v>
      </c>
      <c r="B29" s="7" t="s">
        <v>336</v>
      </c>
      <c r="C29" s="2" t="s">
        <v>714</v>
      </c>
      <c r="D29">
        <f>VLOOKUP(B29,'Model allocations'!$A$1:$L$319,6,FALSE)</f>
        <v>108849.73385382805</v>
      </c>
      <c r="E29" s="32">
        <f>VLOOKUP(B29,'Initial adjusted formula count'!$A$1:$P$319,12,FALSE)</f>
        <v>0.112967914438503</v>
      </c>
      <c r="F29">
        <f>VLOOKUP(B29,'Model allocations'!$A$1:$L$319,11,FALSE)</f>
        <v>95929.979809000608</v>
      </c>
      <c r="G29" s="31">
        <f t="shared" si="17"/>
        <v>0.85</v>
      </c>
      <c r="H29">
        <f t="shared" si="18"/>
        <v>92522.273775753842</v>
      </c>
      <c r="I29">
        <f t="shared" si="0"/>
        <v>0</v>
      </c>
      <c r="J29">
        <f t="shared" si="1"/>
        <v>95929.979809000608</v>
      </c>
      <c r="K29">
        <f t="shared" si="2"/>
        <v>95910.519808307145</v>
      </c>
      <c r="L29">
        <f t="shared" si="3"/>
        <v>95910.519808307145</v>
      </c>
      <c r="M29">
        <f t="shared" si="4"/>
        <v>0</v>
      </c>
      <c r="N29" s="30">
        <f t="shared" si="5"/>
        <v>95910.519808307145</v>
      </c>
      <c r="O29" s="30">
        <f t="shared" si="6"/>
        <v>95908.076834596402</v>
      </c>
      <c r="P29" s="30">
        <f t="shared" si="7"/>
        <v>95908.076834596402</v>
      </c>
      <c r="Q29">
        <f t="shared" si="8"/>
        <v>0</v>
      </c>
      <c r="R29" s="30">
        <f t="shared" si="9"/>
        <v>95908.076834596402</v>
      </c>
      <c r="S29" s="30">
        <f t="shared" si="10"/>
        <v>95908.076834596475</v>
      </c>
      <c r="T29" s="30">
        <f t="shared" si="11"/>
        <v>95908.076834596475</v>
      </c>
      <c r="U29">
        <f t="shared" si="12"/>
        <v>0</v>
      </c>
      <c r="V29" s="30">
        <f t="shared" si="13"/>
        <v>95908.076834596475</v>
      </c>
      <c r="W29" s="30">
        <f t="shared" si="14"/>
        <v>95908.076834596475</v>
      </c>
      <c r="X29" s="30">
        <f t="shared" si="15"/>
        <v>95908.076834596475</v>
      </c>
      <c r="Y29">
        <f t="shared" si="16"/>
        <v>0</v>
      </c>
    </row>
    <row r="30" spans="1:25" x14ac:dyDescent="0.25">
      <c r="A30" s="4" t="s">
        <v>715</v>
      </c>
      <c r="B30" s="7" t="s">
        <v>109</v>
      </c>
      <c r="C30" s="2" t="s">
        <v>716</v>
      </c>
      <c r="D30">
        <f>VLOOKUP(B30,'Model allocations'!$A$1:$L$319,6,FALSE)</f>
        <v>106683.5699960404</v>
      </c>
      <c r="E30" s="32">
        <f>VLOOKUP(B30,'Initial adjusted formula count'!$A$1:$P$319,12,FALSE)</f>
        <v>0.111858190709046</v>
      </c>
      <c r="F30">
        <f>VLOOKUP(B30,'Model allocations'!$A$1:$L$319,11,FALSE)</f>
        <v>103876.84204169888</v>
      </c>
      <c r="G30" s="31">
        <f t="shared" si="17"/>
        <v>0.85</v>
      </c>
      <c r="H30">
        <f t="shared" si="18"/>
        <v>90681.03449663434</v>
      </c>
      <c r="I30">
        <f t="shared" si="0"/>
        <v>0</v>
      </c>
      <c r="J30">
        <f t="shared" si="1"/>
        <v>103876.84204169888</v>
      </c>
      <c r="K30">
        <f t="shared" si="2"/>
        <v>103855.76996994208</v>
      </c>
      <c r="L30">
        <f t="shared" si="3"/>
        <v>103855.76996994208</v>
      </c>
      <c r="M30">
        <f t="shared" si="4"/>
        <v>0</v>
      </c>
      <c r="N30" s="30">
        <f t="shared" si="5"/>
        <v>103855.76996994208</v>
      </c>
      <c r="O30" s="30">
        <f t="shared" si="6"/>
        <v>103853.12461971091</v>
      </c>
      <c r="P30" s="30">
        <f t="shared" si="7"/>
        <v>103853.12461971091</v>
      </c>
      <c r="Q30">
        <f t="shared" si="8"/>
        <v>0</v>
      </c>
      <c r="R30" s="30">
        <f t="shared" si="9"/>
        <v>103853.12461971091</v>
      </c>
      <c r="S30" s="30">
        <f t="shared" si="10"/>
        <v>103853.12461971099</v>
      </c>
      <c r="T30" s="30">
        <f t="shared" si="11"/>
        <v>103853.12461971099</v>
      </c>
      <c r="U30">
        <f t="shared" si="12"/>
        <v>0</v>
      </c>
      <c r="V30" s="30">
        <f t="shared" si="13"/>
        <v>103853.12461971099</v>
      </c>
      <c r="W30" s="30">
        <f t="shared" si="14"/>
        <v>103853.12461971099</v>
      </c>
      <c r="X30" s="30">
        <f t="shared" si="15"/>
        <v>103853.12461971099</v>
      </c>
      <c r="Y30">
        <f t="shared" si="16"/>
        <v>0</v>
      </c>
    </row>
    <row r="31" spans="1:25" x14ac:dyDescent="0.25">
      <c r="A31" s="4" t="s">
        <v>8</v>
      </c>
      <c r="B31" s="7" t="s">
        <v>69</v>
      </c>
      <c r="C31" s="2" t="s">
        <v>717</v>
      </c>
      <c r="D31">
        <f>VLOOKUP(B31,'Model allocations'!$A$1:$L$319,6,FALSE)</f>
        <v>51984.830021269336</v>
      </c>
      <c r="E31" s="32">
        <f>VLOOKUP(B31,'Initial adjusted formula count'!$A$1:$P$319,12,FALSE)</f>
        <v>0.13928522931482101</v>
      </c>
      <c r="F31">
        <f>VLOOKUP(B31,'Model allocations'!$A$1:$L$319,11,FALSE)</f>
        <v>56575.377516384979</v>
      </c>
      <c r="G31" s="31">
        <f t="shared" si="17"/>
        <v>0.85</v>
      </c>
      <c r="H31">
        <f t="shared" si="18"/>
        <v>44187.105518078934</v>
      </c>
      <c r="I31">
        <f t="shared" si="0"/>
        <v>0</v>
      </c>
      <c r="J31">
        <f t="shared" si="1"/>
        <v>56575.377516384979</v>
      </c>
      <c r="K31">
        <f t="shared" si="2"/>
        <v>56563.900844671996</v>
      </c>
      <c r="L31">
        <f t="shared" si="3"/>
        <v>56563.900844671996</v>
      </c>
      <c r="M31">
        <f t="shared" si="4"/>
        <v>0</v>
      </c>
      <c r="N31" s="30">
        <f t="shared" si="5"/>
        <v>56563.900844671996</v>
      </c>
      <c r="O31" s="30">
        <f t="shared" si="6"/>
        <v>56562.460083814716</v>
      </c>
      <c r="P31" s="30">
        <f t="shared" si="7"/>
        <v>56562.460083814716</v>
      </c>
      <c r="Q31">
        <f t="shared" si="8"/>
        <v>0</v>
      </c>
      <c r="R31" s="30">
        <f t="shared" si="9"/>
        <v>56562.460083814716</v>
      </c>
      <c r="S31" s="30">
        <f t="shared" si="10"/>
        <v>56562.46008381476</v>
      </c>
      <c r="T31" s="30">
        <f t="shared" si="11"/>
        <v>56562.46008381476</v>
      </c>
      <c r="U31">
        <f t="shared" si="12"/>
        <v>0</v>
      </c>
      <c r="V31" s="30">
        <f t="shared" si="13"/>
        <v>56562.46008381476</v>
      </c>
      <c r="W31" s="30">
        <f t="shared" si="14"/>
        <v>56562.46008381476</v>
      </c>
      <c r="X31" s="30">
        <f t="shared" si="15"/>
        <v>56562.46008381476</v>
      </c>
      <c r="Y31">
        <f t="shared" si="16"/>
        <v>0</v>
      </c>
    </row>
    <row r="32" spans="1:25" x14ac:dyDescent="0.25">
      <c r="A32" s="4" t="s">
        <v>718</v>
      </c>
      <c r="B32" s="7" t="s">
        <v>338</v>
      </c>
      <c r="C32" s="2" t="s">
        <v>719</v>
      </c>
      <c r="D32">
        <f>VLOOKUP(B32,'Model allocations'!$A$1:$L$319,6,FALSE)</f>
        <v>7040.0325378097732</v>
      </c>
      <c r="E32" s="32">
        <f>VLOOKUP(B32,'Initial adjusted formula count'!$A$1:$P$319,12,FALSE)</f>
        <v>0.29032258064516098</v>
      </c>
      <c r="F32">
        <f>VLOOKUP(B32,'Model allocations'!$A$1:$L$319,11,FALSE)</f>
        <v>23392.851965409362</v>
      </c>
      <c r="G32" s="31">
        <f t="shared" si="17"/>
        <v>0.9</v>
      </c>
      <c r="H32">
        <f t="shared" si="18"/>
        <v>6336.0292840287957</v>
      </c>
      <c r="I32">
        <f t="shared" si="0"/>
        <v>0</v>
      </c>
      <c r="J32">
        <f t="shared" si="1"/>
        <v>23392.851965409362</v>
      </c>
      <c r="K32">
        <f t="shared" si="2"/>
        <v>23388.106578030201</v>
      </c>
      <c r="L32">
        <f t="shared" si="3"/>
        <v>23388.106578030201</v>
      </c>
      <c r="M32">
        <f t="shared" si="4"/>
        <v>0</v>
      </c>
      <c r="N32" s="30">
        <f t="shared" si="5"/>
        <v>23388.106578030201</v>
      </c>
      <c r="O32" s="30">
        <f t="shared" si="6"/>
        <v>23387.510850578943</v>
      </c>
      <c r="P32" s="30">
        <f t="shared" si="7"/>
        <v>23387.510850578943</v>
      </c>
      <c r="Q32">
        <f t="shared" si="8"/>
        <v>0</v>
      </c>
      <c r="R32" s="30">
        <f t="shared" si="9"/>
        <v>23387.510850578943</v>
      </c>
      <c r="S32" s="30">
        <f t="shared" si="10"/>
        <v>23387.510850578961</v>
      </c>
      <c r="T32" s="30">
        <f t="shared" si="11"/>
        <v>23387.510850578961</v>
      </c>
      <c r="U32">
        <f t="shared" si="12"/>
        <v>0</v>
      </c>
      <c r="V32" s="30">
        <f t="shared" si="13"/>
        <v>23387.510850578961</v>
      </c>
      <c r="W32" s="30">
        <f t="shared" si="14"/>
        <v>23387.510850578961</v>
      </c>
      <c r="X32" s="30">
        <f t="shared" si="15"/>
        <v>23387.510850578961</v>
      </c>
      <c r="Y32">
        <f t="shared" si="16"/>
        <v>0</v>
      </c>
    </row>
    <row r="33" spans="1:25" x14ac:dyDescent="0.25">
      <c r="A33" s="4" t="s">
        <v>720</v>
      </c>
      <c r="B33" s="7" t="s">
        <v>111</v>
      </c>
      <c r="C33" s="2" t="s">
        <v>721</v>
      </c>
      <c r="D33">
        <f>VLOOKUP(B33,'Model allocations'!$A$1:$L$319,6,FALSE)</f>
        <v>581344.22533375316</v>
      </c>
      <c r="E33" s="32">
        <f>VLOOKUP(B33,'Initial adjusted formula count'!$A$1:$P$319,12,FALSE)</f>
        <v>7.9476139217796907E-2</v>
      </c>
      <c r="F33">
        <f>VLOOKUP(B33,'Model allocations'!$A$1:$L$319,11,FALSE)</f>
        <v>558267.07184705383</v>
      </c>
      <c r="G33" s="31">
        <f t="shared" si="17"/>
        <v>0.85</v>
      </c>
      <c r="H33">
        <f t="shared" si="18"/>
        <v>494142.59153369017</v>
      </c>
      <c r="I33">
        <f t="shared" si="0"/>
        <v>0</v>
      </c>
      <c r="J33">
        <f t="shared" si="1"/>
        <v>558267.07184705383</v>
      </c>
      <c r="K33">
        <f t="shared" si="2"/>
        <v>558153.82385485258</v>
      </c>
      <c r="L33">
        <f t="shared" si="3"/>
        <v>558153.82385485258</v>
      </c>
      <c r="M33">
        <f t="shared" si="4"/>
        <v>0</v>
      </c>
      <c r="N33" s="30">
        <f t="shared" si="5"/>
        <v>558153.82385485258</v>
      </c>
      <c r="O33" s="30">
        <f t="shared" si="6"/>
        <v>558139.60690429329</v>
      </c>
      <c r="P33" s="30">
        <f t="shared" si="7"/>
        <v>558139.60690429329</v>
      </c>
      <c r="Q33">
        <f t="shared" si="8"/>
        <v>0</v>
      </c>
      <c r="R33" s="30">
        <f t="shared" si="9"/>
        <v>558139.60690429329</v>
      </c>
      <c r="S33" s="30">
        <f t="shared" si="10"/>
        <v>558139.60690429364</v>
      </c>
      <c r="T33" s="30">
        <f t="shared" si="11"/>
        <v>558139.60690429364</v>
      </c>
      <c r="U33">
        <f t="shared" si="12"/>
        <v>0</v>
      </c>
      <c r="V33" s="30">
        <f t="shared" si="13"/>
        <v>558139.60690429364</v>
      </c>
      <c r="W33" s="30">
        <f t="shared" si="14"/>
        <v>558139.60690429364</v>
      </c>
      <c r="X33" s="30">
        <f t="shared" si="15"/>
        <v>558139.60690429364</v>
      </c>
      <c r="Y33">
        <f t="shared" si="16"/>
        <v>0</v>
      </c>
    </row>
    <row r="34" spans="1:25" x14ac:dyDescent="0.25">
      <c r="A34" s="4" t="s">
        <v>722</v>
      </c>
      <c r="B34" s="7" t="s">
        <v>270</v>
      </c>
      <c r="C34" s="2" t="s">
        <v>723</v>
      </c>
      <c r="D34">
        <f>VLOOKUP(B34,'Model allocations'!$A$1:$L$319,6,FALSE)</f>
        <v>1152399.1723430147</v>
      </c>
      <c r="E34" s="32">
        <f>VLOOKUP(B34,'Initial adjusted formula count'!$A$1:$P$319,12,FALSE)</f>
        <v>0.110699806099066</v>
      </c>
      <c r="F34">
        <f>VLOOKUP(B34,'Model allocations'!$A$1:$L$319,11,FALSE)</f>
        <v>1408013.697729148</v>
      </c>
      <c r="G34" s="31">
        <f t="shared" si="17"/>
        <v>0.85</v>
      </c>
      <c r="H34">
        <f t="shared" si="18"/>
        <v>979539.29649156251</v>
      </c>
      <c r="I34">
        <f t="shared" si="0"/>
        <v>0</v>
      </c>
      <c r="J34">
        <f t="shared" si="1"/>
        <v>1408013.697729148</v>
      </c>
      <c r="K34">
        <f t="shared" si="2"/>
        <v>1407728.0732811</v>
      </c>
      <c r="L34">
        <f t="shared" si="3"/>
        <v>1407728.0732811</v>
      </c>
      <c r="M34">
        <f t="shared" si="4"/>
        <v>0</v>
      </c>
      <c r="N34" s="30">
        <f t="shared" si="5"/>
        <v>1407728.0732811</v>
      </c>
      <c r="O34" s="30">
        <f t="shared" si="6"/>
        <v>1407692.2164983219</v>
      </c>
      <c r="P34" s="30">
        <f t="shared" si="7"/>
        <v>1407692.2164983219</v>
      </c>
      <c r="Q34">
        <f t="shared" si="8"/>
        <v>0</v>
      </c>
      <c r="R34" s="30">
        <f t="shared" si="9"/>
        <v>1407692.2164983219</v>
      </c>
      <c r="S34" s="30">
        <f t="shared" si="10"/>
        <v>1407692.216498323</v>
      </c>
      <c r="T34" s="30">
        <f t="shared" si="11"/>
        <v>1407692.216498323</v>
      </c>
      <c r="U34">
        <f t="shared" si="12"/>
        <v>0</v>
      </c>
      <c r="V34" s="30">
        <f t="shared" si="13"/>
        <v>1407692.216498323</v>
      </c>
      <c r="W34" s="30">
        <f t="shared" si="14"/>
        <v>1407692.216498323</v>
      </c>
      <c r="X34" s="30">
        <f t="shared" si="15"/>
        <v>1407692.216498323</v>
      </c>
      <c r="Y34">
        <f t="shared" si="16"/>
        <v>0</v>
      </c>
    </row>
    <row r="35" spans="1:25" x14ac:dyDescent="0.25">
      <c r="A35" s="4" t="s">
        <v>724</v>
      </c>
      <c r="B35" s="7" t="s">
        <v>340</v>
      </c>
      <c r="C35" s="2" t="s">
        <v>725</v>
      </c>
      <c r="D35">
        <f>VLOOKUP(B35,'Model allocations'!$A$1:$L$319,6,FALSE)</f>
        <v>517207.79598321987</v>
      </c>
      <c r="E35" s="32">
        <f>VLOOKUP(B35,'Initial adjusted formula count'!$A$1:$P$319,12,FALSE)</f>
        <v>0.17945718296677601</v>
      </c>
      <c r="F35">
        <f>VLOOKUP(B35,'Model allocations'!$A$1:$L$319,11,FALSE)</f>
        <v>478419.89506128617</v>
      </c>
      <c r="G35" s="31">
        <f t="shared" si="17"/>
        <v>0.9</v>
      </c>
      <c r="H35">
        <f t="shared" si="18"/>
        <v>465487.01638489787</v>
      </c>
      <c r="I35">
        <f t="shared" si="0"/>
        <v>0</v>
      </c>
      <c r="J35">
        <f t="shared" si="1"/>
        <v>478419.89506128617</v>
      </c>
      <c r="K35">
        <f t="shared" si="2"/>
        <v>478322.84457187518</v>
      </c>
      <c r="L35">
        <f t="shared" si="3"/>
        <v>478322.84457187518</v>
      </c>
      <c r="M35">
        <f t="shared" si="4"/>
        <v>0</v>
      </c>
      <c r="N35" s="30">
        <f t="shared" si="5"/>
        <v>478322.84457187518</v>
      </c>
      <c r="O35" s="30">
        <f t="shared" si="6"/>
        <v>478310.66102687019</v>
      </c>
      <c r="P35" s="30">
        <f t="shared" si="7"/>
        <v>478310.66102687019</v>
      </c>
      <c r="Q35">
        <f t="shared" si="8"/>
        <v>0</v>
      </c>
      <c r="R35" s="30">
        <f t="shared" si="9"/>
        <v>478310.66102687019</v>
      </c>
      <c r="S35" s="30">
        <f t="shared" si="10"/>
        <v>478310.66102687054</v>
      </c>
      <c r="T35" s="30">
        <f t="shared" si="11"/>
        <v>478310.66102687054</v>
      </c>
      <c r="U35">
        <f t="shared" si="12"/>
        <v>0</v>
      </c>
      <c r="V35" s="30">
        <f t="shared" si="13"/>
        <v>478310.66102687054</v>
      </c>
      <c r="W35" s="30">
        <f t="shared" si="14"/>
        <v>478310.66102687054</v>
      </c>
      <c r="X35" s="30">
        <f t="shared" si="15"/>
        <v>478310.66102687054</v>
      </c>
      <c r="Y35">
        <f t="shared" si="16"/>
        <v>0</v>
      </c>
    </row>
    <row r="36" spans="1:25" x14ac:dyDescent="0.25">
      <c r="A36" s="4" t="s">
        <v>726</v>
      </c>
      <c r="B36" s="7" t="s">
        <v>342</v>
      </c>
      <c r="C36" s="2" t="s">
        <v>727</v>
      </c>
      <c r="D36">
        <f>VLOOKUP(B36,'Model allocations'!$A$1:$L$319,6,FALSE)</f>
        <v>194954.74720088602</v>
      </c>
      <c r="E36" s="32">
        <f>VLOOKUP(B36,'Initial adjusted formula count'!$A$1:$P$319,12,FALSE)</f>
        <v>9.2178770949720698E-2</v>
      </c>
      <c r="F36">
        <f>VLOOKUP(B36,'Model allocations'!$A$1:$L$319,11,FALSE)</f>
        <v>165711.53512075311</v>
      </c>
      <c r="G36" s="31">
        <f t="shared" si="17"/>
        <v>0.85</v>
      </c>
      <c r="H36">
        <f t="shared" si="18"/>
        <v>165711.53512075311</v>
      </c>
      <c r="I36">
        <f t="shared" si="0"/>
        <v>0</v>
      </c>
      <c r="J36">
        <f t="shared" si="1"/>
        <v>165711.53512075311</v>
      </c>
      <c r="K36">
        <f t="shared" si="2"/>
        <v>165677.91949199155</v>
      </c>
      <c r="L36">
        <f t="shared" si="3"/>
        <v>165677.91949199155</v>
      </c>
      <c r="M36">
        <f t="shared" si="4"/>
        <v>165711.53512075311</v>
      </c>
      <c r="N36" s="30">
        <f t="shared" si="5"/>
        <v>0</v>
      </c>
      <c r="O36" s="30">
        <f t="shared" si="6"/>
        <v>0</v>
      </c>
      <c r="P36" s="30">
        <f t="shared" si="7"/>
        <v>165711.53512075311</v>
      </c>
      <c r="Q36">
        <f t="shared" si="8"/>
        <v>0</v>
      </c>
      <c r="R36" s="30">
        <f t="shared" si="9"/>
        <v>0</v>
      </c>
      <c r="S36" s="30">
        <f t="shared" si="10"/>
        <v>0</v>
      </c>
      <c r="T36" s="30">
        <f t="shared" si="11"/>
        <v>165711.53512075311</v>
      </c>
      <c r="U36">
        <f t="shared" si="12"/>
        <v>0</v>
      </c>
      <c r="V36" s="30">
        <f t="shared" si="13"/>
        <v>0</v>
      </c>
      <c r="W36" s="30">
        <f t="shared" si="14"/>
        <v>0</v>
      </c>
      <c r="X36" s="30">
        <f t="shared" si="15"/>
        <v>165711.53512075311</v>
      </c>
      <c r="Y36">
        <f t="shared" si="16"/>
        <v>0</v>
      </c>
    </row>
    <row r="37" spans="1:25" x14ac:dyDescent="0.25">
      <c r="A37" s="4" t="s">
        <v>728</v>
      </c>
      <c r="B37" s="7" t="s">
        <v>272</v>
      </c>
      <c r="C37" s="2" t="s">
        <v>729</v>
      </c>
      <c r="D37">
        <f>VLOOKUP(B37,'Model allocations'!$A$1:$L$319,6,FALSE)</f>
        <v>468432.93424657348</v>
      </c>
      <c r="E37" s="32">
        <f>VLOOKUP(B37,'Initial adjusted formula count'!$A$1:$P$319,12,FALSE)</f>
        <v>0.141643967312931</v>
      </c>
      <c r="F37">
        <f>VLOOKUP(B37,'Model allocations'!$A$1:$L$319,11,FALSE)</f>
        <v>556564.17279718979</v>
      </c>
      <c r="G37" s="31">
        <f t="shared" si="17"/>
        <v>0.85</v>
      </c>
      <c r="H37">
        <f t="shared" si="18"/>
        <v>398167.99410958745</v>
      </c>
      <c r="I37">
        <f t="shared" si="0"/>
        <v>0</v>
      </c>
      <c r="J37">
        <f t="shared" si="1"/>
        <v>556564.17279718979</v>
      </c>
      <c r="K37">
        <f t="shared" si="2"/>
        <v>556451.27024878783</v>
      </c>
      <c r="L37">
        <f t="shared" si="3"/>
        <v>556451.27024878783</v>
      </c>
      <c r="M37">
        <f t="shared" si="4"/>
        <v>0</v>
      </c>
      <c r="N37" s="30">
        <f t="shared" si="5"/>
        <v>556451.27024878783</v>
      </c>
      <c r="O37" s="30">
        <f t="shared" si="6"/>
        <v>556437.0966646258</v>
      </c>
      <c r="P37" s="30">
        <f t="shared" si="7"/>
        <v>556437.0966646258</v>
      </c>
      <c r="Q37">
        <f t="shared" si="8"/>
        <v>0</v>
      </c>
      <c r="R37" s="30">
        <f t="shared" si="9"/>
        <v>556437.0966646258</v>
      </c>
      <c r="S37" s="30">
        <f t="shared" si="10"/>
        <v>556437.09666462627</v>
      </c>
      <c r="T37" s="30">
        <f t="shared" si="11"/>
        <v>556437.09666462627</v>
      </c>
      <c r="U37">
        <f t="shared" si="12"/>
        <v>0</v>
      </c>
      <c r="V37" s="30">
        <f t="shared" si="13"/>
        <v>556437.09666462627</v>
      </c>
      <c r="W37" s="30">
        <f t="shared" si="14"/>
        <v>556437.09666462627</v>
      </c>
      <c r="X37" s="30">
        <f t="shared" si="15"/>
        <v>556437.09666462627</v>
      </c>
      <c r="Y37">
        <f t="shared" si="16"/>
        <v>0</v>
      </c>
    </row>
    <row r="38" spans="1:25" x14ac:dyDescent="0.25">
      <c r="A38" s="4" t="s">
        <v>730</v>
      </c>
      <c r="B38" s="7" t="s">
        <v>344</v>
      </c>
      <c r="C38" s="2" t="s">
        <v>731</v>
      </c>
      <c r="D38">
        <f>VLOOKUP(B38,'Model allocations'!$A$1:$L$319,6,FALSE)</f>
        <v>128028.79300516511</v>
      </c>
      <c r="E38" s="32">
        <f>VLOOKUP(B38,'Initial adjusted formula count'!$A$1:$P$319,12,FALSE)</f>
        <v>0.171641791044776</v>
      </c>
      <c r="F38">
        <f>VLOOKUP(B38,'Model allocations'!$A$1:$L$319,11,FALSE)</f>
        <v>115225.9137046486</v>
      </c>
      <c r="G38" s="31">
        <f t="shared" si="17"/>
        <v>0.9</v>
      </c>
      <c r="H38">
        <f t="shared" si="18"/>
        <v>115225.9137046486</v>
      </c>
      <c r="I38">
        <f t="shared" si="0"/>
        <v>0</v>
      </c>
      <c r="J38">
        <f t="shared" si="1"/>
        <v>115225.9137046486</v>
      </c>
      <c r="K38">
        <f t="shared" si="2"/>
        <v>115202.53940221405</v>
      </c>
      <c r="L38">
        <f t="shared" si="3"/>
        <v>115202.53940221405</v>
      </c>
      <c r="M38">
        <f t="shared" si="4"/>
        <v>115225.9137046486</v>
      </c>
      <c r="N38" s="30">
        <f t="shared" si="5"/>
        <v>0</v>
      </c>
      <c r="O38" s="30">
        <f t="shared" si="6"/>
        <v>0</v>
      </c>
      <c r="P38" s="30">
        <f t="shared" si="7"/>
        <v>115225.9137046486</v>
      </c>
      <c r="Q38">
        <f t="shared" si="8"/>
        <v>0</v>
      </c>
      <c r="R38" s="30">
        <f t="shared" si="9"/>
        <v>0</v>
      </c>
      <c r="S38" s="30">
        <f t="shared" si="10"/>
        <v>0</v>
      </c>
      <c r="T38" s="30">
        <f t="shared" si="11"/>
        <v>115225.9137046486</v>
      </c>
      <c r="U38">
        <f t="shared" si="12"/>
        <v>0</v>
      </c>
      <c r="V38" s="30">
        <f t="shared" si="13"/>
        <v>0</v>
      </c>
      <c r="W38" s="30">
        <f t="shared" si="14"/>
        <v>0</v>
      </c>
      <c r="X38" s="30">
        <f t="shared" si="15"/>
        <v>115225.9137046486</v>
      </c>
      <c r="Y38">
        <f t="shared" si="16"/>
        <v>0</v>
      </c>
    </row>
    <row r="39" spans="1:25" x14ac:dyDescent="0.25">
      <c r="A39" s="4" t="s">
        <v>732</v>
      </c>
      <c r="B39" s="7" t="s">
        <v>113</v>
      </c>
      <c r="C39" s="2" t="s">
        <v>733</v>
      </c>
      <c r="D39">
        <f>VLOOKUP(B39,'Model allocations'!$A$1:$L$319,6,FALSE)</f>
        <v>123399.31494562307</v>
      </c>
      <c r="E39" s="32">
        <f>VLOOKUP(B39,'Initial adjusted formula count'!$A$1:$P$319,12,FALSE)</f>
        <v>0.15190972222222199</v>
      </c>
      <c r="F39">
        <f>VLOOKUP(B39,'Model allocations'!$A$1:$L$319,11,FALSE)</f>
        <v>111059.38345106077</v>
      </c>
      <c r="G39" s="31">
        <f t="shared" si="17"/>
        <v>0.9</v>
      </c>
      <c r="H39">
        <f t="shared" si="18"/>
        <v>111059.38345106077</v>
      </c>
      <c r="I39">
        <f t="shared" si="0"/>
        <v>0</v>
      </c>
      <c r="J39">
        <f t="shared" si="1"/>
        <v>111059.38345106077</v>
      </c>
      <c r="K39">
        <f t="shared" si="2"/>
        <v>111036.85435553428</v>
      </c>
      <c r="L39">
        <f t="shared" si="3"/>
        <v>111036.85435553428</v>
      </c>
      <c r="M39">
        <f t="shared" si="4"/>
        <v>111059.38345106077</v>
      </c>
      <c r="N39" s="30">
        <f t="shared" si="5"/>
        <v>0</v>
      </c>
      <c r="O39" s="30">
        <f t="shared" si="6"/>
        <v>0</v>
      </c>
      <c r="P39" s="30">
        <f t="shared" si="7"/>
        <v>111059.38345106077</v>
      </c>
      <c r="Q39">
        <f t="shared" si="8"/>
        <v>0</v>
      </c>
      <c r="R39" s="30">
        <f t="shared" si="9"/>
        <v>0</v>
      </c>
      <c r="S39" s="30">
        <f t="shared" si="10"/>
        <v>0</v>
      </c>
      <c r="T39" s="30">
        <f t="shared" si="11"/>
        <v>111059.38345106077</v>
      </c>
      <c r="U39">
        <f t="shared" si="12"/>
        <v>0</v>
      </c>
      <c r="V39" s="30">
        <f t="shared" si="13"/>
        <v>0</v>
      </c>
      <c r="W39" s="30">
        <f t="shared" si="14"/>
        <v>0</v>
      </c>
      <c r="X39" s="30">
        <f t="shared" si="15"/>
        <v>111059.38345106077</v>
      </c>
      <c r="Y39">
        <f t="shared" si="16"/>
        <v>0</v>
      </c>
    </row>
    <row r="40" spans="1:25" x14ac:dyDescent="0.25">
      <c r="A40" s="4" t="s">
        <v>734</v>
      </c>
      <c r="B40" s="7" t="s">
        <v>346</v>
      </c>
      <c r="C40" s="2" t="s">
        <v>735</v>
      </c>
      <c r="D40">
        <f>VLOOKUP(B40,'Model allocations'!$A$1:$L$319,6,FALSE)</f>
        <v>377023.90623143309</v>
      </c>
      <c r="E40" s="32">
        <f>VLOOKUP(B40,'Initial adjusted formula count'!$A$1:$P$319,12,FALSE)</f>
        <v>0.21323792486583201</v>
      </c>
      <c r="F40">
        <f>VLOOKUP(B40,'Model allocations'!$A$1:$L$319,11,FALSE)</f>
        <v>406654.70554782386</v>
      </c>
      <c r="G40" s="31">
        <f t="shared" si="17"/>
        <v>0.9</v>
      </c>
      <c r="H40">
        <f t="shared" si="18"/>
        <v>339321.5156082898</v>
      </c>
      <c r="I40">
        <f t="shared" si="0"/>
        <v>0</v>
      </c>
      <c r="J40">
        <f t="shared" si="1"/>
        <v>406654.70554782386</v>
      </c>
      <c r="K40">
        <f t="shared" si="2"/>
        <v>406572.21307917422</v>
      </c>
      <c r="L40">
        <f t="shared" si="3"/>
        <v>406572.21307917422</v>
      </c>
      <c r="M40">
        <f t="shared" si="4"/>
        <v>0</v>
      </c>
      <c r="N40" s="30">
        <f t="shared" si="5"/>
        <v>406572.21307917422</v>
      </c>
      <c r="O40" s="30">
        <f t="shared" si="6"/>
        <v>406561.85712207941</v>
      </c>
      <c r="P40" s="30">
        <f t="shared" si="7"/>
        <v>406561.85712207941</v>
      </c>
      <c r="Q40">
        <f t="shared" si="8"/>
        <v>0</v>
      </c>
      <c r="R40" s="30">
        <f t="shared" si="9"/>
        <v>406561.85712207941</v>
      </c>
      <c r="S40" s="30">
        <f t="shared" si="10"/>
        <v>406561.85712207964</v>
      </c>
      <c r="T40" s="30">
        <f t="shared" si="11"/>
        <v>406561.85712207964</v>
      </c>
      <c r="U40">
        <f t="shared" si="12"/>
        <v>0</v>
      </c>
      <c r="V40" s="30">
        <f t="shared" si="13"/>
        <v>406561.85712207964</v>
      </c>
      <c r="W40" s="30">
        <f t="shared" si="14"/>
        <v>406561.85712207964</v>
      </c>
      <c r="X40" s="30">
        <f t="shared" si="15"/>
        <v>406561.85712207964</v>
      </c>
      <c r="Y40">
        <f t="shared" si="16"/>
        <v>0</v>
      </c>
    </row>
    <row r="41" spans="1:25" x14ac:dyDescent="0.25">
      <c r="A41" s="4" t="s">
        <v>736</v>
      </c>
      <c r="B41" s="7" t="s">
        <v>348</v>
      </c>
      <c r="C41" s="2" t="s">
        <v>737</v>
      </c>
      <c r="D41">
        <f>VLOOKUP(B41,'Model allocations'!$A$1:$L$319,6,FALSE)</f>
        <v>78946.675490834969</v>
      </c>
      <c r="E41" s="32">
        <f>VLOOKUP(B41,'Initial adjusted formula count'!$A$1:$P$319,12,FALSE)</f>
        <v>0.145951035781544</v>
      </c>
      <c r="F41">
        <f>VLOOKUP(B41,'Model allocations'!$A$1:$L$319,11,FALSE)</f>
        <v>87983.117576302335</v>
      </c>
      <c r="G41" s="31">
        <f t="shared" si="17"/>
        <v>0.85</v>
      </c>
      <c r="H41">
        <f t="shared" si="18"/>
        <v>67104.674167209727</v>
      </c>
      <c r="I41">
        <f t="shared" si="0"/>
        <v>0</v>
      </c>
      <c r="J41">
        <f t="shared" si="1"/>
        <v>87983.117576302335</v>
      </c>
      <c r="K41">
        <f t="shared" si="2"/>
        <v>87965.269646672241</v>
      </c>
      <c r="L41">
        <f t="shared" si="3"/>
        <v>87965.269646672241</v>
      </c>
      <c r="M41">
        <f t="shared" si="4"/>
        <v>0</v>
      </c>
      <c r="N41" s="30">
        <f t="shared" si="5"/>
        <v>87965.269646672241</v>
      </c>
      <c r="O41" s="30">
        <f t="shared" si="6"/>
        <v>87963.029049481906</v>
      </c>
      <c r="P41" s="30">
        <f t="shared" si="7"/>
        <v>87963.029049481906</v>
      </c>
      <c r="Q41">
        <f t="shared" si="8"/>
        <v>0</v>
      </c>
      <c r="R41" s="30">
        <f t="shared" si="9"/>
        <v>87963.029049481906</v>
      </c>
      <c r="S41" s="30">
        <f t="shared" si="10"/>
        <v>87963.029049481964</v>
      </c>
      <c r="T41" s="30">
        <f t="shared" si="11"/>
        <v>87963.029049481964</v>
      </c>
      <c r="U41">
        <f t="shared" si="12"/>
        <v>0</v>
      </c>
      <c r="V41" s="30">
        <f t="shared" si="13"/>
        <v>87963.029049481964</v>
      </c>
      <c r="W41" s="30">
        <f t="shared" si="14"/>
        <v>87963.029049481964</v>
      </c>
      <c r="X41" s="30">
        <f t="shared" si="15"/>
        <v>87963.029049481964</v>
      </c>
      <c r="Y41">
        <f t="shared" si="16"/>
        <v>0</v>
      </c>
    </row>
    <row r="42" spans="1:25" x14ac:dyDescent="0.25">
      <c r="A42" s="4" t="s">
        <v>738</v>
      </c>
      <c r="B42" s="7" t="s">
        <v>350</v>
      </c>
      <c r="C42" s="2" t="s">
        <v>739</v>
      </c>
      <c r="D42">
        <f>VLOOKUP(B42,'Model allocations'!$A$1:$L$319,6,FALSE)</f>
        <v>1375784.8201773637</v>
      </c>
      <c r="E42" s="32">
        <f>VLOOKUP(B42,'Initial adjusted formula count'!$A$1:$P$319,12,FALSE)</f>
        <v>0.14597953216374299</v>
      </c>
      <c r="F42">
        <f>VLOOKUP(B42,'Model allocations'!$A$1:$L$319,11,FALSE)</f>
        <v>1504227.494046459</v>
      </c>
      <c r="G42" s="31">
        <f t="shared" si="17"/>
        <v>0.85</v>
      </c>
      <c r="H42">
        <f t="shared" si="18"/>
        <v>1169417.0971507591</v>
      </c>
      <c r="I42">
        <f t="shared" si="0"/>
        <v>0</v>
      </c>
      <c r="J42">
        <f t="shared" si="1"/>
        <v>1504227.494046459</v>
      </c>
      <c r="K42">
        <f t="shared" si="2"/>
        <v>1503922.352023751</v>
      </c>
      <c r="L42">
        <f t="shared" si="3"/>
        <v>1503922.352023751</v>
      </c>
      <c r="M42">
        <f t="shared" si="4"/>
        <v>0</v>
      </c>
      <c r="N42" s="30">
        <f t="shared" si="5"/>
        <v>1503922.352023751</v>
      </c>
      <c r="O42" s="30">
        <f t="shared" si="6"/>
        <v>1503884.0450395292</v>
      </c>
      <c r="P42" s="30">
        <f t="shared" si="7"/>
        <v>1503884.0450395292</v>
      </c>
      <c r="Q42">
        <f t="shared" si="8"/>
        <v>0</v>
      </c>
      <c r="R42" s="30">
        <f t="shared" si="9"/>
        <v>1503884.0450395292</v>
      </c>
      <c r="S42" s="30">
        <f t="shared" si="10"/>
        <v>1503884.0450395301</v>
      </c>
      <c r="T42" s="30">
        <f t="shared" si="11"/>
        <v>1503884.0450395301</v>
      </c>
      <c r="U42">
        <f t="shared" si="12"/>
        <v>0</v>
      </c>
      <c r="V42" s="30">
        <f t="shared" si="13"/>
        <v>1503884.0450395301</v>
      </c>
      <c r="W42" s="30">
        <f t="shared" si="14"/>
        <v>1503884.0450395301</v>
      </c>
      <c r="X42" s="30">
        <f t="shared" si="15"/>
        <v>1503884.0450395301</v>
      </c>
      <c r="Y42">
        <f t="shared" si="16"/>
        <v>0</v>
      </c>
    </row>
    <row r="43" spans="1:25" x14ac:dyDescent="0.25">
      <c r="A43" s="4" t="s">
        <v>740</v>
      </c>
      <c r="B43" s="7" t="s">
        <v>274</v>
      </c>
      <c r="C43" s="2" t="s">
        <v>741</v>
      </c>
      <c r="D43">
        <f>VLOOKUP(B43,'Model allocations'!$A$1:$L$319,6,FALSE)</f>
        <v>27618.589186792189</v>
      </c>
      <c r="E43" s="32">
        <f>VLOOKUP(B43,'Initial adjusted formula count'!$A$1:$P$319,12,FALSE)</f>
        <v>7.5376884422110602E-2</v>
      </c>
      <c r="F43">
        <f>VLOOKUP(B43,'Model allocations'!$A$1:$L$319,11,FALSE)</f>
        <v>25543.485747958741</v>
      </c>
      <c r="G43" s="31">
        <f t="shared" si="17"/>
        <v>0.85</v>
      </c>
      <c r="H43">
        <f t="shared" si="18"/>
        <v>23475.800808773361</v>
      </c>
      <c r="I43">
        <f t="shared" si="0"/>
        <v>0</v>
      </c>
      <c r="J43">
        <f t="shared" si="1"/>
        <v>25543.485747958741</v>
      </c>
      <c r="K43">
        <f t="shared" si="2"/>
        <v>25538.304090969359</v>
      </c>
      <c r="L43">
        <f t="shared" si="3"/>
        <v>25538.304090969359</v>
      </c>
      <c r="M43">
        <f t="shared" si="4"/>
        <v>0</v>
      </c>
      <c r="N43" s="30">
        <f t="shared" si="5"/>
        <v>25538.304090969359</v>
      </c>
      <c r="O43" s="30">
        <f t="shared" si="6"/>
        <v>25537.653595010877</v>
      </c>
      <c r="P43" s="30">
        <f t="shared" si="7"/>
        <v>25537.653595010877</v>
      </c>
      <c r="Q43">
        <f t="shared" si="8"/>
        <v>0</v>
      </c>
      <c r="R43" s="30">
        <f t="shared" si="9"/>
        <v>25537.653595010877</v>
      </c>
      <c r="S43" s="30">
        <f t="shared" si="10"/>
        <v>25537.653595010896</v>
      </c>
      <c r="T43" s="30">
        <f t="shared" si="11"/>
        <v>25537.653595010896</v>
      </c>
      <c r="U43">
        <f t="shared" si="12"/>
        <v>0</v>
      </c>
      <c r="V43" s="30">
        <f t="shared" si="13"/>
        <v>25537.653595010896</v>
      </c>
      <c r="W43" s="30">
        <f t="shared" si="14"/>
        <v>25537.653595010896</v>
      </c>
      <c r="X43" s="30">
        <f t="shared" si="15"/>
        <v>25537.653595010896</v>
      </c>
      <c r="Y43">
        <f t="shared" si="16"/>
        <v>0</v>
      </c>
    </row>
    <row r="44" spans="1:25" x14ac:dyDescent="0.25">
      <c r="A44" s="4" t="s">
        <v>742</v>
      </c>
      <c r="B44" s="7" t="s">
        <v>352</v>
      </c>
      <c r="C44" s="2" t="s">
        <v>743</v>
      </c>
      <c r="D44">
        <f>VLOOKUP(B44,'Model allocations'!$A$1:$L$319,6,FALSE)</f>
        <v>135385.24111172635</v>
      </c>
      <c r="E44" s="32">
        <f>VLOOKUP(B44,'Initial adjusted formula count'!$A$1:$P$319,12,FALSE)</f>
        <v>0.10515970515970501</v>
      </c>
      <c r="F44">
        <f>VLOOKUP(B44,'Model allocations'!$A$1:$L$319,11,FALSE)</f>
        <v>121473.46555695936</v>
      </c>
      <c r="G44" s="31">
        <f t="shared" si="17"/>
        <v>0.85</v>
      </c>
      <c r="H44">
        <f t="shared" si="18"/>
        <v>115077.45494496739</v>
      </c>
      <c r="I44">
        <f t="shared" si="0"/>
        <v>0</v>
      </c>
      <c r="J44">
        <f t="shared" si="1"/>
        <v>121473.46555695936</v>
      </c>
      <c r="K44">
        <f t="shared" si="2"/>
        <v>121448.82389927654</v>
      </c>
      <c r="L44">
        <f t="shared" si="3"/>
        <v>121448.82389927654</v>
      </c>
      <c r="M44">
        <f t="shared" si="4"/>
        <v>0</v>
      </c>
      <c r="N44" s="30">
        <f t="shared" si="5"/>
        <v>121448.82389927654</v>
      </c>
      <c r="O44" s="30">
        <f t="shared" si="6"/>
        <v>121445.7304296073</v>
      </c>
      <c r="P44" s="30">
        <f t="shared" si="7"/>
        <v>121445.7304296073</v>
      </c>
      <c r="Q44">
        <f t="shared" si="8"/>
        <v>0</v>
      </c>
      <c r="R44" s="30">
        <f t="shared" si="9"/>
        <v>121445.7304296073</v>
      </c>
      <c r="S44" s="30">
        <f t="shared" si="10"/>
        <v>121445.73042960737</v>
      </c>
      <c r="T44" s="30">
        <f t="shared" si="11"/>
        <v>121445.73042960737</v>
      </c>
      <c r="U44">
        <f t="shared" si="12"/>
        <v>0</v>
      </c>
      <c r="V44" s="30">
        <f t="shared" si="13"/>
        <v>121445.73042960737</v>
      </c>
      <c r="W44" s="30">
        <f t="shared" si="14"/>
        <v>121445.73042960737</v>
      </c>
      <c r="X44" s="30">
        <f t="shared" si="15"/>
        <v>121445.73042960737</v>
      </c>
      <c r="Y44">
        <f t="shared" si="16"/>
        <v>0</v>
      </c>
    </row>
    <row r="45" spans="1:25" x14ac:dyDescent="0.25">
      <c r="A45" s="4" t="s">
        <v>744</v>
      </c>
      <c r="B45" s="7" t="s">
        <v>354</v>
      </c>
      <c r="C45" s="2" t="s">
        <v>745</v>
      </c>
      <c r="D45">
        <f>VLOOKUP(B45,'Model allocations'!$A$1:$L$319,6,FALSE)</f>
        <v>10830.819288938117</v>
      </c>
      <c r="E45" s="32">
        <f>VLOOKUP(B45,'Initial adjusted formula count'!$A$1:$P$319,12,FALSE)</f>
        <v>7.0833333333333304E-2</v>
      </c>
      <c r="F45">
        <f>VLOOKUP(B45,'Model allocations'!$A$1:$L$319,11,FALSE)</f>
        <v>9649.7612825621909</v>
      </c>
      <c r="G45" s="31">
        <f t="shared" si="17"/>
        <v>0.85</v>
      </c>
      <c r="H45">
        <f t="shared" si="18"/>
        <v>9206.1963955973988</v>
      </c>
      <c r="I45">
        <f t="shared" si="0"/>
        <v>0</v>
      </c>
      <c r="J45">
        <f t="shared" si="1"/>
        <v>9649.7612825621909</v>
      </c>
      <c r="K45">
        <f t="shared" si="2"/>
        <v>9647.8037676995355</v>
      </c>
      <c r="L45">
        <f t="shared" si="3"/>
        <v>9647.8037676995355</v>
      </c>
      <c r="M45">
        <f t="shared" si="4"/>
        <v>0</v>
      </c>
      <c r="N45" s="30">
        <f t="shared" si="5"/>
        <v>9647.8037676995355</v>
      </c>
      <c r="O45" s="30">
        <f t="shared" si="6"/>
        <v>9647.5580247818871</v>
      </c>
      <c r="P45" s="30">
        <f t="shared" si="7"/>
        <v>9647.5580247818871</v>
      </c>
      <c r="Q45">
        <f t="shared" si="8"/>
        <v>0</v>
      </c>
      <c r="R45" s="30">
        <f t="shared" si="9"/>
        <v>9647.5580247818871</v>
      </c>
      <c r="S45" s="30">
        <f t="shared" si="10"/>
        <v>9647.5580247818925</v>
      </c>
      <c r="T45" s="30">
        <f t="shared" si="11"/>
        <v>9647.5580247818925</v>
      </c>
      <c r="U45">
        <f t="shared" si="12"/>
        <v>0</v>
      </c>
      <c r="V45" s="30">
        <f t="shared" si="13"/>
        <v>9647.5580247818925</v>
      </c>
      <c r="W45" s="30">
        <f t="shared" si="14"/>
        <v>9647.5580247818925</v>
      </c>
      <c r="X45" s="30">
        <f t="shared" si="15"/>
        <v>9647.5580247818925</v>
      </c>
      <c r="Y45">
        <f t="shared" si="16"/>
        <v>0</v>
      </c>
    </row>
    <row r="46" spans="1:25" x14ac:dyDescent="0.25">
      <c r="A46" s="4" t="s">
        <v>746</v>
      </c>
      <c r="B46" s="7" t="s">
        <v>356</v>
      </c>
      <c r="C46" s="2" t="s">
        <v>747</v>
      </c>
      <c r="D46">
        <f>VLOOKUP(B46,'Model allocations'!$A$1:$L$319,6,FALSE)</f>
        <v>27652.19180363612</v>
      </c>
      <c r="E46" s="32">
        <f>VLOOKUP(B46,'Initial adjusted formula count'!$A$1:$P$319,12,FALSE)</f>
        <v>0.20487804878048799</v>
      </c>
      <c r="F46">
        <f>VLOOKUP(B46,'Model allocations'!$A$1:$L$319,11,FALSE)</f>
        <v>28123.80353326504</v>
      </c>
      <c r="G46" s="31">
        <f t="shared" si="17"/>
        <v>0.9</v>
      </c>
      <c r="H46">
        <f t="shared" si="18"/>
        <v>24886.972623272508</v>
      </c>
      <c r="I46">
        <f t="shared" si="0"/>
        <v>0</v>
      </c>
      <c r="J46">
        <f t="shared" si="1"/>
        <v>28123.80353326504</v>
      </c>
      <c r="K46">
        <f t="shared" si="2"/>
        <v>28118.098442558785</v>
      </c>
      <c r="L46">
        <f t="shared" si="3"/>
        <v>28118.098442558785</v>
      </c>
      <c r="M46">
        <f t="shared" si="4"/>
        <v>0</v>
      </c>
      <c r="N46" s="30">
        <f t="shared" si="5"/>
        <v>28118.098442558785</v>
      </c>
      <c r="O46" s="30">
        <f t="shared" si="6"/>
        <v>28117.382235666893</v>
      </c>
      <c r="P46" s="30">
        <f t="shared" si="7"/>
        <v>28117.382235666893</v>
      </c>
      <c r="Q46">
        <f t="shared" si="8"/>
        <v>0</v>
      </c>
      <c r="R46" s="30">
        <f t="shared" si="9"/>
        <v>28117.382235666893</v>
      </c>
      <c r="S46" s="30">
        <f t="shared" si="10"/>
        <v>28117.382235666915</v>
      </c>
      <c r="T46" s="30">
        <f t="shared" si="11"/>
        <v>28117.382235666915</v>
      </c>
      <c r="U46">
        <f t="shared" si="12"/>
        <v>0</v>
      </c>
      <c r="V46" s="30">
        <f t="shared" si="13"/>
        <v>28117.382235666915</v>
      </c>
      <c r="W46" s="30">
        <f t="shared" si="14"/>
        <v>28117.382235666915</v>
      </c>
      <c r="X46" s="30">
        <f t="shared" si="15"/>
        <v>28117.382235666915</v>
      </c>
      <c r="Y46">
        <f t="shared" si="16"/>
        <v>0</v>
      </c>
    </row>
    <row r="47" spans="1:25" x14ac:dyDescent="0.25">
      <c r="A47" s="4" t="s">
        <v>748</v>
      </c>
      <c r="B47" s="7" t="s">
        <v>357</v>
      </c>
      <c r="C47" s="2" t="s">
        <v>749</v>
      </c>
      <c r="D47">
        <f>VLOOKUP(B47,'Model allocations'!$A$1:$L$319,6,FALSE)</f>
        <v>66997.765241088491</v>
      </c>
      <c r="E47" s="32">
        <f>VLOOKUP(B47,'Initial adjusted formula count'!$A$1:$P$319,12,FALSE)</f>
        <v>0.134920634920635</v>
      </c>
      <c r="F47">
        <f>VLOOKUP(B47,'Model allocations'!$A$1:$L$319,11,FALSE)</f>
        <v>57898.567695373153</v>
      </c>
      <c r="G47" s="31">
        <f t="shared" si="17"/>
        <v>0.85</v>
      </c>
      <c r="H47">
        <f t="shared" si="18"/>
        <v>56948.100454925217</v>
      </c>
      <c r="I47">
        <f t="shared" si="0"/>
        <v>0</v>
      </c>
      <c r="J47">
        <f t="shared" si="1"/>
        <v>57898.567695373153</v>
      </c>
      <c r="K47">
        <f t="shared" si="2"/>
        <v>57886.822606197224</v>
      </c>
      <c r="L47">
        <f t="shared" si="3"/>
        <v>57886.822606197224</v>
      </c>
      <c r="M47">
        <f t="shared" si="4"/>
        <v>0</v>
      </c>
      <c r="N47" s="30">
        <f t="shared" si="5"/>
        <v>57886.822606197224</v>
      </c>
      <c r="O47" s="30">
        <f t="shared" si="6"/>
        <v>57885.34814869133</v>
      </c>
      <c r="P47" s="30">
        <f t="shared" si="7"/>
        <v>57885.34814869133</v>
      </c>
      <c r="Q47">
        <f t="shared" si="8"/>
        <v>0</v>
      </c>
      <c r="R47" s="30">
        <f t="shared" si="9"/>
        <v>57885.34814869133</v>
      </c>
      <c r="S47" s="30">
        <f t="shared" si="10"/>
        <v>57885.348148691366</v>
      </c>
      <c r="T47" s="30">
        <f t="shared" si="11"/>
        <v>57885.348148691366</v>
      </c>
      <c r="U47">
        <f t="shared" si="12"/>
        <v>0</v>
      </c>
      <c r="V47" s="30">
        <f t="shared" si="13"/>
        <v>57885.348148691366</v>
      </c>
      <c r="W47" s="30">
        <f t="shared" si="14"/>
        <v>57885.348148691366</v>
      </c>
      <c r="X47" s="30">
        <f t="shared" si="15"/>
        <v>57885.348148691366</v>
      </c>
      <c r="Y47">
        <f t="shared" si="16"/>
        <v>0</v>
      </c>
    </row>
    <row r="48" spans="1:25" x14ac:dyDescent="0.25">
      <c r="A48" s="4" t="s">
        <v>750</v>
      </c>
      <c r="B48" s="7" t="s">
        <v>358</v>
      </c>
      <c r="C48" s="2" t="s">
        <v>751</v>
      </c>
      <c r="D48">
        <f>VLOOKUP(B48,'Model allocations'!$A$1:$L$319,6,FALSE)</f>
        <v>213600.21922317881</v>
      </c>
      <c r="E48" s="32">
        <f>VLOOKUP(B48,'Initial adjusted formula count'!$A$1:$P$319,12,FALSE)</f>
        <v>0.16166166166166199</v>
      </c>
      <c r="F48">
        <f>VLOOKUP(B48,'Model allocations'!$A$1:$L$319,11,FALSE)</f>
        <v>192240.19730086092</v>
      </c>
      <c r="G48" s="31">
        <f t="shared" si="17"/>
        <v>0.9</v>
      </c>
      <c r="H48">
        <f t="shared" si="18"/>
        <v>192240.19730086092</v>
      </c>
      <c r="I48">
        <f t="shared" si="0"/>
        <v>0</v>
      </c>
      <c r="J48">
        <f t="shared" si="1"/>
        <v>192240.19730086092</v>
      </c>
      <c r="K48">
        <f t="shared" si="2"/>
        <v>192201.20016586481</v>
      </c>
      <c r="L48">
        <f t="shared" si="3"/>
        <v>192201.20016586481</v>
      </c>
      <c r="M48">
        <f t="shared" si="4"/>
        <v>192240.19730086092</v>
      </c>
      <c r="N48" s="30">
        <f t="shared" si="5"/>
        <v>0</v>
      </c>
      <c r="O48" s="30">
        <f t="shared" si="6"/>
        <v>0</v>
      </c>
      <c r="P48" s="30">
        <f t="shared" si="7"/>
        <v>192240.19730086092</v>
      </c>
      <c r="Q48">
        <f t="shared" si="8"/>
        <v>0</v>
      </c>
      <c r="R48" s="30">
        <f t="shared" si="9"/>
        <v>0</v>
      </c>
      <c r="S48" s="30">
        <f t="shared" si="10"/>
        <v>0</v>
      </c>
      <c r="T48" s="30">
        <f t="shared" si="11"/>
        <v>192240.19730086092</v>
      </c>
      <c r="U48">
        <f t="shared" si="12"/>
        <v>0</v>
      </c>
      <c r="V48" s="30">
        <f t="shared" si="13"/>
        <v>0</v>
      </c>
      <c r="W48" s="30">
        <f t="shared" si="14"/>
        <v>0</v>
      </c>
      <c r="X48" s="30">
        <f t="shared" si="15"/>
        <v>192240.19730086092</v>
      </c>
      <c r="Y48">
        <f t="shared" si="16"/>
        <v>0</v>
      </c>
    </row>
    <row r="49" spans="1:25" x14ac:dyDescent="0.25">
      <c r="A49" s="4" t="s">
        <v>752</v>
      </c>
      <c r="B49" s="7" t="s">
        <v>360</v>
      </c>
      <c r="C49" s="2" t="s">
        <v>753</v>
      </c>
      <c r="D49">
        <f>VLOOKUP(B49,'Model allocations'!$A$1:$L$319,6,FALSE)</f>
        <v>93370.814312945673</v>
      </c>
      <c r="E49" s="32">
        <f>VLOOKUP(B49,'Initial adjusted formula count'!$A$1:$P$319,12,FALSE)</f>
        <v>0.19553072625698301</v>
      </c>
      <c r="F49">
        <f>VLOOKUP(B49,'Model allocations'!$A$1:$L$319,11,FALSE)</f>
        <v>91579.299789804951</v>
      </c>
      <c r="G49" s="31">
        <f t="shared" si="17"/>
        <v>0.9</v>
      </c>
      <c r="H49">
        <f t="shared" si="18"/>
        <v>84033.732881651114</v>
      </c>
      <c r="I49">
        <f t="shared" si="0"/>
        <v>0</v>
      </c>
      <c r="J49">
        <f t="shared" si="1"/>
        <v>91579.299789804951</v>
      </c>
      <c r="K49">
        <f t="shared" si="2"/>
        <v>91560.722351959514</v>
      </c>
      <c r="L49">
        <f t="shared" si="3"/>
        <v>91560.722351959514</v>
      </c>
      <c r="M49">
        <f t="shared" si="4"/>
        <v>0</v>
      </c>
      <c r="N49" s="30">
        <f t="shared" si="5"/>
        <v>91560.722351959514</v>
      </c>
      <c r="O49" s="30">
        <f t="shared" si="6"/>
        <v>91558.390173611508</v>
      </c>
      <c r="P49" s="30">
        <f t="shared" si="7"/>
        <v>91558.390173611508</v>
      </c>
      <c r="Q49">
        <f t="shared" si="8"/>
        <v>0</v>
      </c>
      <c r="R49" s="30">
        <f t="shared" si="9"/>
        <v>91558.390173611508</v>
      </c>
      <c r="S49" s="30">
        <f t="shared" si="10"/>
        <v>91558.390173611566</v>
      </c>
      <c r="T49" s="30">
        <f t="shared" si="11"/>
        <v>91558.390173611566</v>
      </c>
      <c r="U49">
        <f t="shared" si="12"/>
        <v>0</v>
      </c>
      <c r="V49" s="30">
        <f t="shared" si="13"/>
        <v>91558.390173611566</v>
      </c>
      <c r="W49" s="30">
        <f t="shared" si="14"/>
        <v>91558.390173611566</v>
      </c>
      <c r="X49" s="30">
        <f t="shared" si="15"/>
        <v>91558.390173611566</v>
      </c>
      <c r="Y49">
        <f t="shared" si="16"/>
        <v>0</v>
      </c>
    </row>
    <row r="50" spans="1:25" x14ac:dyDescent="0.25">
      <c r="A50" s="4" t="s">
        <v>754</v>
      </c>
      <c r="B50" s="7" t="s">
        <v>115</v>
      </c>
      <c r="C50" s="2" t="s">
        <v>755</v>
      </c>
      <c r="D50">
        <f>VLOOKUP(B50,'Model allocations'!$A$1:$L$319,6,FALSE)</f>
        <v>25993.966293451467</v>
      </c>
      <c r="E50" s="32">
        <f>VLOOKUP(B50,'Initial adjusted formula count'!$A$1:$P$319,12,FALSE)</f>
        <v>0.10885608856088599</v>
      </c>
      <c r="F50">
        <f>VLOOKUP(B50,'Model allocations'!$A$1:$L$319,11,FALSE)</f>
        <v>33490.34798065701</v>
      </c>
      <c r="G50" s="31">
        <f t="shared" si="17"/>
        <v>0.85</v>
      </c>
      <c r="H50">
        <f t="shared" si="18"/>
        <v>22094.871349433746</v>
      </c>
      <c r="I50">
        <f t="shared" si="0"/>
        <v>0</v>
      </c>
      <c r="J50">
        <f t="shared" si="1"/>
        <v>33490.34798065701</v>
      </c>
      <c r="K50">
        <f t="shared" si="2"/>
        <v>33483.554252604263</v>
      </c>
      <c r="L50">
        <f t="shared" si="3"/>
        <v>33483.554252604263</v>
      </c>
      <c r="M50">
        <f t="shared" si="4"/>
        <v>0</v>
      </c>
      <c r="N50" s="30">
        <f t="shared" si="5"/>
        <v>33483.554252604263</v>
      </c>
      <c r="O50" s="30">
        <f t="shared" si="6"/>
        <v>33482.701380125363</v>
      </c>
      <c r="P50" s="30">
        <f t="shared" si="7"/>
        <v>33482.701380125363</v>
      </c>
      <c r="Q50">
        <f t="shared" si="8"/>
        <v>0</v>
      </c>
      <c r="R50" s="30">
        <f t="shared" si="9"/>
        <v>33482.701380125363</v>
      </c>
      <c r="S50" s="30">
        <f t="shared" si="10"/>
        <v>33482.701380125385</v>
      </c>
      <c r="T50" s="30">
        <f t="shared" si="11"/>
        <v>33482.701380125385</v>
      </c>
      <c r="U50">
        <f t="shared" si="12"/>
        <v>0</v>
      </c>
      <c r="V50" s="30">
        <f t="shared" si="13"/>
        <v>33482.701380125385</v>
      </c>
      <c r="W50" s="30">
        <f t="shared" si="14"/>
        <v>33482.701380125385</v>
      </c>
      <c r="X50" s="30">
        <f t="shared" si="15"/>
        <v>33482.701380125385</v>
      </c>
      <c r="Y50">
        <f t="shared" si="16"/>
        <v>0</v>
      </c>
    </row>
    <row r="51" spans="1:25" x14ac:dyDescent="0.25">
      <c r="A51" s="4" t="s">
        <v>756</v>
      </c>
      <c r="B51" s="7" t="s">
        <v>117</v>
      </c>
      <c r="C51" s="2" t="s">
        <v>757</v>
      </c>
      <c r="D51">
        <f>VLOOKUP(B51,'Model allocations'!$A$1:$L$319,6,FALSE)</f>
        <v>15704.687968960261</v>
      </c>
      <c r="E51" s="32">
        <f>VLOOKUP(B51,'Initial adjusted formula count'!$A$1:$P$319,12,FALSE)</f>
        <v>0.158730158730159</v>
      </c>
      <c r="F51">
        <f>VLOOKUP(B51,'Model allocations'!$A$1:$L$319,11,FALSE)</f>
        <v>28774.594786821366</v>
      </c>
      <c r="G51" s="31">
        <f t="shared" si="17"/>
        <v>0.9</v>
      </c>
      <c r="H51">
        <f t="shared" si="18"/>
        <v>14134.219172064235</v>
      </c>
      <c r="I51">
        <f t="shared" si="0"/>
        <v>0</v>
      </c>
      <c r="J51">
        <f t="shared" si="1"/>
        <v>28774.594786821366</v>
      </c>
      <c r="K51">
        <f t="shared" si="2"/>
        <v>28768.757679009814</v>
      </c>
      <c r="L51">
        <f t="shared" si="3"/>
        <v>28768.757679009814</v>
      </c>
      <c r="M51">
        <f t="shared" si="4"/>
        <v>0</v>
      </c>
      <c r="N51" s="30">
        <f t="shared" si="5"/>
        <v>28768.757679009814</v>
      </c>
      <c r="O51" s="30">
        <f t="shared" si="6"/>
        <v>28768.024898926447</v>
      </c>
      <c r="P51" s="30">
        <f t="shared" si="7"/>
        <v>28768.024898926447</v>
      </c>
      <c r="Q51">
        <f t="shared" si="8"/>
        <v>0</v>
      </c>
      <c r="R51" s="30">
        <f t="shared" si="9"/>
        <v>28768.024898926447</v>
      </c>
      <c r="S51" s="30">
        <f t="shared" si="10"/>
        <v>28768.024898926469</v>
      </c>
      <c r="T51" s="30">
        <f t="shared" si="11"/>
        <v>28768.024898926469</v>
      </c>
      <c r="U51">
        <f t="shared" si="12"/>
        <v>0</v>
      </c>
      <c r="V51" s="30">
        <f t="shared" si="13"/>
        <v>28768.024898926469</v>
      </c>
      <c r="W51" s="30">
        <f t="shared" si="14"/>
        <v>28768.024898926469</v>
      </c>
      <c r="X51" s="30">
        <f t="shared" si="15"/>
        <v>28768.024898926469</v>
      </c>
      <c r="Y51">
        <f t="shared" si="16"/>
        <v>0</v>
      </c>
    </row>
    <row r="52" spans="1:25" x14ac:dyDescent="0.25">
      <c r="A52" s="4" t="s">
        <v>758</v>
      </c>
      <c r="B52" s="7" t="s">
        <v>362</v>
      </c>
      <c r="C52" s="2" t="s">
        <v>759</v>
      </c>
      <c r="D52">
        <f>VLOOKUP(B52,'Model allocations'!$A$1:$L$319,6,FALSE)</f>
        <v>21380.745208169981</v>
      </c>
      <c r="E52" s="32">
        <f>VLOOKUP(B52,'Initial adjusted formula count'!$A$1:$P$319,12,FALSE)</f>
        <v>0.16194331983805699</v>
      </c>
      <c r="F52">
        <f>VLOOKUP(B52,'Model allocations'!$A$1:$L$319,11,FALSE)</f>
        <v>23351.315419418086</v>
      </c>
      <c r="G52" s="31">
        <f t="shared" si="17"/>
        <v>0.9</v>
      </c>
      <c r="H52">
        <f t="shared" si="18"/>
        <v>19242.670687352984</v>
      </c>
      <c r="I52">
        <f t="shared" si="0"/>
        <v>0</v>
      </c>
      <c r="J52">
        <f t="shared" si="1"/>
        <v>23351.315419418086</v>
      </c>
      <c r="K52">
        <f t="shared" si="2"/>
        <v>23346.57845798893</v>
      </c>
      <c r="L52">
        <f t="shared" si="3"/>
        <v>23346.57845798893</v>
      </c>
      <c r="M52">
        <f t="shared" si="4"/>
        <v>0</v>
      </c>
      <c r="N52" s="30">
        <f t="shared" si="5"/>
        <v>23346.57845798893</v>
      </c>
      <c r="O52" s="30">
        <f t="shared" si="6"/>
        <v>23345.983788316378</v>
      </c>
      <c r="P52" s="30">
        <f t="shared" si="7"/>
        <v>23345.983788316378</v>
      </c>
      <c r="Q52">
        <f t="shared" si="8"/>
        <v>0</v>
      </c>
      <c r="R52" s="30">
        <f t="shared" si="9"/>
        <v>23345.983788316378</v>
      </c>
      <c r="S52" s="30">
        <f t="shared" si="10"/>
        <v>23345.983788316396</v>
      </c>
      <c r="T52" s="30">
        <f t="shared" si="11"/>
        <v>23345.983788316396</v>
      </c>
      <c r="U52">
        <f t="shared" si="12"/>
        <v>0</v>
      </c>
      <c r="V52" s="30">
        <f t="shared" si="13"/>
        <v>23345.983788316396</v>
      </c>
      <c r="W52" s="30">
        <f t="shared" si="14"/>
        <v>23345.983788316396</v>
      </c>
      <c r="X52" s="30">
        <f t="shared" si="15"/>
        <v>23345.983788316396</v>
      </c>
      <c r="Y52">
        <f t="shared" si="16"/>
        <v>0</v>
      </c>
    </row>
    <row r="53" spans="1:25" x14ac:dyDescent="0.25">
      <c r="A53" s="4" t="s">
        <v>760</v>
      </c>
      <c r="B53" s="7" t="s">
        <v>364</v>
      </c>
      <c r="C53" s="2" t="s">
        <v>761</v>
      </c>
      <c r="D53">
        <f>VLOOKUP(B53,'Model allocations'!$A$1:$L$319,6,FALSE)</f>
        <v>66609.538626969414</v>
      </c>
      <c r="E53" s="32">
        <f>VLOOKUP(B53,'Initial adjusted formula count'!$A$1:$P$319,12,FALSE)</f>
        <v>8.7751371115173699E-2</v>
      </c>
      <c r="F53">
        <f>VLOOKUP(B53,'Model allocations'!$A$1:$L$319,11,FALSE)</f>
        <v>56618.107832923997</v>
      </c>
      <c r="G53" s="31">
        <f t="shared" si="17"/>
        <v>0.85</v>
      </c>
      <c r="H53">
        <f t="shared" si="18"/>
        <v>56618.107832923997</v>
      </c>
      <c r="I53">
        <f t="shared" si="0"/>
        <v>0</v>
      </c>
      <c r="J53">
        <f t="shared" si="1"/>
        <v>56618.107832923997</v>
      </c>
      <c r="K53">
        <f t="shared" si="2"/>
        <v>56606.622493097137</v>
      </c>
      <c r="L53">
        <f t="shared" si="3"/>
        <v>56606.622493097137</v>
      </c>
      <c r="M53">
        <f t="shared" si="4"/>
        <v>56618.107832923997</v>
      </c>
      <c r="N53" s="30">
        <f t="shared" si="5"/>
        <v>0</v>
      </c>
      <c r="O53" s="30">
        <f t="shared" si="6"/>
        <v>0</v>
      </c>
      <c r="P53" s="30">
        <f t="shared" si="7"/>
        <v>56618.107832923997</v>
      </c>
      <c r="Q53">
        <f t="shared" si="8"/>
        <v>0</v>
      </c>
      <c r="R53" s="30">
        <f t="shared" si="9"/>
        <v>0</v>
      </c>
      <c r="S53" s="30">
        <f t="shared" si="10"/>
        <v>0</v>
      </c>
      <c r="T53" s="30">
        <f t="shared" si="11"/>
        <v>56618.107832923997</v>
      </c>
      <c r="U53">
        <f t="shared" si="12"/>
        <v>0</v>
      </c>
      <c r="V53" s="30">
        <f t="shared" si="13"/>
        <v>0</v>
      </c>
      <c r="W53" s="30">
        <f t="shared" si="14"/>
        <v>0</v>
      </c>
      <c r="X53" s="30">
        <f t="shared" si="15"/>
        <v>56618.107832923997</v>
      </c>
      <c r="Y53">
        <f t="shared" si="16"/>
        <v>0</v>
      </c>
    </row>
    <row r="54" spans="1:25" x14ac:dyDescent="0.25">
      <c r="A54" s="4" t="s">
        <v>762</v>
      </c>
      <c r="B54" s="7" t="s">
        <v>366</v>
      </c>
      <c r="C54" s="2" t="s">
        <v>763</v>
      </c>
      <c r="D54">
        <f>VLOOKUP(B54,'Model allocations'!$A$1:$L$319,6,FALSE)</f>
        <v>31208.699768694743</v>
      </c>
      <c r="E54" s="32">
        <f>VLOOKUP(B54,'Initial adjusted formula count'!$A$1:$P$319,12,FALSE)</f>
        <v>0.20579710144927499</v>
      </c>
      <c r="F54">
        <f>VLOOKUP(B54,'Model allocations'!$A$1:$L$319,11,FALSE)</f>
        <v>47645.270607888349</v>
      </c>
      <c r="G54" s="31">
        <f t="shared" si="17"/>
        <v>0.9</v>
      </c>
      <c r="H54">
        <f t="shared" si="18"/>
        <v>28087.829791825268</v>
      </c>
      <c r="I54">
        <f t="shared" si="0"/>
        <v>0</v>
      </c>
      <c r="J54">
        <f t="shared" si="1"/>
        <v>47645.270607888349</v>
      </c>
      <c r="K54">
        <f t="shared" si="2"/>
        <v>47635.60546461495</v>
      </c>
      <c r="L54">
        <f t="shared" si="3"/>
        <v>47635.60546461495</v>
      </c>
      <c r="M54">
        <f t="shared" si="4"/>
        <v>0</v>
      </c>
      <c r="N54" s="30">
        <f t="shared" si="5"/>
        <v>47635.60546461495</v>
      </c>
      <c r="O54" s="30">
        <f t="shared" si="6"/>
        <v>47634.392119800657</v>
      </c>
      <c r="P54" s="30">
        <f t="shared" si="7"/>
        <v>47634.392119800657</v>
      </c>
      <c r="Q54">
        <f t="shared" si="8"/>
        <v>0</v>
      </c>
      <c r="R54" s="30">
        <f t="shared" si="9"/>
        <v>47634.392119800657</v>
      </c>
      <c r="S54" s="30">
        <f t="shared" si="10"/>
        <v>47634.392119800694</v>
      </c>
      <c r="T54" s="30">
        <f t="shared" si="11"/>
        <v>47634.392119800694</v>
      </c>
      <c r="U54">
        <f t="shared" si="12"/>
        <v>0</v>
      </c>
      <c r="V54" s="30">
        <f t="shared" si="13"/>
        <v>47634.392119800694</v>
      </c>
      <c r="W54" s="30">
        <f t="shared" si="14"/>
        <v>47634.392119800694</v>
      </c>
      <c r="X54" s="30">
        <f t="shared" si="15"/>
        <v>47634.392119800694</v>
      </c>
      <c r="Y54">
        <f t="shared" si="16"/>
        <v>0</v>
      </c>
    </row>
    <row r="55" spans="1:25" x14ac:dyDescent="0.25">
      <c r="A55" s="8" t="s">
        <v>764</v>
      </c>
      <c r="B55" s="7" t="s">
        <v>368</v>
      </c>
      <c r="C55" s="2" t="s">
        <v>765</v>
      </c>
      <c r="D55">
        <f>VLOOKUP(B55,'Model allocations'!$A$1:$L$319,6,FALSE)</f>
        <v>11045.540281341309</v>
      </c>
      <c r="E55" s="32">
        <f>VLOOKUP(B55,'Initial adjusted formula count'!$A$1:$P$319,12,FALSE)</f>
        <v>0.114035087719298</v>
      </c>
      <c r="F55">
        <f>VLOOKUP(B55,'Model allocations'!$A$1:$L$319,11,FALSE)</f>
        <v>9388.7092391401129</v>
      </c>
      <c r="G55" s="31">
        <f t="shared" si="17"/>
        <v>0.85</v>
      </c>
      <c r="H55">
        <f t="shared" si="18"/>
        <v>9388.7092391401129</v>
      </c>
      <c r="I55">
        <f t="shared" si="0"/>
        <v>0</v>
      </c>
      <c r="J55">
        <f t="shared" si="1"/>
        <v>9388.7092391401129</v>
      </c>
      <c r="K55">
        <f t="shared" si="2"/>
        <v>9386.8046803289053</v>
      </c>
      <c r="L55">
        <f t="shared" si="3"/>
        <v>9386.8046803289053</v>
      </c>
      <c r="M55">
        <f t="shared" si="4"/>
        <v>9388.7092391401129</v>
      </c>
      <c r="N55" s="30">
        <f t="shared" si="5"/>
        <v>0</v>
      </c>
      <c r="O55" s="30">
        <f t="shared" si="6"/>
        <v>0</v>
      </c>
      <c r="P55" s="30">
        <f t="shared" si="7"/>
        <v>9388.7092391401129</v>
      </c>
      <c r="Q55">
        <f t="shared" si="8"/>
        <v>0</v>
      </c>
      <c r="R55" s="30">
        <f t="shared" si="9"/>
        <v>0</v>
      </c>
      <c r="S55" s="30">
        <f t="shared" si="10"/>
        <v>0</v>
      </c>
      <c r="T55" s="30">
        <f t="shared" si="11"/>
        <v>9388.7092391401129</v>
      </c>
      <c r="U55">
        <f t="shared" si="12"/>
        <v>0</v>
      </c>
      <c r="V55" s="30">
        <f t="shared" si="13"/>
        <v>0</v>
      </c>
      <c r="W55" s="30">
        <f t="shared" si="14"/>
        <v>0</v>
      </c>
      <c r="X55" s="30">
        <f t="shared" si="15"/>
        <v>9388.7092391401129</v>
      </c>
      <c r="Y55">
        <f t="shared" si="16"/>
        <v>0</v>
      </c>
    </row>
    <row r="56" spans="1:25" x14ac:dyDescent="0.25">
      <c r="A56" s="4" t="s">
        <v>766</v>
      </c>
      <c r="B56" s="7" t="s">
        <v>370</v>
      </c>
      <c r="C56" s="2" t="s">
        <v>767</v>
      </c>
      <c r="D56">
        <f>VLOOKUP(B56,'Model allocations'!$A$1:$L$319,6,FALSE)</f>
        <v>46413.91898503332</v>
      </c>
      <c r="E56" s="32">
        <f>VLOOKUP(B56,'Initial adjusted formula count'!$A$1:$P$319,12,FALSE)</f>
        <v>0.259493670886076</v>
      </c>
      <c r="F56">
        <f>VLOOKUP(B56,'Model allocations'!$A$1:$L$319,11,FALSE)</f>
        <v>41772.52708652999</v>
      </c>
      <c r="G56" s="31">
        <f t="shared" si="17"/>
        <v>0.9</v>
      </c>
      <c r="H56">
        <f t="shared" si="18"/>
        <v>41772.52708652999</v>
      </c>
      <c r="I56">
        <f t="shared" si="0"/>
        <v>0</v>
      </c>
      <c r="J56">
        <f t="shared" si="1"/>
        <v>41772.52708652999</v>
      </c>
      <c r="K56">
        <f t="shared" si="2"/>
        <v>41764.053266273906</v>
      </c>
      <c r="L56">
        <f t="shared" si="3"/>
        <v>41764.053266273906</v>
      </c>
      <c r="M56">
        <f t="shared" si="4"/>
        <v>41772.52708652999</v>
      </c>
      <c r="N56" s="30">
        <f t="shared" si="5"/>
        <v>0</v>
      </c>
      <c r="O56" s="30">
        <f t="shared" si="6"/>
        <v>0</v>
      </c>
      <c r="P56" s="30">
        <f t="shared" si="7"/>
        <v>41772.52708652999</v>
      </c>
      <c r="Q56">
        <f t="shared" si="8"/>
        <v>0</v>
      </c>
      <c r="R56" s="30">
        <f t="shared" si="9"/>
        <v>0</v>
      </c>
      <c r="S56" s="30">
        <f t="shared" si="10"/>
        <v>0</v>
      </c>
      <c r="T56" s="30">
        <f t="shared" si="11"/>
        <v>41772.52708652999</v>
      </c>
      <c r="U56">
        <f t="shared" si="12"/>
        <v>0</v>
      </c>
      <c r="V56" s="30">
        <f t="shared" si="13"/>
        <v>0</v>
      </c>
      <c r="W56" s="30">
        <f t="shared" si="14"/>
        <v>0</v>
      </c>
      <c r="X56" s="30">
        <f t="shared" si="15"/>
        <v>41772.52708652999</v>
      </c>
      <c r="Y56">
        <f t="shared" si="16"/>
        <v>0</v>
      </c>
    </row>
    <row r="57" spans="1:25" x14ac:dyDescent="0.25">
      <c r="A57" s="4" t="s">
        <v>768</v>
      </c>
      <c r="B57" s="7" t="s">
        <v>372</v>
      </c>
      <c r="C57" s="2" t="s">
        <v>769</v>
      </c>
      <c r="D57">
        <f>VLOOKUP(B57,'Model allocations'!$A$1:$L$319,6,FALSE)</f>
        <v>82790.242004843909</v>
      </c>
      <c r="E57" s="32">
        <f>VLOOKUP(B57,'Initial adjusted formula count'!$A$1:$P$319,12,FALSE)</f>
        <v>0.237341772151899</v>
      </c>
      <c r="F57">
        <f>VLOOKUP(B57,'Model allocations'!$A$1:$L$319,11,FALSE)</f>
        <v>74511.21780435952</v>
      </c>
      <c r="G57" s="31">
        <f t="shared" si="17"/>
        <v>0.9</v>
      </c>
      <c r="H57">
        <f t="shared" si="18"/>
        <v>74511.21780435952</v>
      </c>
      <c r="I57">
        <f t="shared" si="0"/>
        <v>0</v>
      </c>
      <c r="J57">
        <f t="shared" si="1"/>
        <v>74511.21780435952</v>
      </c>
      <c r="K57">
        <f t="shared" si="2"/>
        <v>74496.102734461354</v>
      </c>
      <c r="L57">
        <f t="shared" si="3"/>
        <v>74496.102734461354</v>
      </c>
      <c r="M57">
        <f t="shared" si="4"/>
        <v>74511.21780435952</v>
      </c>
      <c r="N57" s="30">
        <f t="shared" si="5"/>
        <v>0</v>
      </c>
      <c r="O57" s="30">
        <f t="shared" si="6"/>
        <v>0</v>
      </c>
      <c r="P57" s="30">
        <f t="shared" si="7"/>
        <v>74511.21780435952</v>
      </c>
      <c r="Q57">
        <f t="shared" si="8"/>
        <v>0</v>
      </c>
      <c r="R57" s="30">
        <f t="shared" si="9"/>
        <v>0</v>
      </c>
      <c r="S57" s="30">
        <f t="shared" si="10"/>
        <v>0</v>
      </c>
      <c r="T57" s="30">
        <f t="shared" si="11"/>
        <v>74511.21780435952</v>
      </c>
      <c r="U57">
        <f t="shared" si="12"/>
        <v>0</v>
      </c>
      <c r="V57" s="30">
        <f t="shared" si="13"/>
        <v>0</v>
      </c>
      <c r="W57" s="30">
        <f t="shared" si="14"/>
        <v>0</v>
      </c>
      <c r="X57" s="30">
        <f t="shared" si="15"/>
        <v>74511.21780435952</v>
      </c>
      <c r="Y57">
        <f t="shared" si="16"/>
        <v>0</v>
      </c>
    </row>
    <row r="58" spans="1:25" x14ac:dyDescent="0.25">
      <c r="A58" s="4" t="s">
        <v>770</v>
      </c>
      <c r="B58" s="7" t="s">
        <v>119</v>
      </c>
      <c r="C58" s="2" t="s">
        <v>771</v>
      </c>
      <c r="D58">
        <f>VLOOKUP(B58,'Model allocations'!$A$1:$L$319,6,FALSE)</f>
        <v>0</v>
      </c>
      <c r="E58" s="32">
        <f>VLOOKUP(B58,'Initial adjusted formula count'!$A$1:$P$319,12,FALSE)</f>
        <v>1.8018018018018001E-2</v>
      </c>
      <c r="F58">
        <f>VLOOKUP(B58,'Model allocations'!$A$1:$L$319,11,FALSE)</f>
        <v>0</v>
      </c>
      <c r="G58" s="31">
        <f t="shared" si="17"/>
        <v>0.85</v>
      </c>
      <c r="H58">
        <f t="shared" si="18"/>
        <v>0</v>
      </c>
      <c r="I58">
        <f t="shared" si="0"/>
        <v>0</v>
      </c>
      <c r="J58">
        <f t="shared" si="1"/>
        <v>0</v>
      </c>
      <c r="K58">
        <f t="shared" si="2"/>
        <v>0</v>
      </c>
      <c r="L58">
        <f t="shared" si="3"/>
        <v>0</v>
      </c>
      <c r="M58">
        <f t="shared" si="4"/>
        <v>0</v>
      </c>
      <c r="N58" s="30">
        <f t="shared" si="5"/>
        <v>0</v>
      </c>
      <c r="O58" s="30">
        <f t="shared" si="6"/>
        <v>0</v>
      </c>
      <c r="P58" s="30">
        <f t="shared" si="7"/>
        <v>0</v>
      </c>
      <c r="Q58">
        <f t="shared" si="8"/>
        <v>0</v>
      </c>
      <c r="R58" s="30">
        <f t="shared" si="9"/>
        <v>0</v>
      </c>
      <c r="S58" s="30">
        <f t="shared" si="10"/>
        <v>0</v>
      </c>
      <c r="T58" s="30">
        <f t="shared" si="11"/>
        <v>0</v>
      </c>
      <c r="U58">
        <f t="shared" si="12"/>
        <v>0</v>
      </c>
      <c r="V58" s="30">
        <f t="shared" si="13"/>
        <v>0</v>
      </c>
      <c r="W58" s="30">
        <f t="shared" si="14"/>
        <v>0</v>
      </c>
      <c r="X58" s="30">
        <f t="shared" si="15"/>
        <v>0</v>
      </c>
      <c r="Y58">
        <f t="shared" si="16"/>
        <v>0</v>
      </c>
    </row>
    <row r="59" spans="1:25" x14ac:dyDescent="0.25">
      <c r="A59" s="4" t="s">
        <v>772</v>
      </c>
      <c r="B59" s="7" t="s">
        <v>276</v>
      </c>
      <c r="C59" s="2" t="s">
        <v>773</v>
      </c>
      <c r="D59">
        <f>VLOOKUP(B59,'Model allocations'!$A$1:$L$319,6,FALSE)</f>
        <v>46386.503621146352</v>
      </c>
      <c r="E59" s="32">
        <f>VLOOKUP(B59,'Initial adjusted formula count'!$A$1:$P$319,12,FALSE)</f>
        <v>0.12896825396825401</v>
      </c>
      <c r="F59">
        <f>VLOOKUP(B59,'Model allocations'!$A$1:$L$319,11,FALSE)</f>
        <v>39428.528077974399</v>
      </c>
      <c r="G59" s="31">
        <f t="shared" si="17"/>
        <v>0.85</v>
      </c>
      <c r="H59">
        <f t="shared" si="18"/>
        <v>39428.528077974399</v>
      </c>
      <c r="I59">
        <f t="shared" si="0"/>
        <v>0</v>
      </c>
      <c r="J59">
        <f t="shared" si="1"/>
        <v>39428.528077974399</v>
      </c>
      <c r="K59">
        <f t="shared" si="2"/>
        <v>39420.529752682698</v>
      </c>
      <c r="L59">
        <f t="shared" si="3"/>
        <v>39420.529752682698</v>
      </c>
      <c r="M59">
        <f t="shared" si="4"/>
        <v>39428.528077974399</v>
      </c>
      <c r="N59" s="30">
        <f t="shared" si="5"/>
        <v>0</v>
      </c>
      <c r="O59" s="30">
        <f t="shared" si="6"/>
        <v>0</v>
      </c>
      <c r="P59" s="30">
        <f t="shared" si="7"/>
        <v>39428.528077974399</v>
      </c>
      <c r="Q59">
        <f t="shared" si="8"/>
        <v>0</v>
      </c>
      <c r="R59" s="30">
        <f t="shared" si="9"/>
        <v>0</v>
      </c>
      <c r="S59" s="30">
        <f t="shared" si="10"/>
        <v>0</v>
      </c>
      <c r="T59" s="30">
        <f t="shared" si="11"/>
        <v>39428.528077974399</v>
      </c>
      <c r="U59">
        <f t="shared" si="12"/>
        <v>0</v>
      </c>
      <c r="V59" s="30">
        <f t="shared" si="13"/>
        <v>0</v>
      </c>
      <c r="W59" s="30">
        <f t="shared" si="14"/>
        <v>0</v>
      </c>
      <c r="X59" s="30">
        <f t="shared" si="15"/>
        <v>39428.528077974399</v>
      </c>
      <c r="Y59">
        <f t="shared" si="16"/>
        <v>0</v>
      </c>
    </row>
    <row r="60" spans="1:25" x14ac:dyDescent="0.25">
      <c r="A60" s="4" t="s">
        <v>774</v>
      </c>
      <c r="B60" s="7" t="s">
        <v>374</v>
      </c>
      <c r="C60" s="2" t="s">
        <v>775</v>
      </c>
      <c r="D60">
        <f>VLOOKUP(B60,'Model allocations'!$A$1:$L$319,6,FALSE)</f>
        <v>45338.224812135733</v>
      </c>
      <c r="E60" s="32">
        <f>VLOOKUP(B60,'Initial adjusted formula count'!$A$1:$P$319,12,FALSE)</f>
        <v>0.13775510204081601</v>
      </c>
      <c r="F60">
        <f>VLOOKUP(B60,'Model allocations'!$A$1:$L$319,11,FALSE)</f>
        <v>45978.274346325743</v>
      </c>
      <c r="G60" s="31">
        <f t="shared" si="17"/>
        <v>0.85</v>
      </c>
      <c r="H60">
        <f t="shared" si="18"/>
        <v>38537.491090315372</v>
      </c>
      <c r="I60">
        <f t="shared" si="0"/>
        <v>0</v>
      </c>
      <c r="J60">
        <f t="shared" si="1"/>
        <v>45978.274346325743</v>
      </c>
      <c r="K60">
        <f t="shared" si="2"/>
        <v>45968.947363744861</v>
      </c>
      <c r="L60">
        <f t="shared" si="3"/>
        <v>45968.947363744861</v>
      </c>
      <c r="M60">
        <f t="shared" si="4"/>
        <v>0</v>
      </c>
      <c r="N60" s="30">
        <f t="shared" si="5"/>
        <v>45968.947363744861</v>
      </c>
      <c r="O60" s="30">
        <f t="shared" si="6"/>
        <v>45967.776471019592</v>
      </c>
      <c r="P60" s="30">
        <f t="shared" si="7"/>
        <v>45967.776471019592</v>
      </c>
      <c r="Q60">
        <f t="shared" si="8"/>
        <v>0</v>
      </c>
      <c r="R60" s="30">
        <f t="shared" si="9"/>
        <v>45967.776471019592</v>
      </c>
      <c r="S60" s="30">
        <f t="shared" si="10"/>
        <v>45967.776471019621</v>
      </c>
      <c r="T60" s="30">
        <f t="shared" si="11"/>
        <v>45967.776471019621</v>
      </c>
      <c r="U60">
        <f t="shared" si="12"/>
        <v>0</v>
      </c>
      <c r="V60" s="30">
        <f t="shared" si="13"/>
        <v>45967.776471019621</v>
      </c>
      <c r="W60" s="30">
        <f t="shared" si="14"/>
        <v>45967.776471019621</v>
      </c>
      <c r="X60" s="30">
        <f t="shared" si="15"/>
        <v>45967.776471019621</v>
      </c>
      <c r="Y60">
        <f t="shared" si="16"/>
        <v>0</v>
      </c>
    </row>
    <row r="61" spans="1:25" x14ac:dyDescent="0.25">
      <c r="A61" s="4" t="s">
        <v>776</v>
      </c>
      <c r="B61" s="7" t="s">
        <v>376</v>
      </c>
      <c r="C61" s="2" t="s">
        <v>777</v>
      </c>
      <c r="D61">
        <f>VLOOKUP(B61,'Model allocations'!$A$1:$L$319,6,FALSE)</f>
        <v>62495.858075789583</v>
      </c>
      <c r="E61" s="32">
        <f>VLOOKUP(B61,'Initial adjusted formula count'!$A$1:$P$319,12,FALSE)</f>
        <v>0.15049504950494999</v>
      </c>
      <c r="F61">
        <f>VLOOKUP(B61,'Model allocations'!$A$1:$L$319,11,FALSE)</f>
        <v>56246.272268210625</v>
      </c>
      <c r="G61" s="31">
        <f t="shared" si="17"/>
        <v>0.9</v>
      </c>
      <c r="H61">
        <f t="shared" si="18"/>
        <v>56246.272268210625</v>
      </c>
      <c r="I61">
        <f t="shared" si="0"/>
        <v>0</v>
      </c>
      <c r="J61">
        <f t="shared" si="1"/>
        <v>56246.272268210625</v>
      </c>
      <c r="K61">
        <f t="shared" si="2"/>
        <v>56234.86235757036</v>
      </c>
      <c r="L61">
        <f t="shared" si="3"/>
        <v>56234.86235757036</v>
      </c>
      <c r="M61">
        <f t="shared" si="4"/>
        <v>56246.272268210625</v>
      </c>
      <c r="N61" s="30">
        <f t="shared" si="5"/>
        <v>0</v>
      </c>
      <c r="O61" s="30">
        <f t="shared" si="6"/>
        <v>0</v>
      </c>
      <c r="P61" s="30">
        <f t="shared" si="7"/>
        <v>56246.272268210625</v>
      </c>
      <c r="Q61">
        <f t="shared" si="8"/>
        <v>0</v>
      </c>
      <c r="R61" s="30">
        <f t="shared" si="9"/>
        <v>0</v>
      </c>
      <c r="S61" s="30">
        <f t="shared" si="10"/>
        <v>0</v>
      </c>
      <c r="T61" s="30">
        <f t="shared" si="11"/>
        <v>56246.272268210625</v>
      </c>
      <c r="U61">
        <f t="shared" si="12"/>
        <v>0</v>
      </c>
      <c r="V61" s="30">
        <f t="shared" si="13"/>
        <v>0</v>
      </c>
      <c r="W61" s="30">
        <f t="shared" si="14"/>
        <v>0</v>
      </c>
      <c r="X61" s="30">
        <f t="shared" si="15"/>
        <v>56246.272268210625</v>
      </c>
      <c r="Y61">
        <f t="shared" si="16"/>
        <v>0</v>
      </c>
    </row>
    <row r="62" spans="1:25" x14ac:dyDescent="0.25">
      <c r="A62" s="4" t="s">
        <v>778</v>
      </c>
      <c r="B62" s="7" t="s">
        <v>378</v>
      </c>
      <c r="C62" s="2" t="s">
        <v>779</v>
      </c>
      <c r="D62">
        <f>VLOOKUP(B62,'Model allocations'!$A$1:$L$319,6,FALSE)</f>
        <v>193871.66527199221</v>
      </c>
      <c r="E62" s="32">
        <f>VLOOKUP(B62,'Initial adjusted formula count'!$A$1:$P$319,12,FALSE)</f>
        <v>0.143942591810891</v>
      </c>
      <c r="F62">
        <f>VLOOKUP(B62,'Model allocations'!$A$1:$L$319,11,FALSE)</f>
        <v>193562.8586678651</v>
      </c>
      <c r="G62" s="31">
        <f t="shared" si="17"/>
        <v>0.85</v>
      </c>
      <c r="H62">
        <f t="shared" si="18"/>
        <v>164790.91548119337</v>
      </c>
      <c r="I62">
        <f t="shared" si="0"/>
        <v>0</v>
      </c>
      <c r="J62">
        <f t="shared" si="1"/>
        <v>193562.8586678651</v>
      </c>
      <c r="K62">
        <f t="shared" si="2"/>
        <v>193523.5932226789</v>
      </c>
      <c r="L62">
        <f t="shared" si="3"/>
        <v>193523.5932226789</v>
      </c>
      <c r="M62">
        <f t="shared" si="4"/>
        <v>0</v>
      </c>
      <c r="N62" s="30">
        <f t="shared" si="5"/>
        <v>193523.5932226789</v>
      </c>
      <c r="O62" s="30">
        <f t="shared" si="6"/>
        <v>193518.66390886015</v>
      </c>
      <c r="P62" s="30">
        <f t="shared" si="7"/>
        <v>193518.66390886015</v>
      </c>
      <c r="Q62">
        <f t="shared" si="8"/>
        <v>0</v>
      </c>
      <c r="R62" s="30">
        <f t="shared" si="9"/>
        <v>193518.66390886015</v>
      </c>
      <c r="S62" s="30">
        <f t="shared" si="10"/>
        <v>193518.66390886027</v>
      </c>
      <c r="T62" s="30">
        <f t="shared" si="11"/>
        <v>193518.66390886027</v>
      </c>
      <c r="U62">
        <f t="shared" si="12"/>
        <v>0</v>
      </c>
      <c r="V62" s="30">
        <f t="shared" si="13"/>
        <v>193518.66390886027</v>
      </c>
      <c r="W62" s="30">
        <f t="shared" si="14"/>
        <v>193518.66390886027</v>
      </c>
      <c r="X62" s="30">
        <f t="shared" si="15"/>
        <v>193518.66390886027</v>
      </c>
      <c r="Y62">
        <f t="shared" si="16"/>
        <v>0</v>
      </c>
    </row>
    <row r="63" spans="1:25" x14ac:dyDescent="0.25">
      <c r="A63" s="4" t="s">
        <v>780</v>
      </c>
      <c r="B63" s="7" t="s">
        <v>278</v>
      </c>
      <c r="C63" s="2" t="s">
        <v>781</v>
      </c>
      <c r="D63">
        <f>VLOOKUP(B63,'Model allocations'!$A$1:$L$319,6,FALSE)</f>
        <v>0</v>
      </c>
      <c r="E63" s="32">
        <f>VLOOKUP(B63,'Initial adjusted formula count'!$A$1:$P$319,12,FALSE)</f>
        <v>4.0439560439560401E-2</v>
      </c>
      <c r="F63">
        <f>VLOOKUP(B63,'Model allocations'!$A$1:$L$319,11,FALSE)</f>
        <v>0</v>
      </c>
      <c r="G63" s="31">
        <f t="shared" si="17"/>
        <v>0.85</v>
      </c>
      <c r="H63">
        <f t="shared" si="18"/>
        <v>0</v>
      </c>
      <c r="I63">
        <f t="shared" si="0"/>
        <v>0</v>
      </c>
      <c r="J63">
        <f t="shared" si="1"/>
        <v>0</v>
      </c>
      <c r="K63">
        <f t="shared" si="2"/>
        <v>0</v>
      </c>
      <c r="L63">
        <f t="shared" si="3"/>
        <v>0</v>
      </c>
      <c r="M63">
        <f t="shared" si="4"/>
        <v>0</v>
      </c>
      <c r="N63" s="30">
        <f t="shared" si="5"/>
        <v>0</v>
      </c>
      <c r="O63" s="30">
        <f t="shared" si="6"/>
        <v>0</v>
      </c>
      <c r="P63" s="30">
        <f t="shared" si="7"/>
        <v>0</v>
      </c>
      <c r="Q63">
        <f t="shared" si="8"/>
        <v>0</v>
      </c>
      <c r="R63" s="30">
        <f t="shared" si="9"/>
        <v>0</v>
      </c>
      <c r="S63" s="30">
        <f t="shared" si="10"/>
        <v>0</v>
      </c>
      <c r="T63" s="30">
        <f t="shared" si="11"/>
        <v>0</v>
      </c>
      <c r="U63">
        <f t="shared" si="12"/>
        <v>0</v>
      </c>
      <c r="V63" s="30">
        <f t="shared" si="13"/>
        <v>0</v>
      </c>
      <c r="W63" s="30">
        <f t="shared" si="14"/>
        <v>0</v>
      </c>
      <c r="X63" s="30">
        <f t="shared" si="15"/>
        <v>0</v>
      </c>
      <c r="Y63">
        <f t="shared" si="16"/>
        <v>0</v>
      </c>
    </row>
    <row r="64" spans="1:25" x14ac:dyDescent="0.25">
      <c r="A64" s="4" t="s">
        <v>782</v>
      </c>
      <c r="B64" s="7" t="s">
        <v>380</v>
      </c>
      <c r="C64" s="2" t="s">
        <v>783</v>
      </c>
      <c r="D64">
        <f>VLOOKUP(B64,'Model allocations'!$A$1:$L$319,6,FALSE)</f>
        <v>5415.4096444690585</v>
      </c>
      <c r="E64" s="32">
        <f>VLOOKUP(B64,'Initial adjusted formula count'!$A$1:$P$319,12,FALSE)</f>
        <v>2.7027027027027001E-2</v>
      </c>
      <c r="F64">
        <f>VLOOKUP(B64,'Model allocations'!$A$1:$L$319,11,FALSE)</f>
        <v>0</v>
      </c>
      <c r="G64" s="31">
        <f t="shared" si="17"/>
        <v>0.85</v>
      </c>
      <c r="H64">
        <f t="shared" si="18"/>
        <v>0</v>
      </c>
      <c r="I64">
        <f t="shared" si="0"/>
        <v>0</v>
      </c>
      <c r="J64">
        <f t="shared" si="1"/>
        <v>0</v>
      </c>
      <c r="K64">
        <f t="shared" si="2"/>
        <v>0</v>
      </c>
      <c r="L64">
        <f t="shared" si="3"/>
        <v>0</v>
      </c>
      <c r="M64">
        <f t="shared" si="4"/>
        <v>0</v>
      </c>
      <c r="N64" s="30">
        <f t="shared" si="5"/>
        <v>0</v>
      </c>
      <c r="O64" s="30">
        <f t="shared" si="6"/>
        <v>0</v>
      </c>
      <c r="P64" s="30">
        <f t="shared" si="7"/>
        <v>0</v>
      </c>
      <c r="Q64">
        <f t="shared" si="8"/>
        <v>0</v>
      </c>
      <c r="R64" s="30">
        <f t="shared" si="9"/>
        <v>0</v>
      </c>
      <c r="S64" s="30">
        <f t="shared" si="10"/>
        <v>0</v>
      </c>
      <c r="T64" s="30">
        <f t="shared" si="11"/>
        <v>0</v>
      </c>
      <c r="U64">
        <f t="shared" si="12"/>
        <v>0</v>
      </c>
      <c r="V64" s="30">
        <f t="shared" si="13"/>
        <v>0</v>
      </c>
      <c r="W64" s="30">
        <f t="shared" si="14"/>
        <v>0</v>
      </c>
      <c r="X64" s="30">
        <f t="shared" si="15"/>
        <v>0</v>
      </c>
      <c r="Y64">
        <f t="shared" si="16"/>
        <v>0</v>
      </c>
    </row>
    <row r="65" spans="1:25" x14ac:dyDescent="0.25">
      <c r="A65" s="4" t="s">
        <v>784</v>
      </c>
      <c r="B65" s="7" t="s">
        <v>382</v>
      </c>
      <c r="C65" s="2" t="s">
        <v>785</v>
      </c>
      <c r="D65">
        <f>VLOOKUP(B65,'Model allocations'!$A$1:$L$319,6,FALSE)</f>
        <v>418069.62455301121</v>
      </c>
      <c r="E65" s="32">
        <f>VLOOKUP(B65,'Initial adjusted formula count'!$A$1:$P$319,12,FALSE)</f>
        <v>0.17653344731780299</v>
      </c>
      <c r="F65">
        <f>VLOOKUP(B65,'Model allocations'!$A$1:$L$319,11,FALSE)</f>
        <v>510165.19724059536</v>
      </c>
      <c r="G65" s="31">
        <f t="shared" si="17"/>
        <v>0.9</v>
      </c>
      <c r="H65">
        <f t="shared" si="18"/>
        <v>376262.66209771007</v>
      </c>
      <c r="I65">
        <f t="shared" si="0"/>
        <v>0</v>
      </c>
      <c r="J65">
        <f t="shared" si="1"/>
        <v>510165.19724059536</v>
      </c>
      <c r="K65">
        <f t="shared" si="2"/>
        <v>510061.70701666491</v>
      </c>
      <c r="L65">
        <f t="shared" si="3"/>
        <v>510061.70701666491</v>
      </c>
      <c r="M65">
        <f t="shared" si="4"/>
        <v>0</v>
      </c>
      <c r="N65" s="30">
        <f t="shared" si="5"/>
        <v>510061.70701666491</v>
      </c>
      <c r="O65" s="30">
        <f t="shared" si="6"/>
        <v>510048.7150388966</v>
      </c>
      <c r="P65" s="30">
        <f t="shared" si="7"/>
        <v>510048.7150388966</v>
      </c>
      <c r="Q65">
        <f t="shared" si="8"/>
        <v>0</v>
      </c>
      <c r="R65" s="30">
        <f t="shared" si="9"/>
        <v>510048.7150388966</v>
      </c>
      <c r="S65" s="30">
        <f t="shared" si="10"/>
        <v>510048.71503889695</v>
      </c>
      <c r="T65" s="30">
        <f t="shared" si="11"/>
        <v>510048.71503889695</v>
      </c>
      <c r="U65">
        <f t="shared" si="12"/>
        <v>0</v>
      </c>
      <c r="V65" s="30">
        <f t="shared" si="13"/>
        <v>510048.71503889695</v>
      </c>
      <c r="W65" s="30">
        <f t="shared" si="14"/>
        <v>510048.71503889695</v>
      </c>
      <c r="X65" s="30">
        <f t="shared" si="15"/>
        <v>510048.71503889695</v>
      </c>
      <c r="Y65">
        <f t="shared" si="16"/>
        <v>0</v>
      </c>
    </row>
    <row r="66" spans="1:25" x14ac:dyDescent="0.25">
      <c r="A66" s="4" t="s">
        <v>786</v>
      </c>
      <c r="B66" s="7" t="s">
        <v>384</v>
      </c>
      <c r="C66" s="2" t="s">
        <v>787</v>
      </c>
      <c r="D66">
        <f>VLOOKUP(B66,'Model allocations'!$A$1:$L$319,6,FALSE)</f>
        <v>247484.22075223591</v>
      </c>
      <c r="E66" s="32">
        <f>VLOOKUP(B66,'Initial adjusted formula count'!$A$1:$P$319,12,FALSE)</f>
        <v>0.11726659167604001</v>
      </c>
      <c r="F66">
        <f>VLOOKUP(B66,'Model allocations'!$A$1:$L$319,11,FALSE)</f>
        <v>236702.96793108431</v>
      </c>
      <c r="G66" s="31">
        <f t="shared" si="17"/>
        <v>0.85</v>
      </c>
      <c r="H66">
        <f t="shared" si="18"/>
        <v>210361.58763940053</v>
      </c>
      <c r="I66">
        <f t="shared" si="0"/>
        <v>0</v>
      </c>
      <c r="J66">
        <f t="shared" si="1"/>
        <v>236702.96793108431</v>
      </c>
      <c r="K66">
        <f t="shared" si="2"/>
        <v>236654.95124298273</v>
      </c>
      <c r="L66">
        <f t="shared" si="3"/>
        <v>236654.95124298273</v>
      </c>
      <c r="M66">
        <f t="shared" si="4"/>
        <v>0</v>
      </c>
      <c r="N66" s="30">
        <f t="shared" si="5"/>
        <v>236654.95124298273</v>
      </c>
      <c r="O66" s="30">
        <f t="shared" si="6"/>
        <v>236648.92331376745</v>
      </c>
      <c r="P66" s="30">
        <f t="shared" si="7"/>
        <v>236648.92331376745</v>
      </c>
      <c r="Q66">
        <f t="shared" si="8"/>
        <v>0</v>
      </c>
      <c r="R66" s="30">
        <f t="shared" si="9"/>
        <v>236648.92331376745</v>
      </c>
      <c r="S66" s="30">
        <f t="shared" si="10"/>
        <v>236648.92331376759</v>
      </c>
      <c r="T66" s="30">
        <f t="shared" si="11"/>
        <v>236648.92331376759</v>
      </c>
      <c r="U66">
        <f t="shared" si="12"/>
        <v>0</v>
      </c>
      <c r="V66" s="30">
        <f t="shared" si="13"/>
        <v>236648.92331376759</v>
      </c>
      <c r="W66" s="30">
        <f t="shared" si="14"/>
        <v>236648.92331376759</v>
      </c>
      <c r="X66" s="30">
        <f t="shared" si="15"/>
        <v>236648.92331376759</v>
      </c>
      <c r="Y66">
        <f t="shared" si="16"/>
        <v>0</v>
      </c>
    </row>
    <row r="67" spans="1:25" x14ac:dyDescent="0.25">
      <c r="A67" s="4" t="s">
        <v>788</v>
      </c>
      <c r="B67" s="7" t="s">
        <v>386</v>
      </c>
      <c r="C67" s="2" t="s">
        <v>789</v>
      </c>
      <c r="D67">
        <f>VLOOKUP(B67,'Model allocations'!$A$1:$L$319,6,FALSE)</f>
        <v>368789.3967883428</v>
      </c>
      <c r="E67" s="32">
        <f>VLOOKUP(B67,'Initial adjusted formula count'!$A$1:$P$319,12,FALSE)</f>
        <v>9.6442687747035599E-2</v>
      </c>
      <c r="F67">
        <f>VLOOKUP(B67,'Model allocations'!$A$1:$L$319,11,FALSE)</f>
        <v>346256.14013899642</v>
      </c>
      <c r="G67" s="31">
        <f t="shared" si="17"/>
        <v>0.85</v>
      </c>
      <c r="H67">
        <f t="shared" si="18"/>
        <v>313470.98727009137</v>
      </c>
      <c r="I67">
        <f t="shared" si="0"/>
        <v>0</v>
      </c>
      <c r="J67">
        <f t="shared" si="1"/>
        <v>346256.14013899642</v>
      </c>
      <c r="K67">
        <f t="shared" si="2"/>
        <v>346185.89989980706</v>
      </c>
      <c r="L67">
        <f t="shared" si="3"/>
        <v>346185.89989980706</v>
      </c>
      <c r="M67">
        <f t="shared" si="4"/>
        <v>0</v>
      </c>
      <c r="N67" s="30">
        <f t="shared" si="5"/>
        <v>346185.89989980706</v>
      </c>
      <c r="O67" s="30">
        <f t="shared" si="6"/>
        <v>346177.08206570317</v>
      </c>
      <c r="P67" s="30">
        <f t="shared" si="7"/>
        <v>346177.08206570317</v>
      </c>
      <c r="Q67">
        <f t="shared" si="8"/>
        <v>0</v>
      </c>
      <c r="R67" s="30">
        <f t="shared" si="9"/>
        <v>346177.08206570317</v>
      </c>
      <c r="S67" s="30">
        <f t="shared" si="10"/>
        <v>346177.08206570341</v>
      </c>
      <c r="T67" s="30">
        <f t="shared" si="11"/>
        <v>346177.08206570341</v>
      </c>
      <c r="U67">
        <f t="shared" si="12"/>
        <v>0</v>
      </c>
      <c r="V67" s="30">
        <f t="shared" si="13"/>
        <v>346177.08206570341</v>
      </c>
      <c r="W67" s="30">
        <f t="shared" si="14"/>
        <v>346177.08206570341</v>
      </c>
      <c r="X67" s="30">
        <f t="shared" si="15"/>
        <v>346177.08206570341</v>
      </c>
      <c r="Y67">
        <f t="shared" si="16"/>
        <v>0</v>
      </c>
    </row>
    <row r="68" spans="1:25" x14ac:dyDescent="0.25">
      <c r="A68" s="4" t="s">
        <v>790</v>
      </c>
      <c r="B68" s="7" t="s">
        <v>121</v>
      </c>
      <c r="C68" s="2" t="s">
        <v>791</v>
      </c>
      <c r="D68">
        <f>VLOOKUP(B68,'Model allocations'!$A$1:$L$319,6,FALSE)</f>
        <v>6498.4915733628668</v>
      </c>
      <c r="E68" s="32">
        <f>VLOOKUP(B68,'Initial adjusted formula count'!$A$1:$P$319,12,FALSE)</f>
        <v>4.6666666666666697E-2</v>
      </c>
      <c r="F68">
        <f>VLOOKUP(B68,'Model allocations'!$A$1:$L$319,11,FALSE)</f>
        <v>0</v>
      </c>
      <c r="G68" s="31">
        <f t="shared" si="17"/>
        <v>0.85</v>
      </c>
      <c r="H68">
        <f t="shared" si="18"/>
        <v>0</v>
      </c>
      <c r="I68">
        <f t="shared" ref="I68:I131" si="19">IF(F68&lt;H68,H68,0)</f>
        <v>0</v>
      </c>
      <c r="J68">
        <f t="shared" ref="J68:J131" si="20">IF(I68=0,F68,0)</f>
        <v>0</v>
      </c>
      <c r="K68">
        <f t="shared" ref="K68:K131" si="21">(J68/$J$3)*($F$3-$I$3)</f>
        <v>0</v>
      </c>
      <c r="L68">
        <f t="shared" ref="L68:L131" si="22">I68+K68</f>
        <v>0</v>
      </c>
      <c r="M68">
        <f t="shared" ref="M68:M131" si="23">IF(L68&lt;H68,H68,0)</f>
        <v>0</v>
      </c>
      <c r="N68" s="30">
        <f t="shared" ref="N68:N131" si="24">IF($I68+$M68=0,L68,0)</f>
        <v>0</v>
      </c>
      <c r="O68" s="30">
        <f t="shared" ref="O68:O131" si="25">((N68/$N$3)*($F$3-$I$3-$M$3))</f>
        <v>0</v>
      </c>
      <c r="P68" s="30">
        <f t="shared" ref="P68:P131" si="26">$I68+$M68+O68</f>
        <v>0</v>
      </c>
      <c r="Q68">
        <f t="shared" ref="Q68:Q131" si="27">IF(P68&lt;H68,H68,0)</f>
        <v>0</v>
      </c>
      <c r="R68" s="30">
        <f t="shared" ref="R68:R131" si="28">IF($I68+$M68+$Q68=0,P68,0)</f>
        <v>0</v>
      </c>
      <c r="S68" s="30">
        <f t="shared" ref="S68:S131" si="29">((R68/$R$3)*($F$3-$I$3-$M$3-$Q$3))</f>
        <v>0</v>
      </c>
      <c r="T68" s="30">
        <f t="shared" ref="T68:T131" si="30">$I68+$M68+$Q68+S68</f>
        <v>0</v>
      </c>
      <c r="U68">
        <f t="shared" ref="U68:U131" si="31">IF(T68&lt;H68,H68,0)</f>
        <v>0</v>
      </c>
      <c r="V68" s="30">
        <f t="shared" ref="V68:V131" si="32">IF($I68+$M68+$Q68+U68=0,T68,0)</f>
        <v>0</v>
      </c>
      <c r="W68" s="30">
        <f t="shared" ref="W68:W131" si="33">((V68/$V$3)*($F$3-$I$3-$M$3-$Q$3-$U$3))</f>
        <v>0</v>
      </c>
      <c r="X68" s="30">
        <f t="shared" ref="X68:X131" si="34">$I68+$M68+$Q68+$U68+W68</f>
        <v>0</v>
      </c>
      <c r="Y68">
        <f t="shared" ref="Y68:Y131" si="35">IF(X68&lt;H68,H68,0)</f>
        <v>0</v>
      </c>
    </row>
    <row r="69" spans="1:25" x14ac:dyDescent="0.25">
      <c r="A69" s="4" t="s">
        <v>792</v>
      </c>
      <c r="B69" s="7" t="s">
        <v>123</v>
      </c>
      <c r="C69" s="2" t="s">
        <v>793</v>
      </c>
      <c r="D69">
        <f>VLOOKUP(B69,'Model allocations'!$A$1:$L$319,6,FALSE)</f>
        <v>117514.38928497852</v>
      </c>
      <c r="E69" s="32">
        <f>VLOOKUP(B69,'Initial adjusted formula count'!$A$1:$P$319,12,FALSE)</f>
        <v>8.4845735027223201E-2</v>
      </c>
      <c r="F69">
        <f>VLOOKUP(B69,'Model allocations'!$A$1:$L$319,11,FALSE)</f>
        <v>106147.37410818409</v>
      </c>
      <c r="G69" s="31">
        <f t="shared" ref="G69:G132" si="36">IF(E69&lt;0.15,0.85,IF(AND(E69&gt;=0.15,E69&lt;0.3),0.9,0.95))</f>
        <v>0.85</v>
      </c>
      <c r="H69">
        <f t="shared" ref="H69:H132" si="37">IF(F69 = 0, 0, D69*G69)</f>
        <v>99887.230892231732</v>
      </c>
      <c r="I69">
        <f t="shared" si="19"/>
        <v>0</v>
      </c>
      <c r="J69">
        <f t="shared" si="20"/>
        <v>106147.37410818409</v>
      </c>
      <c r="K69">
        <f t="shared" si="21"/>
        <v>106125.84144469489</v>
      </c>
      <c r="L69">
        <f t="shared" si="22"/>
        <v>106125.84144469489</v>
      </c>
      <c r="M69">
        <f t="shared" si="23"/>
        <v>0</v>
      </c>
      <c r="N69" s="30">
        <f t="shared" si="24"/>
        <v>106125.84144469489</v>
      </c>
      <c r="O69" s="30">
        <f t="shared" si="25"/>
        <v>106123.13827260074</v>
      </c>
      <c r="P69" s="30">
        <f t="shared" si="26"/>
        <v>106123.13827260074</v>
      </c>
      <c r="Q69">
        <f t="shared" si="27"/>
        <v>0</v>
      </c>
      <c r="R69" s="30">
        <f t="shared" si="28"/>
        <v>106123.13827260074</v>
      </c>
      <c r="S69" s="30">
        <f t="shared" si="29"/>
        <v>106123.13827260082</v>
      </c>
      <c r="T69" s="30">
        <f t="shared" si="30"/>
        <v>106123.13827260082</v>
      </c>
      <c r="U69">
        <f t="shared" si="31"/>
        <v>0</v>
      </c>
      <c r="V69" s="30">
        <f t="shared" si="32"/>
        <v>106123.13827260082</v>
      </c>
      <c r="W69" s="30">
        <f t="shared" si="33"/>
        <v>106123.13827260082</v>
      </c>
      <c r="X69" s="30">
        <f t="shared" si="34"/>
        <v>106123.13827260082</v>
      </c>
      <c r="Y69">
        <f t="shared" si="35"/>
        <v>0</v>
      </c>
    </row>
    <row r="70" spans="1:25" x14ac:dyDescent="0.25">
      <c r="A70" s="4" t="s">
        <v>794</v>
      </c>
      <c r="B70" s="7" t="s">
        <v>125</v>
      </c>
      <c r="C70" s="2" t="s">
        <v>795</v>
      </c>
      <c r="D70">
        <f>VLOOKUP(B70,'Model allocations'!$A$1:$L$319,6,FALSE)</f>
        <v>1383907.9346440674</v>
      </c>
      <c r="E70" s="32">
        <f>VLOOKUP(B70,'Initial adjusted formula count'!$A$1:$P$319,12,FALSE)</f>
        <v>8.7055136294280203E-2</v>
      </c>
      <c r="F70">
        <f>VLOOKUP(B70,'Model allocations'!$A$1:$L$319,11,FALSE)</f>
        <v>1601292.7398887023</v>
      </c>
      <c r="G70" s="31">
        <f t="shared" si="36"/>
        <v>0.85</v>
      </c>
      <c r="H70">
        <f t="shared" si="37"/>
        <v>1176321.7444474574</v>
      </c>
      <c r="I70">
        <f t="shared" si="19"/>
        <v>0</v>
      </c>
      <c r="J70">
        <f t="shared" si="20"/>
        <v>1601292.7398887023</v>
      </c>
      <c r="K70">
        <f t="shared" si="21"/>
        <v>1600967.9075694347</v>
      </c>
      <c r="L70">
        <f t="shared" si="22"/>
        <v>1600967.9075694347</v>
      </c>
      <c r="M70">
        <f t="shared" si="23"/>
        <v>0</v>
      </c>
      <c r="N70" s="30">
        <f t="shared" si="24"/>
        <v>1600967.9075694347</v>
      </c>
      <c r="O70" s="30">
        <f t="shared" si="25"/>
        <v>1600927.1287005709</v>
      </c>
      <c r="P70" s="30">
        <f t="shared" si="26"/>
        <v>1600927.1287005709</v>
      </c>
      <c r="Q70">
        <f t="shared" si="27"/>
        <v>0</v>
      </c>
      <c r="R70" s="30">
        <f t="shared" si="28"/>
        <v>1600927.1287005709</v>
      </c>
      <c r="S70" s="30">
        <f t="shared" si="29"/>
        <v>1600927.1287005721</v>
      </c>
      <c r="T70" s="30">
        <f t="shared" si="30"/>
        <v>1600927.1287005721</v>
      </c>
      <c r="U70">
        <f t="shared" si="31"/>
        <v>0</v>
      </c>
      <c r="V70" s="30">
        <f t="shared" si="32"/>
        <v>1600927.1287005721</v>
      </c>
      <c r="W70" s="30">
        <f t="shared" si="33"/>
        <v>1600927.1287005721</v>
      </c>
      <c r="X70" s="30">
        <f t="shared" si="34"/>
        <v>1600927.1287005721</v>
      </c>
      <c r="Y70">
        <f t="shared" si="35"/>
        <v>0</v>
      </c>
    </row>
    <row r="71" spans="1:25" x14ac:dyDescent="0.25">
      <c r="A71" s="4" t="s">
        <v>796</v>
      </c>
      <c r="B71" s="7" t="s">
        <v>388</v>
      </c>
      <c r="C71" s="2" t="s">
        <v>797</v>
      </c>
      <c r="D71">
        <f>VLOOKUP(B71,'Model allocations'!$A$1:$L$319,6,FALSE)</f>
        <v>245859.59785889517</v>
      </c>
      <c r="E71" s="32">
        <f>VLOOKUP(B71,'Initial adjusted formula count'!$A$1:$P$319,12,FALSE)</f>
        <v>0.112334180073384</v>
      </c>
      <c r="F71">
        <f>VLOOKUP(B71,'Model allocations'!$A$1:$L$319,11,FALSE)</f>
        <v>225917.94061527954</v>
      </c>
      <c r="G71" s="31">
        <f t="shared" si="36"/>
        <v>0.85</v>
      </c>
      <c r="H71">
        <f t="shared" si="37"/>
        <v>208980.65818006088</v>
      </c>
      <c r="I71">
        <f t="shared" si="19"/>
        <v>0</v>
      </c>
      <c r="J71">
        <f t="shared" si="20"/>
        <v>225917.94061527954</v>
      </c>
      <c r="K71">
        <f t="shared" si="21"/>
        <v>225872.11173790679</v>
      </c>
      <c r="L71">
        <f t="shared" si="22"/>
        <v>225872.11173790679</v>
      </c>
      <c r="M71">
        <f t="shared" si="23"/>
        <v>0</v>
      </c>
      <c r="N71" s="30">
        <f t="shared" si="24"/>
        <v>225872.11173790679</v>
      </c>
      <c r="O71" s="30">
        <f t="shared" si="25"/>
        <v>225866.35846254064</v>
      </c>
      <c r="P71" s="30">
        <f t="shared" si="26"/>
        <v>225866.35846254064</v>
      </c>
      <c r="Q71">
        <f t="shared" si="27"/>
        <v>0</v>
      </c>
      <c r="R71" s="30">
        <f t="shared" si="28"/>
        <v>225866.35846254064</v>
      </c>
      <c r="S71" s="30">
        <f t="shared" si="29"/>
        <v>225866.35846254078</v>
      </c>
      <c r="T71" s="30">
        <f t="shared" si="30"/>
        <v>225866.35846254078</v>
      </c>
      <c r="U71">
        <f t="shared" si="31"/>
        <v>0</v>
      </c>
      <c r="V71" s="30">
        <f t="shared" si="32"/>
        <v>225866.35846254078</v>
      </c>
      <c r="W71" s="30">
        <f t="shared" si="33"/>
        <v>225866.35846254078</v>
      </c>
      <c r="X71" s="30">
        <f t="shared" si="34"/>
        <v>225866.35846254078</v>
      </c>
      <c r="Y71">
        <f t="shared" si="35"/>
        <v>0</v>
      </c>
    </row>
    <row r="72" spans="1:25" x14ac:dyDescent="0.25">
      <c r="A72" s="4" t="s">
        <v>798</v>
      </c>
      <c r="B72" s="7" t="s">
        <v>390</v>
      </c>
      <c r="C72" s="2" t="s">
        <v>799</v>
      </c>
      <c r="D72">
        <f>VLOOKUP(B72,'Model allocations'!$A$1:$L$319,6,FALSE)</f>
        <v>174911.42256411476</v>
      </c>
      <c r="E72" s="32">
        <f>VLOOKUP(B72,'Initial adjusted formula count'!$A$1:$P$319,12,FALSE)</f>
        <v>0.20969773299748101</v>
      </c>
      <c r="F72">
        <f>VLOOKUP(B72,'Model allocations'!$A$1:$L$319,11,FALSE)</f>
        <v>225459.40666445286</v>
      </c>
      <c r="G72" s="31">
        <f t="shared" si="36"/>
        <v>0.9</v>
      </c>
      <c r="H72">
        <f t="shared" si="37"/>
        <v>157420.2803077033</v>
      </c>
      <c r="I72">
        <f t="shared" si="19"/>
        <v>0</v>
      </c>
      <c r="J72">
        <f t="shared" si="20"/>
        <v>225459.40666445286</v>
      </c>
      <c r="K72">
        <f t="shared" si="21"/>
        <v>225413.67080358049</v>
      </c>
      <c r="L72">
        <f t="shared" si="22"/>
        <v>225413.67080358049</v>
      </c>
      <c r="M72">
        <f t="shared" si="23"/>
        <v>0</v>
      </c>
      <c r="N72" s="30">
        <f t="shared" si="24"/>
        <v>225413.67080358049</v>
      </c>
      <c r="O72" s="30">
        <f t="shared" si="25"/>
        <v>225407.92920533958</v>
      </c>
      <c r="P72" s="30">
        <f t="shared" si="26"/>
        <v>225407.92920533958</v>
      </c>
      <c r="Q72">
        <f t="shared" si="27"/>
        <v>0</v>
      </c>
      <c r="R72" s="30">
        <f t="shared" si="28"/>
        <v>225407.92920533958</v>
      </c>
      <c r="S72" s="30">
        <f t="shared" si="29"/>
        <v>225407.92920533972</v>
      </c>
      <c r="T72" s="30">
        <f t="shared" si="30"/>
        <v>225407.92920533972</v>
      </c>
      <c r="U72">
        <f t="shared" si="31"/>
        <v>0</v>
      </c>
      <c r="V72" s="30">
        <f t="shared" si="32"/>
        <v>225407.92920533972</v>
      </c>
      <c r="W72" s="30">
        <f t="shared" si="33"/>
        <v>225407.92920533972</v>
      </c>
      <c r="X72" s="30">
        <f t="shared" si="34"/>
        <v>225407.92920533972</v>
      </c>
      <c r="Y72">
        <f t="shared" si="35"/>
        <v>0</v>
      </c>
    </row>
    <row r="73" spans="1:25" x14ac:dyDescent="0.25">
      <c r="A73" s="4" t="s">
        <v>800</v>
      </c>
      <c r="B73" s="7" t="s">
        <v>392</v>
      </c>
      <c r="C73" s="2" t="s">
        <v>801</v>
      </c>
      <c r="D73">
        <f>VLOOKUP(B73,'Model allocations'!$A$1:$L$319,6,FALSE)</f>
        <v>16352.060271549828</v>
      </c>
      <c r="E73" s="32">
        <f>VLOOKUP(B73,'Initial adjusted formula count'!$A$1:$P$319,12,FALSE)</f>
        <v>0.195402298850575</v>
      </c>
      <c r="F73">
        <f>VLOOKUP(B73,'Model allocations'!$A$1:$L$319,11,FALSE)</f>
        <v>14716.854244394846</v>
      </c>
      <c r="G73" s="31">
        <f t="shared" si="36"/>
        <v>0.9</v>
      </c>
      <c r="H73">
        <f t="shared" si="37"/>
        <v>14716.854244394846</v>
      </c>
      <c r="I73">
        <f t="shared" si="19"/>
        <v>0</v>
      </c>
      <c r="J73">
        <f t="shared" si="20"/>
        <v>14716.854244394846</v>
      </c>
      <c r="K73">
        <f t="shared" si="21"/>
        <v>14713.86883780588</v>
      </c>
      <c r="L73">
        <f t="shared" si="22"/>
        <v>14713.86883780588</v>
      </c>
      <c r="M73">
        <f t="shared" si="23"/>
        <v>14716.854244394846</v>
      </c>
      <c r="N73" s="30">
        <f t="shared" si="24"/>
        <v>0</v>
      </c>
      <c r="O73" s="30">
        <f t="shared" si="25"/>
        <v>0</v>
      </c>
      <c r="P73" s="30">
        <f t="shared" si="26"/>
        <v>14716.854244394846</v>
      </c>
      <c r="Q73">
        <f t="shared" si="27"/>
        <v>0</v>
      </c>
      <c r="R73" s="30">
        <f t="shared" si="28"/>
        <v>0</v>
      </c>
      <c r="S73" s="30">
        <f t="shared" si="29"/>
        <v>0</v>
      </c>
      <c r="T73" s="30">
        <f t="shared" si="30"/>
        <v>14716.854244394846</v>
      </c>
      <c r="U73">
        <f t="shared" si="31"/>
        <v>0</v>
      </c>
      <c r="V73" s="30">
        <f t="shared" si="32"/>
        <v>0</v>
      </c>
      <c r="W73" s="30">
        <f t="shared" si="33"/>
        <v>0</v>
      </c>
      <c r="X73" s="30">
        <f t="shared" si="34"/>
        <v>14716.854244394846</v>
      </c>
      <c r="Y73">
        <f t="shared" si="35"/>
        <v>0</v>
      </c>
    </row>
    <row r="74" spans="1:25" x14ac:dyDescent="0.25">
      <c r="A74" s="4" t="s">
        <v>802</v>
      </c>
      <c r="B74" s="7" t="s">
        <v>394</v>
      </c>
      <c r="C74" s="2" t="s">
        <v>803</v>
      </c>
      <c r="D74">
        <f>VLOOKUP(B74,'Model allocations'!$A$1:$L$319,6,FALSE)</f>
        <v>37171.58841602139</v>
      </c>
      <c r="E74" s="32">
        <f>VLOOKUP(B74,'Initial adjusted formula count'!$A$1:$P$319,12,FALSE)</f>
        <v>0.17733990147783299</v>
      </c>
      <c r="F74">
        <f>VLOOKUP(B74,'Model allocations'!$A$1:$L$319,11,FALSE)</f>
        <v>44592.625389451459</v>
      </c>
      <c r="G74" s="31">
        <f t="shared" si="36"/>
        <v>0.9</v>
      </c>
      <c r="H74">
        <f t="shared" si="37"/>
        <v>33454.42957441925</v>
      </c>
      <c r="I74">
        <f t="shared" si="19"/>
        <v>0</v>
      </c>
      <c r="J74">
        <f t="shared" si="20"/>
        <v>44592.625389451459</v>
      </c>
      <c r="K74">
        <f t="shared" si="21"/>
        <v>44583.579494490055</v>
      </c>
      <c r="L74">
        <f t="shared" si="22"/>
        <v>44583.579494490055</v>
      </c>
      <c r="M74">
        <f t="shared" si="23"/>
        <v>0</v>
      </c>
      <c r="N74" s="30">
        <f t="shared" si="24"/>
        <v>44583.579494490055</v>
      </c>
      <c r="O74" s="30">
        <f t="shared" si="25"/>
        <v>44582.443889002214</v>
      </c>
      <c r="P74" s="30">
        <f t="shared" si="26"/>
        <v>44582.443889002214</v>
      </c>
      <c r="Q74">
        <f t="shared" si="27"/>
        <v>0</v>
      </c>
      <c r="R74" s="30">
        <f t="shared" si="28"/>
        <v>44582.443889002214</v>
      </c>
      <c r="S74" s="30">
        <f t="shared" si="29"/>
        <v>44582.44388900225</v>
      </c>
      <c r="T74" s="30">
        <f t="shared" si="30"/>
        <v>44582.44388900225</v>
      </c>
      <c r="U74">
        <f t="shared" si="31"/>
        <v>0</v>
      </c>
      <c r="V74" s="30">
        <f t="shared" si="32"/>
        <v>44582.44388900225</v>
      </c>
      <c r="W74" s="30">
        <f t="shared" si="33"/>
        <v>44582.44388900225</v>
      </c>
      <c r="X74" s="30">
        <f t="shared" si="34"/>
        <v>44582.44388900225</v>
      </c>
      <c r="Y74">
        <f t="shared" si="35"/>
        <v>0</v>
      </c>
    </row>
    <row r="75" spans="1:25" x14ac:dyDescent="0.25">
      <c r="A75" s="4" t="s">
        <v>804</v>
      </c>
      <c r="B75" s="7" t="s">
        <v>127</v>
      </c>
      <c r="C75" s="2" t="s">
        <v>805</v>
      </c>
      <c r="D75">
        <f>VLOOKUP(B75,'Model allocations'!$A$1:$L$319,6,FALSE)</f>
        <v>191705.50141420457</v>
      </c>
      <c r="E75" s="32">
        <f>VLOOKUP(B75,'Initial adjusted formula count'!$A$1:$P$319,12,FALSE)</f>
        <v>6.3706563706563704E-2</v>
      </c>
      <c r="F75">
        <f>VLOOKUP(B75,'Model allocations'!$A$1:$L$319,11,FALSE)</f>
        <v>168587.00593652768</v>
      </c>
      <c r="G75" s="31">
        <f t="shared" si="36"/>
        <v>0.85</v>
      </c>
      <c r="H75">
        <f t="shared" si="37"/>
        <v>162949.67620207387</v>
      </c>
      <c r="I75">
        <f t="shared" si="19"/>
        <v>0</v>
      </c>
      <c r="J75">
        <f t="shared" si="20"/>
        <v>168587.00593652768</v>
      </c>
      <c r="K75">
        <f t="shared" si="21"/>
        <v>168552.80700039776</v>
      </c>
      <c r="L75">
        <f t="shared" si="22"/>
        <v>168552.80700039776</v>
      </c>
      <c r="M75">
        <f t="shared" si="23"/>
        <v>0</v>
      </c>
      <c r="N75" s="30">
        <f t="shared" si="24"/>
        <v>168552.80700039776</v>
      </c>
      <c r="O75" s="30">
        <f t="shared" si="25"/>
        <v>168548.51372707178</v>
      </c>
      <c r="P75" s="30">
        <f t="shared" si="26"/>
        <v>168548.51372707178</v>
      </c>
      <c r="Q75">
        <f t="shared" si="27"/>
        <v>0</v>
      </c>
      <c r="R75" s="30">
        <f t="shared" si="28"/>
        <v>168548.51372707178</v>
      </c>
      <c r="S75" s="30">
        <f t="shared" si="29"/>
        <v>168548.5137270719</v>
      </c>
      <c r="T75" s="30">
        <f t="shared" si="30"/>
        <v>168548.5137270719</v>
      </c>
      <c r="U75">
        <f t="shared" si="31"/>
        <v>0</v>
      </c>
      <c r="V75" s="30">
        <f t="shared" si="32"/>
        <v>168548.5137270719</v>
      </c>
      <c r="W75" s="30">
        <f t="shared" si="33"/>
        <v>168548.5137270719</v>
      </c>
      <c r="X75" s="30">
        <f t="shared" si="34"/>
        <v>168548.5137270719</v>
      </c>
      <c r="Y75">
        <f t="shared" si="35"/>
        <v>0</v>
      </c>
    </row>
    <row r="76" spans="1:25" x14ac:dyDescent="0.25">
      <c r="A76" s="4" t="s">
        <v>806</v>
      </c>
      <c r="B76" s="7" t="s">
        <v>396</v>
      </c>
      <c r="C76" s="2" t="s">
        <v>807</v>
      </c>
      <c r="D76">
        <f>VLOOKUP(B76,'Model allocations'!$A$1:$L$319,6,FALSE)</f>
        <v>190080.87852086389</v>
      </c>
      <c r="E76" s="32">
        <f>VLOOKUP(B76,'Initial adjusted formula count'!$A$1:$P$319,12,FALSE)</f>
        <v>0.16247848537005199</v>
      </c>
      <c r="F76">
        <f>VLOOKUP(B76,'Model allocations'!$A$1:$L$319,11,FALSE)</f>
        <v>276182.26996185863</v>
      </c>
      <c r="G76" s="31">
        <f t="shared" si="36"/>
        <v>0.9</v>
      </c>
      <c r="H76">
        <f t="shared" si="37"/>
        <v>171072.79066877751</v>
      </c>
      <c r="I76">
        <f t="shared" si="19"/>
        <v>0</v>
      </c>
      <c r="J76">
        <f t="shared" si="20"/>
        <v>276182.26996185863</v>
      </c>
      <c r="K76">
        <f t="shared" si="21"/>
        <v>276126.24464864918</v>
      </c>
      <c r="L76">
        <f t="shared" si="22"/>
        <v>276126.24464864918</v>
      </c>
      <c r="M76">
        <f t="shared" si="23"/>
        <v>0</v>
      </c>
      <c r="N76" s="30">
        <f t="shared" si="24"/>
        <v>276126.24464864918</v>
      </c>
      <c r="O76" s="30">
        <f t="shared" si="25"/>
        <v>276119.21133094979</v>
      </c>
      <c r="P76" s="30">
        <f t="shared" si="26"/>
        <v>276119.21133094979</v>
      </c>
      <c r="Q76">
        <f t="shared" si="27"/>
        <v>0</v>
      </c>
      <c r="R76" s="30">
        <f t="shared" si="28"/>
        <v>276119.21133094979</v>
      </c>
      <c r="S76" s="30">
        <f t="shared" si="29"/>
        <v>276119.21133094997</v>
      </c>
      <c r="T76" s="30">
        <f t="shared" si="30"/>
        <v>276119.21133094997</v>
      </c>
      <c r="U76">
        <f t="shared" si="31"/>
        <v>0</v>
      </c>
      <c r="V76" s="30">
        <f t="shared" si="32"/>
        <v>276119.21133094997</v>
      </c>
      <c r="W76" s="30">
        <f t="shared" si="33"/>
        <v>276119.21133094997</v>
      </c>
      <c r="X76" s="30">
        <f t="shared" si="34"/>
        <v>276119.21133094997</v>
      </c>
      <c r="Y76">
        <f t="shared" si="35"/>
        <v>0</v>
      </c>
    </row>
    <row r="77" spans="1:25" x14ac:dyDescent="0.25">
      <c r="A77" s="4" t="s">
        <v>808</v>
      </c>
      <c r="B77" s="7" t="s">
        <v>398</v>
      </c>
      <c r="C77" s="2" t="s">
        <v>809</v>
      </c>
      <c r="D77">
        <f>VLOOKUP(B77,'Model allocations'!$A$1:$L$319,6,FALSE)</f>
        <v>26987.560427353434</v>
      </c>
      <c r="E77" s="32">
        <f>VLOOKUP(B77,'Initial adjusted formula count'!$A$1:$P$319,12,FALSE)</f>
        <v>0.171875</v>
      </c>
      <c r="F77">
        <f>VLOOKUP(B77,'Model allocations'!$A$1:$L$319,11,FALSE)</f>
        <v>24288.804384618092</v>
      </c>
      <c r="G77" s="31">
        <f t="shared" si="36"/>
        <v>0.9</v>
      </c>
      <c r="H77">
        <f t="shared" si="37"/>
        <v>24288.804384618092</v>
      </c>
      <c r="I77">
        <f t="shared" si="19"/>
        <v>0</v>
      </c>
      <c r="J77">
        <f t="shared" si="20"/>
        <v>24288.804384618092</v>
      </c>
      <c r="K77">
        <f t="shared" si="21"/>
        <v>24283.877247646844</v>
      </c>
      <c r="L77">
        <f t="shared" si="22"/>
        <v>24283.877247646844</v>
      </c>
      <c r="M77">
        <f t="shared" si="23"/>
        <v>24288.804384618092</v>
      </c>
      <c r="N77" s="30">
        <f t="shared" si="24"/>
        <v>0</v>
      </c>
      <c r="O77" s="30">
        <f t="shared" si="25"/>
        <v>0</v>
      </c>
      <c r="P77" s="30">
        <f t="shared" si="26"/>
        <v>24288.804384618092</v>
      </c>
      <c r="Q77">
        <f t="shared" si="27"/>
        <v>0</v>
      </c>
      <c r="R77" s="30">
        <f t="shared" si="28"/>
        <v>0</v>
      </c>
      <c r="S77" s="30">
        <f t="shared" si="29"/>
        <v>0</v>
      </c>
      <c r="T77" s="30">
        <f t="shared" si="30"/>
        <v>24288.804384618092</v>
      </c>
      <c r="U77">
        <f t="shared" si="31"/>
        <v>0</v>
      </c>
      <c r="V77" s="30">
        <f t="shared" si="32"/>
        <v>0</v>
      </c>
      <c r="W77" s="30">
        <f t="shared" si="33"/>
        <v>0</v>
      </c>
      <c r="X77" s="30">
        <f t="shared" si="34"/>
        <v>24288.804384618092</v>
      </c>
      <c r="Y77">
        <f t="shared" si="35"/>
        <v>0</v>
      </c>
    </row>
    <row r="78" spans="1:25" x14ac:dyDescent="0.25">
      <c r="A78" s="4" t="s">
        <v>810</v>
      </c>
      <c r="B78" s="7" t="s">
        <v>129</v>
      </c>
      <c r="C78" s="2" t="s">
        <v>811</v>
      </c>
      <c r="D78">
        <f>VLOOKUP(B78,'Model allocations'!$A$1:$L$319,6,FALSE)</f>
        <v>1381471.0003040559</v>
      </c>
      <c r="E78" s="32">
        <f>VLOOKUP(B78,'Initial adjusted formula count'!$A$1:$P$319,12,FALSE)</f>
        <v>0.103100469236504</v>
      </c>
      <c r="F78">
        <f>VLOOKUP(B78,'Model allocations'!$A$1:$L$319,11,FALSE)</f>
        <v>1830900.2951120206</v>
      </c>
      <c r="G78" s="31">
        <f t="shared" si="36"/>
        <v>0.85</v>
      </c>
      <c r="H78">
        <f t="shared" si="37"/>
        <v>1174250.3502584475</v>
      </c>
      <c r="I78">
        <f t="shared" si="19"/>
        <v>0</v>
      </c>
      <c r="J78">
        <f t="shared" si="20"/>
        <v>1830900.2951120206</v>
      </c>
      <c r="K78">
        <f t="shared" si="21"/>
        <v>1830528.8854538151</v>
      </c>
      <c r="L78">
        <f t="shared" si="22"/>
        <v>1830528.8854538151</v>
      </c>
      <c r="M78">
        <f t="shared" si="23"/>
        <v>0</v>
      </c>
      <c r="N78" s="30">
        <f t="shared" si="24"/>
        <v>1830528.8854538151</v>
      </c>
      <c r="O78" s="30">
        <f t="shared" si="25"/>
        <v>1830482.2593490575</v>
      </c>
      <c r="P78" s="30">
        <f t="shared" si="26"/>
        <v>1830482.2593490575</v>
      </c>
      <c r="Q78">
        <f t="shared" si="27"/>
        <v>0</v>
      </c>
      <c r="R78" s="30">
        <f t="shared" si="28"/>
        <v>1830482.2593490575</v>
      </c>
      <c r="S78" s="30">
        <f t="shared" si="29"/>
        <v>1830482.2593490588</v>
      </c>
      <c r="T78" s="30">
        <f t="shared" si="30"/>
        <v>1830482.2593490588</v>
      </c>
      <c r="U78">
        <f t="shared" si="31"/>
        <v>0</v>
      </c>
      <c r="V78" s="30">
        <f t="shared" si="32"/>
        <v>1830482.2593490588</v>
      </c>
      <c r="W78" s="30">
        <f t="shared" si="33"/>
        <v>1830482.2593490588</v>
      </c>
      <c r="X78" s="30">
        <f t="shared" si="34"/>
        <v>1830482.2593490588</v>
      </c>
      <c r="Y78">
        <f t="shared" si="35"/>
        <v>0</v>
      </c>
    </row>
    <row r="79" spans="1:25" x14ac:dyDescent="0.25">
      <c r="A79" s="4" t="s">
        <v>812</v>
      </c>
      <c r="B79" s="7" t="s">
        <v>280</v>
      </c>
      <c r="C79" s="2" t="s">
        <v>813</v>
      </c>
      <c r="D79">
        <f>VLOOKUP(B79,'Model allocations'!$A$1:$L$319,6,FALSE)</f>
        <v>2478903.7647557105</v>
      </c>
      <c r="E79" s="32">
        <f>VLOOKUP(B79,'Initial adjusted formula count'!$A$1:$P$319,12,FALSE)</f>
        <v>9.9718521298555102E-2</v>
      </c>
      <c r="F79">
        <f>VLOOKUP(B79,'Model allocations'!$A$1:$L$319,11,FALSE)</f>
        <v>2178291.7012842586</v>
      </c>
      <c r="G79" s="31">
        <f t="shared" si="36"/>
        <v>0.85</v>
      </c>
      <c r="H79">
        <f t="shared" si="37"/>
        <v>2107068.2000423539</v>
      </c>
      <c r="I79">
        <f t="shared" si="19"/>
        <v>0</v>
      </c>
      <c r="J79">
        <f t="shared" si="20"/>
        <v>2178291.7012842586</v>
      </c>
      <c r="K79">
        <f t="shared" si="21"/>
        <v>2177849.8210909977</v>
      </c>
      <c r="L79">
        <f t="shared" si="22"/>
        <v>2177849.8210909977</v>
      </c>
      <c r="M79">
        <f t="shared" si="23"/>
        <v>0</v>
      </c>
      <c r="N79" s="30">
        <f t="shared" si="24"/>
        <v>2177849.8210909977</v>
      </c>
      <c r="O79" s="30">
        <f t="shared" si="25"/>
        <v>2177794.3482412049</v>
      </c>
      <c r="P79" s="30">
        <f t="shared" si="26"/>
        <v>2177794.3482412049</v>
      </c>
      <c r="Q79">
        <f t="shared" si="27"/>
        <v>0</v>
      </c>
      <c r="R79" s="30">
        <f t="shared" si="28"/>
        <v>2177794.3482412049</v>
      </c>
      <c r="S79" s="30">
        <f t="shared" si="29"/>
        <v>2177794.3482412067</v>
      </c>
      <c r="T79" s="30">
        <f t="shared" si="30"/>
        <v>2177794.3482412067</v>
      </c>
      <c r="U79">
        <f t="shared" si="31"/>
        <v>0</v>
      </c>
      <c r="V79" s="30">
        <f t="shared" si="32"/>
        <v>2177794.3482412067</v>
      </c>
      <c r="W79" s="30">
        <f t="shared" si="33"/>
        <v>2177794.3482412067</v>
      </c>
      <c r="X79" s="30">
        <f t="shared" si="34"/>
        <v>2177794.3482412067</v>
      </c>
      <c r="Y79">
        <f t="shared" si="35"/>
        <v>0</v>
      </c>
    </row>
    <row r="80" spans="1:25" x14ac:dyDescent="0.25">
      <c r="A80" s="4" t="s">
        <v>814</v>
      </c>
      <c r="B80" s="7" t="s">
        <v>400</v>
      </c>
      <c r="C80" s="2" t="s">
        <v>815</v>
      </c>
      <c r="D80">
        <f>VLOOKUP(B80,'Model allocations'!$A$1:$L$319,6,FALSE)</f>
        <v>15972.27689801759</v>
      </c>
      <c r="E80" s="32">
        <f>VLOOKUP(B80,'Initial adjusted formula count'!$A$1:$P$319,12,FALSE)</f>
        <v>0.25</v>
      </c>
      <c r="F80">
        <f>VLOOKUP(B80,'Model allocations'!$A$1:$L$319,11,FALSE)</f>
        <v>14375.049208215831</v>
      </c>
      <c r="G80" s="31">
        <f t="shared" si="36"/>
        <v>0.9</v>
      </c>
      <c r="H80">
        <f t="shared" si="37"/>
        <v>14375.049208215831</v>
      </c>
      <c r="I80">
        <f t="shared" si="19"/>
        <v>0</v>
      </c>
      <c r="J80">
        <f t="shared" si="20"/>
        <v>14375.049208215831</v>
      </c>
      <c r="K80">
        <f t="shared" si="21"/>
        <v>14372.133138931575</v>
      </c>
      <c r="L80">
        <f t="shared" si="22"/>
        <v>14372.133138931575</v>
      </c>
      <c r="M80">
        <f t="shared" si="23"/>
        <v>14375.049208215831</v>
      </c>
      <c r="N80" s="30">
        <f t="shared" si="24"/>
        <v>0</v>
      </c>
      <c r="O80" s="30">
        <f t="shared" si="25"/>
        <v>0</v>
      </c>
      <c r="P80" s="30">
        <f t="shared" si="26"/>
        <v>14375.049208215831</v>
      </c>
      <c r="Q80">
        <f t="shared" si="27"/>
        <v>0</v>
      </c>
      <c r="R80" s="30">
        <f t="shared" si="28"/>
        <v>0</v>
      </c>
      <c r="S80" s="30">
        <f t="shared" si="29"/>
        <v>0</v>
      </c>
      <c r="T80" s="30">
        <f t="shared" si="30"/>
        <v>14375.049208215831</v>
      </c>
      <c r="U80">
        <f t="shared" si="31"/>
        <v>0</v>
      </c>
      <c r="V80" s="30">
        <f t="shared" si="32"/>
        <v>0</v>
      </c>
      <c r="W80" s="30">
        <f t="shared" si="33"/>
        <v>0</v>
      </c>
      <c r="X80" s="30">
        <f t="shared" si="34"/>
        <v>14375.049208215831</v>
      </c>
      <c r="Y80">
        <f t="shared" si="35"/>
        <v>0</v>
      </c>
    </row>
    <row r="81" spans="1:25" x14ac:dyDescent="0.25">
      <c r="A81" s="4" t="s">
        <v>816</v>
      </c>
      <c r="B81" s="7" t="s">
        <v>402</v>
      </c>
      <c r="C81" s="2" t="s">
        <v>817</v>
      </c>
      <c r="D81">
        <f>VLOOKUP(B81,'Model allocations'!$A$1:$L$319,6,FALSE)</f>
        <v>3624804.4455253631</v>
      </c>
      <c r="E81" s="32">
        <f>VLOOKUP(B81,'Initial adjusted formula count'!$A$1:$P$319,12,FALSE)</f>
        <v>0.17725043637270399</v>
      </c>
      <c r="F81">
        <f>VLOOKUP(B81,'Model allocations'!$A$1:$L$319,11,FALSE)</f>
        <v>4003799.4827383771</v>
      </c>
      <c r="G81" s="31">
        <f t="shared" si="36"/>
        <v>0.9</v>
      </c>
      <c r="H81">
        <f t="shared" si="37"/>
        <v>3262324.000972827</v>
      </c>
      <c r="I81">
        <f t="shared" si="19"/>
        <v>0</v>
      </c>
      <c r="J81">
        <f t="shared" si="20"/>
        <v>4003799.4827383771</v>
      </c>
      <c r="K81">
        <f t="shared" si="21"/>
        <v>4002987.286792275</v>
      </c>
      <c r="L81">
        <f t="shared" si="22"/>
        <v>4002987.286792275</v>
      </c>
      <c r="M81">
        <f t="shared" si="23"/>
        <v>0</v>
      </c>
      <c r="N81" s="30">
        <f t="shared" si="24"/>
        <v>4002987.286792275</v>
      </c>
      <c r="O81" s="30">
        <f t="shared" si="25"/>
        <v>4002885.3251646492</v>
      </c>
      <c r="P81" s="30">
        <f t="shared" si="26"/>
        <v>4002885.3251646492</v>
      </c>
      <c r="Q81">
        <f t="shared" si="27"/>
        <v>0</v>
      </c>
      <c r="R81" s="30">
        <f t="shared" si="28"/>
        <v>4002885.3251646492</v>
      </c>
      <c r="S81" s="30">
        <f t="shared" si="29"/>
        <v>4002885.3251646515</v>
      </c>
      <c r="T81" s="30">
        <f t="shared" si="30"/>
        <v>4002885.3251646515</v>
      </c>
      <c r="U81">
        <f t="shared" si="31"/>
        <v>0</v>
      </c>
      <c r="V81" s="30">
        <f t="shared" si="32"/>
        <v>4002885.3251646515</v>
      </c>
      <c r="W81" s="30">
        <f t="shared" si="33"/>
        <v>4002885.3251646515</v>
      </c>
      <c r="X81" s="30">
        <f t="shared" si="34"/>
        <v>4002885.3251646515</v>
      </c>
      <c r="Y81">
        <f t="shared" si="35"/>
        <v>0</v>
      </c>
    </row>
    <row r="82" spans="1:25" x14ac:dyDescent="0.25">
      <c r="A82" s="4" t="s">
        <v>818</v>
      </c>
      <c r="B82" s="7" t="s">
        <v>131</v>
      </c>
      <c r="C82" s="2" t="s">
        <v>819</v>
      </c>
      <c r="D82">
        <f>VLOOKUP(B82,'Model allocations'!$A$1:$L$319,6,FALSE)</f>
        <v>650390.6983007337</v>
      </c>
      <c r="E82" s="32">
        <f>VLOOKUP(B82,'Initial adjusted formula count'!$A$1:$P$319,12,FALSE)</f>
        <v>0.127856101118133</v>
      </c>
      <c r="F82">
        <f>VLOOKUP(B82,'Model allocations'!$A$1:$L$319,11,FALSE)</f>
        <v>552832.09355562367</v>
      </c>
      <c r="G82" s="31">
        <f t="shared" si="36"/>
        <v>0.85</v>
      </c>
      <c r="H82">
        <f t="shared" si="37"/>
        <v>552832.09355562367</v>
      </c>
      <c r="I82">
        <f t="shared" si="19"/>
        <v>0</v>
      </c>
      <c r="J82">
        <f t="shared" si="20"/>
        <v>552832.09355562367</v>
      </c>
      <c r="K82">
        <f t="shared" si="21"/>
        <v>552719.94808300526</v>
      </c>
      <c r="L82">
        <f t="shared" si="22"/>
        <v>552719.94808300526</v>
      </c>
      <c r="M82">
        <f t="shared" si="23"/>
        <v>552832.09355562367</v>
      </c>
      <c r="N82" s="30">
        <f t="shared" si="24"/>
        <v>0</v>
      </c>
      <c r="O82" s="30">
        <f t="shared" si="25"/>
        <v>0</v>
      </c>
      <c r="P82" s="30">
        <f t="shared" si="26"/>
        <v>552832.09355562367</v>
      </c>
      <c r="Q82">
        <f t="shared" si="27"/>
        <v>0</v>
      </c>
      <c r="R82" s="30">
        <f t="shared" si="28"/>
        <v>0</v>
      </c>
      <c r="S82" s="30">
        <f t="shared" si="29"/>
        <v>0</v>
      </c>
      <c r="T82" s="30">
        <f t="shared" si="30"/>
        <v>552832.09355562367</v>
      </c>
      <c r="U82">
        <f t="shared" si="31"/>
        <v>0</v>
      </c>
      <c r="V82" s="30">
        <f t="shared" si="32"/>
        <v>0</v>
      </c>
      <c r="W82" s="30">
        <f t="shared" si="33"/>
        <v>0</v>
      </c>
      <c r="X82" s="30">
        <f t="shared" si="34"/>
        <v>552832.09355562367</v>
      </c>
      <c r="Y82">
        <f t="shared" si="35"/>
        <v>0</v>
      </c>
    </row>
    <row r="83" spans="1:25" x14ac:dyDescent="0.25">
      <c r="A83" s="4" t="s">
        <v>820</v>
      </c>
      <c r="B83" s="7" t="s">
        <v>133</v>
      </c>
      <c r="C83" s="2" t="s">
        <v>821</v>
      </c>
      <c r="D83">
        <f>VLOOKUP(B83,'Model allocations'!$A$1:$L$319,6,FALSE)</f>
        <v>220948.71349433751</v>
      </c>
      <c r="E83" s="32">
        <f>VLOOKUP(B83,'Initial adjusted formula count'!$A$1:$P$319,12,FALSE)</f>
        <v>8.8828740157480296E-2</v>
      </c>
      <c r="F83">
        <f>VLOOKUP(B83,'Model allocations'!$A$1:$L$319,11,FALSE)</f>
        <v>204915.51900029121</v>
      </c>
      <c r="G83" s="31">
        <f t="shared" si="36"/>
        <v>0.85</v>
      </c>
      <c r="H83">
        <f t="shared" si="37"/>
        <v>187806.40647018689</v>
      </c>
      <c r="I83">
        <f t="shared" si="19"/>
        <v>0</v>
      </c>
      <c r="J83">
        <f t="shared" si="20"/>
        <v>204915.51900029121</v>
      </c>
      <c r="K83">
        <f t="shared" si="21"/>
        <v>204873.95059644306</v>
      </c>
      <c r="L83">
        <f t="shared" si="22"/>
        <v>204873.95059644306</v>
      </c>
      <c r="M83">
        <f t="shared" si="23"/>
        <v>0</v>
      </c>
      <c r="N83" s="30">
        <f t="shared" si="24"/>
        <v>204873.95059644306</v>
      </c>
      <c r="O83" s="30">
        <f t="shared" si="25"/>
        <v>204868.73217330946</v>
      </c>
      <c r="P83" s="30">
        <f t="shared" si="26"/>
        <v>204868.73217330946</v>
      </c>
      <c r="Q83">
        <f t="shared" si="27"/>
        <v>0</v>
      </c>
      <c r="R83" s="30">
        <f t="shared" si="28"/>
        <v>204868.73217330946</v>
      </c>
      <c r="S83" s="30">
        <f t="shared" si="29"/>
        <v>204868.7321733096</v>
      </c>
      <c r="T83" s="30">
        <f t="shared" si="30"/>
        <v>204868.7321733096</v>
      </c>
      <c r="U83">
        <f t="shared" si="31"/>
        <v>0</v>
      </c>
      <c r="V83" s="30">
        <f t="shared" si="32"/>
        <v>204868.7321733096</v>
      </c>
      <c r="W83" s="30">
        <f t="shared" si="33"/>
        <v>204868.7321733096</v>
      </c>
      <c r="X83" s="30">
        <f t="shared" si="34"/>
        <v>204868.7321733096</v>
      </c>
      <c r="Y83">
        <f t="shared" si="35"/>
        <v>0</v>
      </c>
    </row>
    <row r="84" spans="1:25" x14ac:dyDescent="0.25">
      <c r="A84" s="4" t="s">
        <v>822</v>
      </c>
      <c r="B84" s="7" t="s">
        <v>404</v>
      </c>
      <c r="C84" s="2" t="s">
        <v>823</v>
      </c>
      <c r="D84">
        <f>VLOOKUP(B84,'Model allocations'!$A$1:$L$319,6,FALSE)</f>
        <v>85824.328453391456</v>
      </c>
      <c r="E84" s="32">
        <f>VLOOKUP(B84,'Initial adjusted formula count'!$A$1:$P$319,12,FALSE)</f>
        <v>0.141436464088398</v>
      </c>
      <c r="F84">
        <f>VLOOKUP(B84,'Model allocations'!$A$1:$L$319,11,FALSE)</f>
        <v>72950.679185382731</v>
      </c>
      <c r="G84" s="31">
        <f t="shared" si="36"/>
        <v>0.85</v>
      </c>
      <c r="H84">
        <f t="shared" si="37"/>
        <v>72950.679185382731</v>
      </c>
      <c r="I84">
        <f t="shared" si="19"/>
        <v>0</v>
      </c>
      <c r="J84">
        <f t="shared" si="20"/>
        <v>72950.679185382731</v>
      </c>
      <c r="K84">
        <f t="shared" si="21"/>
        <v>72935.880680573682</v>
      </c>
      <c r="L84">
        <f t="shared" si="22"/>
        <v>72935.880680573682</v>
      </c>
      <c r="M84">
        <f t="shared" si="23"/>
        <v>72950.679185382731</v>
      </c>
      <c r="N84" s="30">
        <f t="shared" si="24"/>
        <v>0</v>
      </c>
      <c r="O84" s="30">
        <f t="shared" si="25"/>
        <v>0</v>
      </c>
      <c r="P84" s="30">
        <f t="shared" si="26"/>
        <v>72950.679185382731</v>
      </c>
      <c r="Q84">
        <f t="shared" si="27"/>
        <v>0</v>
      </c>
      <c r="R84" s="30">
        <f t="shared" si="28"/>
        <v>0</v>
      </c>
      <c r="S84" s="30">
        <f t="shared" si="29"/>
        <v>0</v>
      </c>
      <c r="T84" s="30">
        <f t="shared" si="30"/>
        <v>72950.679185382731</v>
      </c>
      <c r="U84">
        <f t="shared" si="31"/>
        <v>0</v>
      </c>
      <c r="V84" s="30">
        <f t="shared" si="32"/>
        <v>0</v>
      </c>
      <c r="W84" s="30">
        <f t="shared" si="33"/>
        <v>0</v>
      </c>
      <c r="X84" s="30">
        <f t="shared" si="34"/>
        <v>72950.679185382731</v>
      </c>
      <c r="Y84">
        <f t="shared" si="35"/>
        <v>0</v>
      </c>
    </row>
    <row r="85" spans="1:25" x14ac:dyDescent="0.25">
      <c r="A85" s="4" t="s">
        <v>824</v>
      </c>
      <c r="B85" s="7" t="s">
        <v>406</v>
      </c>
      <c r="C85" s="2" t="s">
        <v>825</v>
      </c>
      <c r="D85">
        <f>VLOOKUP(B85,'Model allocations'!$A$1:$L$319,6,FALSE)</f>
        <v>851843.93707498256</v>
      </c>
      <c r="E85" s="32">
        <f>VLOOKUP(B85,'Initial adjusted formula count'!$A$1:$P$319,12,FALSE)</f>
        <v>0.135009712928988</v>
      </c>
      <c r="F85">
        <f>VLOOKUP(B85,'Model allocations'!$A$1:$L$319,11,FALSE)</f>
        <v>869046.14844721847</v>
      </c>
      <c r="G85" s="31">
        <f t="shared" si="36"/>
        <v>0.85</v>
      </c>
      <c r="H85">
        <f t="shared" si="37"/>
        <v>724067.34651373513</v>
      </c>
      <c r="I85">
        <f t="shared" si="19"/>
        <v>0</v>
      </c>
      <c r="J85">
        <f t="shared" si="20"/>
        <v>869046.14844721847</v>
      </c>
      <c r="K85">
        <f t="shared" si="21"/>
        <v>868869.85696164647</v>
      </c>
      <c r="L85">
        <f t="shared" si="22"/>
        <v>868869.85696164647</v>
      </c>
      <c r="M85">
        <f t="shared" si="23"/>
        <v>0</v>
      </c>
      <c r="N85" s="30">
        <f t="shared" si="24"/>
        <v>868869.85696164647</v>
      </c>
      <c r="O85" s="30">
        <f t="shared" si="25"/>
        <v>868847.7256435923</v>
      </c>
      <c r="P85" s="30">
        <f t="shared" si="26"/>
        <v>868847.7256435923</v>
      </c>
      <c r="Q85">
        <f t="shared" si="27"/>
        <v>0</v>
      </c>
      <c r="R85" s="30">
        <f t="shared" si="28"/>
        <v>868847.7256435923</v>
      </c>
      <c r="S85" s="30">
        <f t="shared" si="29"/>
        <v>868847.72564359289</v>
      </c>
      <c r="T85" s="30">
        <f t="shared" si="30"/>
        <v>868847.72564359289</v>
      </c>
      <c r="U85">
        <f t="shared" si="31"/>
        <v>0</v>
      </c>
      <c r="V85" s="30">
        <f t="shared" si="32"/>
        <v>868847.72564359289</v>
      </c>
      <c r="W85" s="30">
        <f t="shared" si="33"/>
        <v>868847.72564359289</v>
      </c>
      <c r="X85" s="30">
        <f t="shared" si="34"/>
        <v>868847.72564359289</v>
      </c>
      <c r="Y85">
        <f t="shared" si="35"/>
        <v>0</v>
      </c>
    </row>
    <row r="86" spans="1:25" x14ac:dyDescent="0.25">
      <c r="A86" s="4" t="s">
        <v>826</v>
      </c>
      <c r="B86" s="7" t="s">
        <v>135</v>
      </c>
      <c r="C86" s="2" t="s">
        <v>827</v>
      </c>
      <c r="D86">
        <f>VLOOKUP(B86,'Model allocations'!$A$1:$L$319,6,FALSE)</f>
        <v>31409.375937920522</v>
      </c>
      <c r="E86" s="32">
        <f>VLOOKUP(B86,'Initial adjusted formula count'!$A$1:$P$319,12,FALSE)</f>
        <v>5.0301810865191199E-2</v>
      </c>
      <c r="F86">
        <f>VLOOKUP(B86,'Model allocations'!$A$1:$L$319,11,FALSE)</f>
        <v>28381.650831065272</v>
      </c>
      <c r="G86" s="31">
        <f t="shared" si="36"/>
        <v>0.85</v>
      </c>
      <c r="H86">
        <f t="shared" si="37"/>
        <v>26697.969547232442</v>
      </c>
      <c r="I86">
        <f t="shared" si="19"/>
        <v>0</v>
      </c>
      <c r="J86">
        <f t="shared" si="20"/>
        <v>28381.650831065272</v>
      </c>
      <c r="K86">
        <f t="shared" si="21"/>
        <v>28375.893434410402</v>
      </c>
      <c r="L86">
        <f t="shared" si="22"/>
        <v>28375.893434410402</v>
      </c>
      <c r="M86">
        <f t="shared" si="23"/>
        <v>0</v>
      </c>
      <c r="N86" s="30">
        <f t="shared" si="24"/>
        <v>28375.893434410402</v>
      </c>
      <c r="O86" s="30">
        <f t="shared" si="25"/>
        <v>28375.170661123197</v>
      </c>
      <c r="P86" s="30">
        <f t="shared" si="26"/>
        <v>28375.170661123197</v>
      </c>
      <c r="Q86">
        <f t="shared" si="27"/>
        <v>0</v>
      </c>
      <c r="R86" s="30">
        <f t="shared" si="28"/>
        <v>28375.170661123197</v>
      </c>
      <c r="S86" s="30">
        <f t="shared" si="29"/>
        <v>28375.170661123218</v>
      </c>
      <c r="T86" s="30">
        <f t="shared" si="30"/>
        <v>28375.170661123218</v>
      </c>
      <c r="U86">
        <f t="shared" si="31"/>
        <v>0</v>
      </c>
      <c r="V86" s="30">
        <f t="shared" si="32"/>
        <v>28375.170661123218</v>
      </c>
      <c r="W86" s="30">
        <f t="shared" si="33"/>
        <v>28375.170661123218</v>
      </c>
      <c r="X86" s="30">
        <f t="shared" si="34"/>
        <v>28375.170661123218</v>
      </c>
      <c r="Y86">
        <f t="shared" si="35"/>
        <v>0</v>
      </c>
    </row>
    <row r="87" spans="1:25" x14ac:dyDescent="0.25">
      <c r="A87" s="4" t="s">
        <v>828</v>
      </c>
      <c r="B87" s="7" t="s">
        <v>408</v>
      </c>
      <c r="C87" s="2" t="s">
        <v>829</v>
      </c>
      <c r="D87">
        <f>VLOOKUP(B87,'Model allocations'!$A$1:$L$319,6,FALSE)</f>
        <v>16144.091429905984</v>
      </c>
      <c r="E87" s="32">
        <f>VLOOKUP(B87,'Initial adjusted formula count'!$A$1:$P$319,12,FALSE)</f>
        <v>0.27559055118110198</v>
      </c>
      <c r="F87">
        <f>VLOOKUP(B87,'Model allocations'!$A$1:$L$319,11,FALSE)</f>
        <v>29290.019756738937</v>
      </c>
      <c r="G87" s="31">
        <f t="shared" si="36"/>
        <v>0.9</v>
      </c>
      <c r="H87">
        <f t="shared" si="37"/>
        <v>14529.682286915386</v>
      </c>
      <c r="I87">
        <f t="shared" si="19"/>
        <v>0</v>
      </c>
      <c r="J87">
        <f t="shared" si="20"/>
        <v>29290.019756738937</v>
      </c>
      <c r="K87">
        <f t="shared" si="21"/>
        <v>29284.078091725434</v>
      </c>
      <c r="L87">
        <f t="shared" si="22"/>
        <v>29284.078091725434</v>
      </c>
      <c r="M87">
        <f t="shared" si="23"/>
        <v>0</v>
      </c>
      <c r="N87" s="30">
        <f t="shared" si="24"/>
        <v>29284.078091725434</v>
      </c>
      <c r="O87" s="30">
        <f t="shared" si="25"/>
        <v>29283.332185717787</v>
      </c>
      <c r="P87" s="30">
        <f t="shared" si="26"/>
        <v>29283.332185717787</v>
      </c>
      <c r="Q87">
        <f t="shared" si="27"/>
        <v>0</v>
      </c>
      <c r="R87" s="30">
        <f t="shared" si="28"/>
        <v>29283.332185717787</v>
      </c>
      <c r="S87" s="30">
        <f t="shared" si="29"/>
        <v>29283.332185717805</v>
      </c>
      <c r="T87" s="30">
        <f t="shared" si="30"/>
        <v>29283.332185717805</v>
      </c>
      <c r="U87">
        <f t="shared" si="31"/>
        <v>0</v>
      </c>
      <c r="V87" s="30">
        <f t="shared" si="32"/>
        <v>29283.332185717805</v>
      </c>
      <c r="W87" s="30">
        <f t="shared" si="33"/>
        <v>29283.332185717805</v>
      </c>
      <c r="X87" s="30">
        <f t="shared" si="34"/>
        <v>29283.332185717805</v>
      </c>
      <c r="Y87">
        <f t="shared" si="35"/>
        <v>0</v>
      </c>
    </row>
    <row r="88" spans="1:25" x14ac:dyDescent="0.25">
      <c r="A88" s="4" t="s">
        <v>830</v>
      </c>
      <c r="B88" s="7" t="s">
        <v>137</v>
      </c>
      <c r="C88" s="2" t="s">
        <v>831</v>
      </c>
      <c r="D88">
        <f>VLOOKUP(B88,'Model allocations'!$A$1:$L$319,6,FALSE)</f>
        <v>12170.672866124427</v>
      </c>
      <c r="E88" s="32">
        <f>VLOOKUP(B88,'Initial adjusted formula count'!$A$1:$P$319,12,FALSE)</f>
        <v>0.21666666666666701</v>
      </c>
      <c r="F88">
        <f>VLOOKUP(B88,'Model allocations'!$A$1:$L$319,11,FALSE)</f>
        <v>10953.605579511985</v>
      </c>
      <c r="G88" s="31">
        <f t="shared" si="36"/>
        <v>0.9</v>
      </c>
      <c r="H88">
        <f t="shared" si="37"/>
        <v>10953.605579511985</v>
      </c>
      <c r="I88">
        <f t="shared" si="19"/>
        <v>0</v>
      </c>
      <c r="J88">
        <f t="shared" si="20"/>
        <v>10953.605579511985</v>
      </c>
      <c r="K88">
        <f t="shared" si="21"/>
        <v>10951.383571620421</v>
      </c>
      <c r="L88">
        <f t="shared" si="22"/>
        <v>10951.383571620421</v>
      </c>
      <c r="M88">
        <f t="shared" si="23"/>
        <v>10953.605579511985</v>
      </c>
      <c r="N88" s="30">
        <f t="shared" si="24"/>
        <v>0</v>
      </c>
      <c r="O88" s="30">
        <f t="shared" si="25"/>
        <v>0</v>
      </c>
      <c r="P88" s="30">
        <f t="shared" si="26"/>
        <v>10953.605579511985</v>
      </c>
      <c r="Q88">
        <f t="shared" si="27"/>
        <v>0</v>
      </c>
      <c r="R88" s="30">
        <f t="shared" si="28"/>
        <v>0</v>
      </c>
      <c r="S88" s="30">
        <f t="shared" si="29"/>
        <v>0</v>
      </c>
      <c r="T88" s="30">
        <f t="shared" si="30"/>
        <v>10953.605579511985</v>
      </c>
      <c r="U88">
        <f t="shared" si="31"/>
        <v>0</v>
      </c>
      <c r="V88" s="30">
        <f t="shared" si="32"/>
        <v>0</v>
      </c>
      <c r="W88" s="30">
        <f t="shared" si="33"/>
        <v>0</v>
      </c>
      <c r="X88" s="30">
        <f t="shared" si="34"/>
        <v>10953.605579511985</v>
      </c>
      <c r="Y88">
        <f t="shared" si="35"/>
        <v>0</v>
      </c>
    </row>
    <row r="89" spans="1:25" x14ac:dyDescent="0.25">
      <c r="A89" s="4" t="s">
        <v>832</v>
      </c>
      <c r="B89" s="7" t="s">
        <v>410</v>
      </c>
      <c r="C89" s="2" t="s">
        <v>833</v>
      </c>
      <c r="D89">
        <f>VLOOKUP(B89,'Model allocations'!$A$1:$L$319,6,FALSE)</f>
        <v>173595.84356065973</v>
      </c>
      <c r="E89" s="32">
        <f>VLOOKUP(B89,'Initial adjusted formula count'!$A$1:$P$319,12,FALSE)</f>
        <v>0.21327014218009499</v>
      </c>
      <c r="F89">
        <f>VLOOKUP(B89,'Model allocations'!$A$1:$L$319,11,FALSE)</f>
        <v>156236.25920459378</v>
      </c>
      <c r="G89" s="31">
        <f t="shared" si="36"/>
        <v>0.9</v>
      </c>
      <c r="H89">
        <f t="shared" si="37"/>
        <v>156236.25920459378</v>
      </c>
      <c r="I89">
        <f t="shared" si="19"/>
        <v>0</v>
      </c>
      <c r="J89">
        <f t="shared" si="20"/>
        <v>156236.25920459378</v>
      </c>
      <c r="K89">
        <f t="shared" si="21"/>
        <v>156204.56569523917</v>
      </c>
      <c r="L89">
        <f t="shared" si="22"/>
        <v>156204.56569523917</v>
      </c>
      <c r="M89">
        <f t="shared" si="23"/>
        <v>156236.25920459378</v>
      </c>
      <c r="N89" s="30">
        <f t="shared" si="24"/>
        <v>0</v>
      </c>
      <c r="O89" s="30">
        <f t="shared" si="25"/>
        <v>0</v>
      </c>
      <c r="P89" s="30">
        <f t="shared" si="26"/>
        <v>156236.25920459378</v>
      </c>
      <c r="Q89">
        <f t="shared" si="27"/>
        <v>0</v>
      </c>
      <c r="R89" s="30">
        <f t="shared" si="28"/>
        <v>0</v>
      </c>
      <c r="S89" s="30">
        <f t="shared" si="29"/>
        <v>0</v>
      </c>
      <c r="T89" s="30">
        <f t="shared" si="30"/>
        <v>156236.25920459378</v>
      </c>
      <c r="U89">
        <f t="shared" si="31"/>
        <v>0</v>
      </c>
      <c r="V89" s="30">
        <f t="shared" si="32"/>
        <v>0</v>
      </c>
      <c r="W89" s="30">
        <f t="shared" si="33"/>
        <v>0</v>
      </c>
      <c r="X89" s="30">
        <f t="shared" si="34"/>
        <v>156236.25920459378</v>
      </c>
      <c r="Y89">
        <f t="shared" si="35"/>
        <v>0</v>
      </c>
    </row>
    <row r="90" spans="1:25" x14ac:dyDescent="0.25">
      <c r="A90" s="4" t="s">
        <v>834</v>
      </c>
      <c r="B90" s="7" t="s">
        <v>412</v>
      </c>
      <c r="C90" s="2" t="s">
        <v>835</v>
      </c>
      <c r="D90">
        <f>VLOOKUP(B90,'Model allocations'!$A$1:$L$319,6,FALSE)</f>
        <v>51235.801475322201</v>
      </c>
      <c r="E90" s="32">
        <f>VLOOKUP(B90,'Initial adjusted formula count'!$A$1:$P$319,12,FALSE)</f>
        <v>0.15611192930780601</v>
      </c>
      <c r="F90">
        <f>VLOOKUP(B90,'Model allocations'!$A$1:$L$319,11,FALSE)</f>
        <v>60259.268266548665</v>
      </c>
      <c r="G90" s="31">
        <f t="shared" si="36"/>
        <v>0.9</v>
      </c>
      <c r="H90">
        <f t="shared" si="37"/>
        <v>46112.221327789979</v>
      </c>
      <c r="I90">
        <f t="shared" si="19"/>
        <v>0</v>
      </c>
      <c r="J90">
        <f t="shared" si="20"/>
        <v>60259.268266548665</v>
      </c>
      <c r="K90">
        <f t="shared" si="21"/>
        <v>60247.044294391169</v>
      </c>
      <c r="L90">
        <f t="shared" si="22"/>
        <v>60247.044294391169</v>
      </c>
      <c r="M90">
        <f t="shared" si="23"/>
        <v>0</v>
      </c>
      <c r="N90" s="30">
        <f t="shared" si="24"/>
        <v>60247.044294391169</v>
      </c>
      <c r="O90" s="30">
        <f t="shared" si="25"/>
        <v>60245.509718771573</v>
      </c>
      <c r="P90" s="30">
        <f t="shared" si="26"/>
        <v>60245.509718771573</v>
      </c>
      <c r="Q90">
        <f t="shared" si="27"/>
        <v>0</v>
      </c>
      <c r="R90" s="30">
        <f t="shared" si="28"/>
        <v>60245.509718771573</v>
      </c>
      <c r="S90" s="30">
        <f t="shared" si="29"/>
        <v>60245.509718771616</v>
      </c>
      <c r="T90" s="30">
        <f t="shared" si="30"/>
        <v>60245.509718771616</v>
      </c>
      <c r="U90">
        <f t="shared" si="31"/>
        <v>0</v>
      </c>
      <c r="V90" s="30">
        <f t="shared" si="32"/>
        <v>60245.509718771616</v>
      </c>
      <c r="W90" s="30">
        <f t="shared" si="33"/>
        <v>60245.509718771616</v>
      </c>
      <c r="X90" s="30">
        <f t="shared" si="34"/>
        <v>60245.509718771616</v>
      </c>
      <c r="Y90">
        <f t="shared" si="35"/>
        <v>0</v>
      </c>
    </row>
    <row r="91" spans="1:25" x14ac:dyDescent="0.25">
      <c r="A91" s="4" t="s">
        <v>836</v>
      </c>
      <c r="B91" s="7" t="s">
        <v>414</v>
      </c>
      <c r="C91" s="2" t="s">
        <v>837</v>
      </c>
      <c r="D91">
        <f>VLOOKUP(B91,'Model allocations'!$A$1:$L$319,6,FALSE)</f>
        <v>357979.12897900533</v>
      </c>
      <c r="E91" s="32">
        <f>VLOOKUP(B91,'Initial adjusted formula count'!$A$1:$P$319,12,FALSE)</f>
        <v>0.17711682743837101</v>
      </c>
      <c r="F91">
        <f>VLOOKUP(B91,'Model allocations'!$A$1:$L$319,11,FALSE)</f>
        <v>409073.70202980633</v>
      </c>
      <c r="G91" s="31">
        <f t="shared" si="36"/>
        <v>0.9</v>
      </c>
      <c r="H91">
        <f t="shared" si="37"/>
        <v>322181.21608110482</v>
      </c>
      <c r="I91">
        <f t="shared" si="19"/>
        <v>0</v>
      </c>
      <c r="J91">
        <f t="shared" si="20"/>
        <v>409073.70202980633</v>
      </c>
      <c r="K91">
        <f t="shared" si="21"/>
        <v>408990.71885248245</v>
      </c>
      <c r="L91">
        <f t="shared" si="22"/>
        <v>408990.71885248245</v>
      </c>
      <c r="M91">
        <f t="shared" si="23"/>
        <v>0</v>
      </c>
      <c r="N91" s="30">
        <f t="shared" si="24"/>
        <v>408990.71885248245</v>
      </c>
      <c r="O91" s="30">
        <f t="shared" si="25"/>
        <v>408980.30129269761</v>
      </c>
      <c r="P91" s="30">
        <f t="shared" si="26"/>
        <v>408980.30129269761</v>
      </c>
      <c r="Q91">
        <f t="shared" si="27"/>
        <v>0</v>
      </c>
      <c r="R91" s="30">
        <f t="shared" si="28"/>
        <v>408980.30129269761</v>
      </c>
      <c r="S91" s="30">
        <f t="shared" si="29"/>
        <v>408980.3012926979</v>
      </c>
      <c r="T91" s="30">
        <f t="shared" si="30"/>
        <v>408980.3012926979</v>
      </c>
      <c r="U91">
        <f t="shared" si="31"/>
        <v>0</v>
      </c>
      <c r="V91" s="30">
        <f t="shared" si="32"/>
        <v>408980.3012926979</v>
      </c>
      <c r="W91" s="30">
        <f t="shared" si="33"/>
        <v>408980.3012926979</v>
      </c>
      <c r="X91" s="30">
        <f t="shared" si="34"/>
        <v>408980.3012926979</v>
      </c>
      <c r="Y91">
        <f t="shared" si="35"/>
        <v>0</v>
      </c>
    </row>
    <row r="92" spans="1:25" x14ac:dyDescent="0.25">
      <c r="A92" s="4" t="s">
        <v>838</v>
      </c>
      <c r="B92" s="7" t="s">
        <v>416</v>
      </c>
      <c r="C92" s="2" t="s">
        <v>839</v>
      </c>
      <c r="D92">
        <f>VLOOKUP(B92,'Model allocations'!$A$1:$L$319,6,FALSE)</f>
        <v>262829.52162454283</v>
      </c>
      <c r="E92" s="32">
        <f>VLOOKUP(B92,'Initial adjusted formula count'!$A$1:$P$319,12,FALSE)</f>
        <v>0.23440453686200399</v>
      </c>
      <c r="F92">
        <f>VLOOKUP(B92,'Model allocations'!$A$1:$L$319,11,FALSE)</f>
        <v>273255.56831898453</v>
      </c>
      <c r="G92" s="31">
        <f t="shared" si="36"/>
        <v>0.9</v>
      </c>
      <c r="H92">
        <f t="shared" si="37"/>
        <v>236546.56946208855</v>
      </c>
      <c r="I92">
        <f t="shared" si="19"/>
        <v>0</v>
      </c>
      <c r="J92">
        <f t="shared" si="20"/>
        <v>273255.56831898453</v>
      </c>
      <c r="K92">
        <f t="shared" si="21"/>
        <v>273200.13670563942</v>
      </c>
      <c r="L92">
        <f t="shared" si="22"/>
        <v>273200.13670563942</v>
      </c>
      <c r="M92">
        <f t="shared" si="23"/>
        <v>0</v>
      </c>
      <c r="N92" s="30">
        <f t="shared" si="24"/>
        <v>273200.13670563942</v>
      </c>
      <c r="O92" s="30">
        <f t="shared" si="25"/>
        <v>273193.17791996006</v>
      </c>
      <c r="P92" s="30">
        <f t="shared" si="26"/>
        <v>273193.17791996006</v>
      </c>
      <c r="Q92">
        <f t="shared" si="27"/>
        <v>0</v>
      </c>
      <c r="R92" s="30">
        <f t="shared" si="28"/>
        <v>273193.17791996006</v>
      </c>
      <c r="S92" s="30">
        <f t="shared" si="29"/>
        <v>273193.17791996029</v>
      </c>
      <c r="T92" s="30">
        <f t="shared" si="30"/>
        <v>273193.17791996029</v>
      </c>
      <c r="U92">
        <f t="shared" si="31"/>
        <v>0</v>
      </c>
      <c r="V92" s="30">
        <f t="shared" si="32"/>
        <v>273193.17791996029</v>
      </c>
      <c r="W92" s="30">
        <f t="shared" si="33"/>
        <v>273193.17791996029</v>
      </c>
      <c r="X92" s="30">
        <f t="shared" si="34"/>
        <v>273193.17791996029</v>
      </c>
      <c r="Y92">
        <f t="shared" si="35"/>
        <v>0</v>
      </c>
    </row>
    <row r="93" spans="1:25" x14ac:dyDescent="0.25">
      <c r="A93" s="4" t="s">
        <v>840</v>
      </c>
      <c r="B93" s="7" t="s">
        <v>139</v>
      </c>
      <c r="C93" s="2" t="s">
        <v>841</v>
      </c>
      <c r="D93">
        <f>VLOOKUP(B93,'Model allocations'!$A$1:$L$319,6,FALSE)</f>
        <v>116431.30735608473</v>
      </c>
      <c r="E93" s="32">
        <f>VLOOKUP(B93,'Initial adjusted formula count'!$A$1:$P$319,12,FALSE)</f>
        <v>7.8627591136526107E-2</v>
      </c>
      <c r="F93">
        <f>VLOOKUP(B93,'Model allocations'!$A$1:$L$319,11,FALSE)</f>
        <v>124879.26365668721</v>
      </c>
      <c r="G93" s="31">
        <f t="shared" si="36"/>
        <v>0.85</v>
      </c>
      <c r="H93">
        <f t="shared" si="37"/>
        <v>98966.61125267201</v>
      </c>
      <c r="I93">
        <f t="shared" si="19"/>
        <v>0</v>
      </c>
      <c r="J93">
        <f t="shared" si="20"/>
        <v>124879.26365668721</v>
      </c>
      <c r="K93">
        <f t="shared" si="21"/>
        <v>124853.93111140581</v>
      </c>
      <c r="L93">
        <f t="shared" si="22"/>
        <v>124853.93111140581</v>
      </c>
      <c r="M93">
        <f t="shared" si="23"/>
        <v>0</v>
      </c>
      <c r="N93" s="30">
        <f t="shared" si="24"/>
        <v>124853.93111140581</v>
      </c>
      <c r="O93" s="30">
        <f t="shared" si="25"/>
        <v>124850.75090894212</v>
      </c>
      <c r="P93" s="30">
        <f t="shared" si="26"/>
        <v>124850.75090894212</v>
      </c>
      <c r="Q93">
        <f t="shared" si="27"/>
        <v>0</v>
      </c>
      <c r="R93" s="30">
        <f t="shared" si="28"/>
        <v>124850.75090894212</v>
      </c>
      <c r="S93" s="30">
        <f t="shared" si="29"/>
        <v>124850.75090894221</v>
      </c>
      <c r="T93" s="30">
        <f t="shared" si="30"/>
        <v>124850.75090894221</v>
      </c>
      <c r="U93">
        <f t="shared" si="31"/>
        <v>0</v>
      </c>
      <c r="V93" s="30">
        <f t="shared" si="32"/>
        <v>124850.75090894221</v>
      </c>
      <c r="W93" s="30">
        <f t="shared" si="33"/>
        <v>124850.75090894221</v>
      </c>
      <c r="X93" s="30">
        <f t="shared" si="34"/>
        <v>124850.75090894221</v>
      </c>
      <c r="Y93">
        <f t="shared" si="35"/>
        <v>0</v>
      </c>
    </row>
    <row r="94" spans="1:25" x14ac:dyDescent="0.25">
      <c r="A94" s="4" t="s">
        <v>842</v>
      </c>
      <c r="B94" s="7" t="s">
        <v>418</v>
      </c>
      <c r="C94" s="2" t="s">
        <v>843</v>
      </c>
      <c r="D94">
        <f>VLOOKUP(B94,'Model allocations'!$A$1:$L$319,6,FALSE)</f>
        <v>25993.966293451467</v>
      </c>
      <c r="E94" s="32">
        <f>VLOOKUP(B94,'Initial adjusted formula count'!$A$1:$P$319,12,FALSE)</f>
        <v>8.2840236686390595E-2</v>
      </c>
      <c r="F94">
        <f>VLOOKUP(B94,'Model allocations'!$A$1:$L$319,11,FALSE)</f>
        <v>22094.871349433746</v>
      </c>
      <c r="G94" s="31">
        <f t="shared" si="36"/>
        <v>0.85</v>
      </c>
      <c r="H94">
        <f t="shared" si="37"/>
        <v>22094.871349433746</v>
      </c>
      <c r="I94">
        <f t="shared" si="19"/>
        <v>0</v>
      </c>
      <c r="J94">
        <f t="shared" si="20"/>
        <v>22094.871349433746</v>
      </c>
      <c r="K94">
        <f t="shared" si="21"/>
        <v>22090.389265598871</v>
      </c>
      <c r="L94">
        <f t="shared" si="22"/>
        <v>22090.389265598871</v>
      </c>
      <c r="M94">
        <f t="shared" si="23"/>
        <v>22094.871349433746</v>
      </c>
      <c r="N94" s="30">
        <f t="shared" si="24"/>
        <v>0</v>
      </c>
      <c r="O94" s="30">
        <f t="shared" si="25"/>
        <v>0</v>
      </c>
      <c r="P94" s="30">
        <f t="shared" si="26"/>
        <v>22094.871349433746</v>
      </c>
      <c r="Q94">
        <f t="shared" si="27"/>
        <v>0</v>
      </c>
      <c r="R94" s="30">
        <f t="shared" si="28"/>
        <v>0</v>
      </c>
      <c r="S94" s="30">
        <f t="shared" si="29"/>
        <v>0</v>
      </c>
      <c r="T94" s="30">
        <f t="shared" si="30"/>
        <v>22094.871349433746</v>
      </c>
      <c r="U94">
        <f t="shared" si="31"/>
        <v>0</v>
      </c>
      <c r="V94" s="30">
        <f t="shared" si="32"/>
        <v>0</v>
      </c>
      <c r="W94" s="30">
        <f t="shared" si="33"/>
        <v>0</v>
      </c>
      <c r="X94" s="30">
        <f t="shared" si="34"/>
        <v>22094.871349433746</v>
      </c>
      <c r="Y94">
        <f t="shared" si="35"/>
        <v>0</v>
      </c>
    </row>
    <row r="95" spans="1:25" x14ac:dyDescent="0.25">
      <c r="A95" s="4" t="s">
        <v>844</v>
      </c>
      <c r="B95" s="7" t="s">
        <v>420</v>
      </c>
      <c r="C95" s="2" t="s">
        <v>845</v>
      </c>
      <c r="D95">
        <f>VLOOKUP(B95,'Model allocations'!$A$1:$L$319,6,FALSE)</f>
        <v>30637.368677529128</v>
      </c>
      <c r="E95" s="32">
        <f>VLOOKUP(B95,'Initial adjusted formula count'!$A$1:$P$319,12,FALSE)</f>
        <v>0.22994652406417099</v>
      </c>
      <c r="F95">
        <f>VLOOKUP(B95,'Model allocations'!$A$1:$L$319,11,FALSE)</f>
        <v>31015.340310759391</v>
      </c>
      <c r="G95" s="31">
        <f t="shared" si="36"/>
        <v>0.9</v>
      </c>
      <c r="H95">
        <f t="shared" si="37"/>
        <v>27573.631809776216</v>
      </c>
      <c r="I95">
        <f t="shared" si="19"/>
        <v>0</v>
      </c>
      <c r="J95">
        <f t="shared" si="20"/>
        <v>31015.340310759391</v>
      </c>
      <c r="K95">
        <f t="shared" si="21"/>
        <v>31009.048653603237</v>
      </c>
      <c r="L95">
        <f t="shared" si="22"/>
        <v>31009.048653603237</v>
      </c>
      <c r="M95">
        <f t="shared" si="23"/>
        <v>0</v>
      </c>
      <c r="N95" s="30">
        <f t="shared" si="24"/>
        <v>31009.048653603237</v>
      </c>
      <c r="O95" s="30">
        <f t="shared" si="25"/>
        <v>31008.258810207459</v>
      </c>
      <c r="P95" s="30">
        <f t="shared" si="26"/>
        <v>31008.258810207459</v>
      </c>
      <c r="Q95">
        <f t="shared" si="27"/>
        <v>0</v>
      </c>
      <c r="R95" s="30">
        <f t="shared" si="28"/>
        <v>31008.258810207459</v>
      </c>
      <c r="S95" s="30">
        <f t="shared" si="29"/>
        <v>31008.258810207477</v>
      </c>
      <c r="T95" s="30">
        <f t="shared" si="30"/>
        <v>31008.258810207477</v>
      </c>
      <c r="U95">
        <f t="shared" si="31"/>
        <v>0</v>
      </c>
      <c r="V95" s="30">
        <f t="shared" si="32"/>
        <v>31008.258810207477</v>
      </c>
      <c r="W95" s="30">
        <f t="shared" si="33"/>
        <v>31008.258810207477</v>
      </c>
      <c r="X95" s="30">
        <f t="shared" si="34"/>
        <v>31008.258810207477</v>
      </c>
      <c r="Y95">
        <f t="shared" si="35"/>
        <v>0</v>
      </c>
    </row>
    <row r="96" spans="1:25" x14ac:dyDescent="0.25">
      <c r="A96" s="4" t="s">
        <v>846</v>
      </c>
      <c r="B96" s="7" t="s">
        <v>141</v>
      </c>
      <c r="C96" s="2" t="s">
        <v>847</v>
      </c>
      <c r="D96">
        <f>VLOOKUP(B96,'Model allocations'!$A$1:$L$319,6,FALSE)</f>
        <v>9747.7373600443025</v>
      </c>
      <c r="E96" s="32">
        <f>VLOOKUP(B96,'Initial adjusted formula count'!$A$1:$P$319,12,FALSE)</f>
        <v>7.8048780487804906E-2</v>
      </c>
      <c r="F96">
        <f>VLOOKUP(B96,'Model allocations'!$A$1:$L$319,11,FALSE)</f>
        <v>9082.1282659408844</v>
      </c>
      <c r="G96" s="31">
        <f t="shared" si="36"/>
        <v>0.85</v>
      </c>
      <c r="H96">
        <f t="shared" si="37"/>
        <v>8285.5767560376571</v>
      </c>
      <c r="I96">
        <f t="shared" si="19"/>
        <v>0</v>
      </c>
      <c r="J96">
        <f t="shared" si="20"/>
        <v>9082.1282659408844</v>
      </c>
      <c r="K96">
        <f t="shared" si="21"/>
        <v>9080.2858990113273</v>
      </c>
      <c r="L96">
        <f t="shared" si="22"/>
        <v>9080.2858990113273</v>
      </c>
      <c r="M96">
        <f t="shared" si="23"/>
        <v>0</v>
      </c>
      <c r="N96" s="30">
        <f t="shared" si="24"/>
        <v>9080.2858990113273</v>
      </c>
      <c r="O96" s="30">
        <f t="shared" si="25"/>
        <v>9080.0546115594225</v>
      </c>
      <c r="P96" s="30">
        <f t="shared" si="26"/>
        <v>9080.0546115594225</v>
      </c>
      <c r="Q96">
        <f t="shared" si="27"/>
        <v>0</v>
      </c>
      <c r="R96" s="30">
        <f t="shared" si="28"/>
        <v>9080.0546115594225</v>
      </c>
      <c r="S96" s="30">
        <f t="shared" si="29"/>
        <v>9080.0546115594298</v>
      </c>
      <c r="T96" s="30">
        <f t="shared" si="30"/>
        <v>9080.0546115594298</v>
      </c>
      <c r="U96">
        <f t="shared" si="31"/>
        <v>0</v>
      </c>
      <c r="V96" s="30">
        <f t="shared" si="32"/>
        <v>9080.0546115594298</v>
      </c>
      <c r="W96" s="30">
        <f t="shared" si="33"/>
        <v>9080.0546115594298</v>
      </c>
      <c r="X96" s="30">
        <f t="shared" si="34"/>
        <v>9080.0546115594298</v>
      </c>
      <c r="Y96">
        <f t="shared" si="35"/>
        <v>0</v>
      </c>
    </row>
    <row r="97" spans="1:25" x14ac:dyDescent="0.25">
      <c r="A97" s="4" t="s">
        <v>848</v>
      </c>
      <c r="B97" s="7" t="s">
        <v>143</v>
      </c>
      <c r="C97" s="2" t="s">
        <v>849</v>
      </c>
      <c r="D97">
        <f>VLOOKUP(B97,'Model allocations'!$A$1:$L$319,6,FALSE)</f>
        <v>38449.408475730306</v>
      </c>
      <c r="E97" s="32">
        <f>VLOOKUP(B97,'Initial adjusted formula count'!$A$1:$P$319,12,FALSE)</f>
        <v>5.2396878483835001E-2</v>
      </c>
      <c r="F97">
        <f>VLOOKUP(B97,'Model allocations'!$A$1:$L$319,11,FALSE)</f>
        <v>32681.99720437076</v>
      </c>
      <c r="G97" s="31">
        <f t="shared" si="36"/>
        <v>0.85</v>
      </c>
      <c r="H97">
        <f t="shared" si="37"/>
        <v>32681.99720437076</v>
      </c>
      <c r="I97">
        <f t="shared" si="19"/>
        <v>0</v>
      </c>
      <c r="J97">
        <f t="shared" si="20"/>
        <v>32681.99720437076</v>
      </c>
      <c r="K97">
        <f t="shared" si="21"/>
        <v>32675.367455365009</v>
      </c>
      <c r="L97">
        <f t="shared" si="22"/>
        <v>32675.367455365009</v>
      </c>
      <c r="M97">
        <f t="shared" si="23"/>
        <v>32681.99720437076</v>
      </c>
      <c r="N97" s="30">
        <f t="shared" si="24"/>
        <v>0</v>
      </c>
      <c r="O97" s="30">
        <f t="shared" si="25"/>
        <v>0</v>
      </c>
      <c r="P97" s="30">
        <f t="shared" si="26"/>
        <v>32681.99720437076</v>
      </c>
      <c r="Q97">
        <f t="shared" si="27"/>
        <v>0</v>
      </c>
      <c r="R97" s="30">
        <f t="shared" si="28"/>
        <v>0</v>
      </c>
      <c r="S97" s="30">
        <f t="shared" si="29"/>
        <v>0</v>
      </c>
      <c r="T97" s="30">
        <f t="shared" si="30"/>
        <v>32681.99720437076</v>
      </c>
      <c r="U97">
        <f t="shared" si="31"/>
        <v>0</v>
      </c>
      <c r="V97" s="30">
        <f t="shared" si="32"/>
        <v>0</v>
      </c>
      <c r="W97" s="30">
        <f t="shared" si="33"/>
        <v>0</v>
      </c>
      <c r="X97" s="30">
        <f t="shared" si="34"/>
        <v>32681.99720437076</v>
      </c>
      <c r="Y97">
        <f t="shared" si="35"/>
        <v>0</v>
      </c>
    </row>
    <row r="98" spans="1:25" x14ac:dyDescent="0.25">
      <c r="A98" s="4" t="s">
        <v>850</v>
      </c>
      <c r="B98" s="7" t="s">
        <v>422</v>
      </c>
      <c r="C98" s="2" t="s">
        <v>851</v>
      </c>
      <c r="D98">
        <f>VLOOKUP(B98,'Model allocations'!$A$1:$L$319,6,FALSE)</f>
        <v>20714.094898127012</v>
      </c>
      <c r="E98" s="32">
        <f>VLOOKUP(B98,'Initial adjusted formula count'!$A$1:$P$319,12,FALSE)</f>
        <v>8.2758620689655199E-2</v>
      </c>
      <c r="F98">
        <f>VLOOKUP(B98,'Model allocations'!$A$1:$L$319,11,FALSE)</f>
        <v>17606.980663407961</v>
      </c>
      <c r="G98" s="31">
        <f t="shared" si="36"/>
        <v>0.85</v>
      </c>
      <c r="H98">
        <f t="shared" si="37"/>
        <v>17606.980663407961</v>
      </c>
      <c r="I98">
        <f t="shared" si="19"/>
        <v>0</v>
      </c>
      <c r="J98">
        <f t="shared" si="20"/>
        <v>17606.980663407961</v>
      </c>
      <c r="K98">
        <f t="shared" si="21"/>
        <v>17603.4089764692</v>
      </c>
      <c r="L98">
        <f t="shared" si="22"/>
        <v>17603.4089764692</v>
      </c>
      <c r="M98">
        <f t="shared" si="23"/>
        <v>17606.980663407961</v>
      </c>
      <c r="N98" s="30">
        <f t="shared" si="24"/>
        <v>0</v>
      </c>
      <c r="O98" s="30">
        <f t="shared" si="25"/>
        <v>0</v>
      </c>
      <c r="P98" s="30">
        <f t="shared" si="26"/>
        <v>17606.980663407961</v>
      </c>
      <c r="Q98">
        <f t="shared" si="27"/>
        <v>0</v>
      </c>
      <c r="R98" s="30">
        <f t="shared" si="28"/>
        <v>0</v>
      </c>
      <c r="S98" s="30">
        <f t="shared" si="29"/>
        <v>0</v>
      </c>
      <c r="T98" s="30">
        <f t="shared" si="30"/>
        <v>17606.980663407961</v>
      </c>
      <c r="U98">
        <f t="shared" si="31"/>
        <v>0</v>
      </c>
      <c r="V98" s="30">
        <f t="shared" si="32"/>
        <v>0</v>
      </c>
      <c r="W98" s="30">
        <f t="shared" si="33"/>
        <v>0</v>
      </c>
      <c r="X98" s="30">
        <f t="shared" si="34"/>
        <v>17606.980663407961</v>
      </c>
      <c r="Y98">
        <f t="shared" si="35"/>
        <v>0</v>
      </c>
    </row>
    <row r="99" spans="1:25" x14ac:dyDescent="0.25">
      <c r="A99" s="4" t="s">
        <v>852</v>
      </c>
      <c r="B99" s="7" t="s">
        <v>424</v>
      </c>
      <c r="C99" s="2" t="s">
        <v>853</v>
      </c>
      <c r="D99">
        <f>VLOOKUP(B99,'Model allocations'!$A$1:$L$319,6,FALSE)</f>
        <v>133307.32135409542</v>
      </c>
      <c r="E99" s="32">
        <f>VLOOKUP(B99,'Initial adjusted formula count'!$A$1:$P$319,12,FALSE)</f>
        <v>0.18553459119496901</v>
      </c>
      <c r="F99">
        <f>VLOOKUP(B99,'Model allocations'!$A$1:$L$319,11,FALSE)</f>
        <v>150063.32417852126</v>
      </c>
      <c r="G99" s="31">
        <f t="shared" si="36"/>
        <v>0.9</v>
      </c>
      <c r="H99">
        <f t="shared" si="37"/>
        <v>119976.58921868588</v>
      </c>
      <c r="I99">
        <f t="shared" si="19"/>
        <v>0</v>
      </c>
      <c r="J99">
        <f t="shared" si="20"/>
        <v>150063.32417852126</v>
      </c>
      <c r="K99">
        <f t="shared" si="21"/>
        <v>150032.8828879217</v>
      </c>
      <c r="L99">
        <f t="shared" si="22"/>
        <v>150032.8828879217</v>
      </c>
      <c r="M99">
        <f t="shared" si="23"/>
        <v>0</v>
      </c>
      <c r="N99" s="30">
        <f t="shared" si="24"/>
        <v>150032.8828879217</v>
      </c>
      <c r="O99" s="30">
        <f t="shared" si="25"/>
        <v>150029.06134270044</v>
      </c>
      <c r="P99" s="30">
        <f t="shared" si="26"/>
        <v>150029.06134270044</v>
      </c>
      <c r="Q99">
        <f t="shared" si="27"/>
        <v>0</v>
      </c>
      <c r="R99" s="30">
        <f t="shared" si="28"/>
        <v>150029.06134270044</v>
      </c>
      <c r="S99" s="30">
        <f t="shared" si="29"/>
        <v>150029.06134270053</v>
      </c>
      <c r="T99" s="30">
        <f t="shared" si="30"/>
        <v>150029.06134270053</v>
      </c>
      <c r="U99">
        <f t="shared" si="31"/>
        <v>0</v>
      </c>
      <c r="V99" s="30">
        <f t="shared" si="32"/>
        <v>150029.06134270053</v>
      </c>
      <c r="W99" s="30">
        <f t="shared" si="33"/>
        <v>150029.06134270053</v>
      </c>
      <c r="X99" s="30">
        <f t="shared" si="34"/>
        <v>150029.06134270053</v>
      </c>
      <c r="Y99">
        <f t="shared" si="35"/>
        <v>0</v>
      </c>
    </row>
    <row r="100" spans="1:25" x14ac:dyDescent="0.25">
      <c r="A100" s="4" t="s">
        <v>18</v>
      </c>
      <c r="B100" s="7" t="s">
        <v>60</v>
      </c>
      <c r="C100" s="2" t="s">
        <v>854</v>
      </c>
      <c r="D100">
        <f>VLOOKUP(B100,'Model allocations'!$A$1:$L$319,6,FALSE)</f>
        <v>2914112.7146473411</v>
      </c>
      <c r="E100" s="32">
        <f>VLOOKUP(B100,'Initial adjusted formula count'!$A$1:$P$319,12,FALSE)</f>
        <v>0.155171309594964</v>
      </c>
      <c r="F100">
        <f>VLOOKUP(B100,'Model allocations'!$A$1:$L$319,11,FALSE)</f>
        <v>2615847.9174798159</v>
      </c>
      <c r="G100" s="31">
        <f t="shared" si="36"/>
        <v>0.9</v>
      </c>
      <c r="H100">
        <f t="shared" si="37"/>
        <v>2622701.4431826072</v>
      </c>
      <c r="I100">
        <f t="shared" si="19"/>
        <v>2622701.4431826072</v>
      </c>
      <c r="J100">
        <f t="shared" si="20"/>
        <v>0</v>
      </c>
      <c r="K100">
        <f t="shared" si="21"/>
        <v>0</v>
      </c>
      <c r="L100">
        <f t="shared" si="22"/>
        <v>2622701.4431826072</v>
      </c>
      <c r="M100">
        <f t="shared" si="23"/>
        <v>0</v>
      </c>
      <c r="N100" s="30">
        <f t="shared" si="24"/>
        <v>0</v>
      </c>
      <c r="O100" s="30">
        <f t="shared" si="25"/>
        <v>0</v>
      </c>
      <c r="P100" s="30">
        <f t="shared" si="26"/>
        <v>2622701.4431826072</v>
      </c>
      <c r="Q100">
        <f t="shared" si="27"/>
        <v>0</v>
      </c>
      <c r="R100" s="30">
        <f t="shared" si="28"/>
        <v>0</v>
      </c>
      <c r="S100" s="30">
        <f t="shared" si="29"/>
        <v>0</v>
      </c>
      <c r="T100" s="30">
        <f t="shared" si="30"/>
        <v>2622701.4431826072</v>
      </c>
      <c r="U100">
        <f t="shared" si="31"/>
        <v>0</v>
      </c>
      <c r="V100" s="30">
        <f t="shared" si="32"/>
        <v>0</v>
      </c>
      <c r="W100" s="30">
        <f t="shared" si="33"/>
        <v>0</v>
      </c>
      <c r="X100" s="30">
        <f t="shared" si="34"/>
        <v>2622701.4431826072</v>
      </c>
      <c r="Y100">
        <f t="shared" si="35"/>
        <v>0</v>
      </c>
    </row>
    <row r="101" spans="1:25" x14ac:dyDescent="0.25">
      <c r="A101" s="4" t="s">
        <v>855</v>
      </c>
      <c r="B101" s="7" t="s">
        <v>145</v>
      </c>
      <c r="C101" s="2" t="s">
        <v>856</v>
      </c>
      <c r="D101">
        <f>VLOOKUP(B101,'Model allocations'!$A$1:$L$319,6,FALSE)</f>
        <v>80148.062738142035</v>
      </c>
      <c r="E101" s="32">
        <f>VLOOKUP(B101,'Initial adjusted formula count'!$A$1:$P$319,12,FALSE)</f>
        <v>4.4700460829493097E-2</v>
      </c>
      <c r="F101">
        <f>VLOOKUP(B101,'Model allocations'!$A$1:$L$319,11,FALSE)</f>
        <v>0</v>
      </c>
      <c r="G101" s="31">
        <f t="shared" si="36"/>
        <v>0.85</v>
      </c>
      <c r="H101">
        <f t="shared" si="37"/>
        <v>0</v>
      </c>
      <c r="I101">
        <f t="shared" si="19"/>
        <v>0</v>
      </c>
      <c r="J101">
        <f t="shared" si="20"/>
        <v>0</v>
      </c>
      <c r="K101">
        <f t="shared" si="21"/>
        <v>0</v>
      </c>
      <c r="L101">
        <f t="shared" si="22"/>
        <v>0</v>
      </c>
      <c r="M101">
        <f t="shared" si="23"/>
        <v>0</v>
      </c>
      <c r="N101" s="30">
        <f t="shared" si="24"/>
        <v>0</v>
      </c>
      <c r="O101" s="30">
        <f t="shared" si="25"/>
        <v>0</v>
      </c>
      <c r="P101" s="30">
        <f t="shared" si="26"/>
        <v>0</v>
      </c>
      <c r="Q101">
        <f t="shared" si="27"/>
        <v>0</v>
      </c>
      <c r="R101" s="30">
        <f t="shared" si="28"/>
        <v>0</v>
      </c>
      <c r="S101" s="30">
        <f t="shared" si="29"/>
        <v>0</v>
      </c>
      <c r="T101" s="30">
        <f t="shared" si="30"/>
        <v>0</v>
      </c>
      <c r="U101">
        <f t="shared" si="31"/>
        <v>0</v>
      </c>
      <c r="V101" s="30">
        <f t="shared" si="32"/>
        <v>0</v>
      </c>
      <c r="W101" s="30">
        <f t="shared" si="33"/>
        <v>0</v>
      </c>
      <c r="X101" s="30">
        <f t="shared" si="34"/>
        <v>0</v>
      </c>
      <c r="Y101">
        <f t="shared" si="35"/>
        <v>0</v>
      </c>
    </row>
    <row r="102" spans="1:25" x14ac:dyDescent="0.25">
      <c r="A102" s="4" t="s">
        <v>857</v>
      </c>
      <c r="B102" s="7" t="s">
        <v>426</v>
      </c>
      <c r="C102" s="2" t="s">
        <v>858</v>
      </c>
      <c r="D102">
        <f>VLOOKUP(B102,'Model allocations'!$A$1:$L$319,6,FALSE)</f>
        <v>88382.193102557256</v>
      </c>
      <c r="E102" s="32">
        <f>VLOOKUP(B102,'Initial adjusted formula count'!$A$1:$P$319,12,FALSE)</f>
        <v>0.168345323741007</v>
      </c>
      <c r="F102">
        <f>VLOOKUP(B102,'Model allocations'!$A$1:$L$319,11,FALSE)</f>
        <v>79543.973792301535</v>
      </c>
      <c r="G102" s="31">
        <f t="shared" si="36"/>
        <v>0.9</v>
      </c>
      <c r="H102">
        <f t="shared" si="37"/>
        <v>79543.973792301535</v>
      </c>
      <c r="I102">
        <f t="shared" si="19"/>
        <v>0</v>
      </c>
      <c r="J102">
        <f t="shared" si="20"/>
        <v>79543.973792301535</v>
      </c>
      <c r="K102">
        <f t="shared" si="21"/>
        <v>79527.837796148509</v>
      </c>
      <c r="L102">
        <f t="shared" si="22"/>
        <v>79527.837796148509</v>
      </c>
      <c r="M102">
        <f t="shared" si="23"/>
        <v>79543.973792301535</v>
      </c>
      <c r="N102" s="30">
        <f t="shared" si="24"/>
        <v>0</v>
      </c>
      <c r="O102" s="30">
        <f t="shared" si="25"/>
        <v>0</v>
      </c>
      <c r="P102" s="30">
        <f t="shared" si="26"/>
        <v>79543.973792301535</v>
      </c>
      <c r="Q102">
        <f t="shared" si="27"/>
        <v>0</v>
      </c>
      <c r="R102" s="30">
        <f t="shared" si="28"/>
        <v>0</v>
      </c>
      <c r="S102" s="30">
        <f t="shared" si="29"/>
        <v>0</v>
      </c>
      <c r="T102" s="30">
        <f t="shared" si="30"/>
        <v>79543.973792301535</v>
      </c>
      <c r="U102">
        <f t="shared" si="31"/>
        <v>0</v>
      </c>
      <c r="V102" s="30">
        <f t="shared" si="32"/>
        <v>0</v>
      </c>
      <c r="W102" s="30">
        <f t="shared" si="33"/>
        <v>0</v>
      </c>
      <c r="X102" s="30">
        <f t="shared" si="34"/>
        <v>79543.973792301535</v>
      </c>
      <c r="Y102">
        <f t="shared" si="35"/>
        <v>0</v>
      </c>
    </row>
    <row r="103" spans="1:25" x14ac:dyDescent="0.25">
      <c r="A103" s="4" t="s">
        <v>859</v>
      </c>
      <c r="B103" s="7" t="s">
        <v>428</v>
      </c>
      <c r="C103" s="2" t="s">
        <v>860</v>
      </c>
      <c r="D103">
        <f>VLOOKUP(B103,'Model allocations'!$A$1:$L$319,6,FALSE)</f>
        <v>280181.38110361114</v>
      </c>
      <c r="E103" s="32">
        <f>VLOOKUP(B103,'Initial adjusted formula count'!$A$1:$P$319,12,FALSE)</f>
        <v>0.27312775330396499</v>
      </c>
      <c r="F103">
        <f>VLOOKUP(B103,'Model allocations'!$A$1:$L$319,11,FALSE)</f>
        <v>412477.45665067434</v>
      </c>
      <c r="G103" s="31">
        <f t="shared" si="36"/>
        <v>0.9</v>
      </c>
      <c r="H103">
        <f t="shared" si="37"/>
        <v>252163.24299325002</v>
      </c>
      <c r="I103">
        <f t="shared" si="19"/>
        <v>0</v>
      </c>
      <c r="J103">
        <f t="shared" si="20"/>
        <v>412477.45665067434</v>
      </c>
      <c r="K103">
        <f t="shared" si="21"/>
        <v>412393.7830002844</v>
      </c>
      <c r="L103">
        <f t="shared" si="22"/>
        <v>412393.7830002844</v>
      </c>
      <c r="M103">
        <f t="shared" si="23"/>
        <v>0</v>
      </c>
      <c r="N103" s="30">
        <f t="shared" si="24"/>
        <v>412393.7830002844</v>
      </c>
      <c r="O103" s="30">
        <f t="shared" si="25"/>
        <v>412383.27875974478</v>
      </c>
      <c r="P103" s="30">
        <f t="shared" si="26"/>
        <v>412383.27875974478</v>
      </c>
      <c r="Q103">
        <f t="shared" si="27"/>
        <v>0</v>
      </c>
      <c r="R103" s="30">
        <f t="shared" si="28"/>
        <v>412383.27875974478</v>
      </c>
      <c r="S103" s="30">
        <f t="shared" si="29"/>
        <v>412383.27875974507</v>
      </c>
      <c r="T103" s="30">
        <f t="shared" si="30"/>
        <v>412383.27875974507</v>
      </c>
      <c r="U103">
        <f t="shared" si="31"/>
        <v>0</v>
      </c>
      <c r="V103" s="30">
        <f t="shared" si="32"/>
        <v>412383.27875974507</v>
      </c>
      <c r="W103" s="30">
        <f t="shared" si="33"/>
        <v>412383.27875974507</v>
      </c>
      <c r="X103" s="30">
        <f t="shared" si="34"/>
        <v>412383.27875974507</v>
      </c>
      <c r="Y103">
        <f t="shared" si="35"/>
        <v>0</v>
      </c>
    </row>
    <row r="104" spans="1:25" x14ac:dyDescent="0.25">
      <c r="A104" s="4" t="s">
        <v>38</v>
      </c>
      <c r="B104" s="7" t="s">
        <v>83</v>
      </c>
      <c r="C104" s="2" t="s">
        <v>861</v>
      </c>
      <c r="D104">
        <f>VLOOKUP(B104,'Model allocations'!$A$1:$L$319,6,FALSE)</f>
        <v>49209.926002123</v>
      </c>
      <c r="E104" s="32">
        <f>VLOOKUP(B104,'Initial adjusted formula count'!$A$1:$P$319,12,FALSE)</f>
        <v>0.150401917830186</v>
      </c>
      <c r="F104">
        <f>VLOOKUP(B104,'Model allocations'!$A$1:$L$319,11,FALSE)</f>
        <v>52131.130454005877</v>
      </c>
      <c r="G104" s="31">
        <f t="shared" si="36"/>
        <v>0.9</v>
      </c>
      <c r="H104">
        <f t="shared" si="37"/>
        <v>44288.933401910705</v>
      </c>
      <c r="I104">
        <f t="shared" si="19"/>
        <v>0</v>
      </c>
      <c r="J104">
        <f t="shared" si="20"/>
        <v>52131.130454005877</v>
      </c>
      <c r="K104">
        <f t="shared" si="21"/>
        <v>52120.555325805028</v>
      </c>
      <c r="L104">
        <f t="shared" si="22"/>
        <v>52120.555325805028</v>
      </c>
      <c r="M104">
        <f t="shared" si="23"/>
        <v>0</v>
      </c>
      <c r="N104" s="30">
        <f t="shared" si="24"/>
        <v>52120.555325805028</v>
      </c>
      <c r="O104" s="30">
        <f t="shared" si="25"/>
        <v>52119.227743109142</v>
      </c>
      <c r="P104" s="30">
        <f t="shared" si="26"/>
        <v>52119.227743109142</v>
      </c>
      <c r="Q104">
        <f t="shared" si="27"/>
        <v>0</v>
      </c>
      <c r="R104" s="30">
        <f t="shared" si="28"/>
        <v>52119.227743109142</v>
      </c>
      <c r="S104" s="30">
        <f t="shared" si="29"/>
        <v>52119.227743109179</v>
      </c>
      <c r="T104" s="30">
        <f t="shared" si="30"/>
        <v>52119.227743109179</v>
      </c>
      <c r="U104">
        <f t="shared" si="31"/>
        <v>0</v>
      </c>
      <c r="V104" s="30">
        <f t="shared" si="32"/>
        <v>52119.227743109179</v>
      </c>
      <c r="W104" s="30">
        <f t="shared" si="33"/>
        <v>52119.227743109179</v>
      </c>
      <c r="X104" s="30">
        <f t="shared" si="34"/>
        <v>52119.227743109179</v>
      </c>
      <c r="Y104">
        <f t="shared" si="35"/>
        <v>0</v>
      </c>
    </row>
    <row r="105" spans="1:25" x14ac:dyDescent="0.25">
      <c r="A105" s="4" t="s">
        <v>43</v>
      </c>
      <c r="B105" s="7" t="s">
        <v>78</v>
      </c>
      <c r="C105" s="2" t="s">
        <v>862</v>
      </c>
      <c r="D105">
        <f>VLOOKUP(B105,'Model allocations'!$A$1:$L$319,6,FALSE)</f>
        <v>71781.305427323838</v>
      </c>
      <c r="E105" s="32">
        <f>VLOOKUP(B105,'Initial adjusted formula count'!$A$1:$P$319,12,FALSE)</f>
        <v>0.181661214923031</v>
      </c>
      <c r="F105">
        <f>VLOOKUP(B105,'Model allocations'!$A$1:$L$319,11,FALSE)</f>
        <v>54641.297351508656</v>
      </c>
      <c r="G105" s="31">
        <f t="shared" si="36"/>
        <v>0.9</v>
      </c>
      <c r="H105">
        <f t="shared" si="37"/>
        <v>64603.174884591455</v>
      </c>
      <c r="I105">
        <f t="shared" si="19"/>
        <v>64603.174884591455</v>
      </c>
      <c r="J105">
        <f t="shared" si="20"/>
        <v>0</v>
      </c>
      <c r="K105">
        <f t="shared" si="21"/>
        <v>0</v>
      </c>
      <c r="L105">
        <f t="shared" si="22"/>
        <v>64603.174884591455</v>
      </c>
      <c r="M105">
        <f t="shared" si="23"/>
        <v>0</v>
      </c>
      <c r="N105" s="30">
        <f t="shared" si="24"/>
        <v>0</v>
      </c>
      <c r="O105" s="30">
        <f t="shared" si="25"/>
        <v>0</v>
      </c>
      <c r="P105" s="30">
        <f t="shared" si="26"/>
        <v>64603.174884591455</v>
      </c>
      <c r="Q105">
        <f t="shared" si="27"/>
        <v>0</v>
      </c>
      <c r="R105" s="30">
        <f t="shared" si="28"/>
        <v>0</v>
      </c>
      <c r="S105" s="30">
        <f t="shared" si="29"/>
        <v>0</v>
      </c>
      <c r="T105" s="30">
        <f t="shared" si="30"/>
        <v>64603.174884591455</v>
      </c>
      <c r="U105">
        <f t="shared" si="31"/>
        <v>0</v>
      </c>
      <c r="V105" s="30">
        <f t="shared" si="32"/>
        <v>0</v>
      </c>
      <c r="W105" s="30">
        <f t="shared" si="33"/>
        <v>0</v>
      </c>
      <c r="X105" s="30">
        <f t="shared" si="34"/>
        <v>64603.174884591455</v>
      </c>
      <c r="Y105">
        <f t="shared" si="35"/>
        <v>0</v>
      </c>
    </row>
    <row r="106" spans="1:25" x14ac:dyDescent="0.25">
      <c r="A106" s="4" t="s">
        <v>47</v>
      </c>
      <c r="B106" s="7" t="s">
        <v>79</v>
      </c>
      <c r="C106" s="2" t="s">
        <v>863</v>
      </c>
      <c r="D106">
        <f>VLOOKUP(B106,'Model allocations'!$A$1:$L$319,6,FALSE)</f>
        <v>35828.274980185735</v>
      </c>
      <c r="E106" s="32">
        <f>VLOOKUP(B106,'Initial adjusted formula count'!$A$1:$P$319,12,FALSE)</f>
        <v>0.15137770493984801</v>
      </c>
      <c r="F106">
        <f>VLOOKUP(B106,'Model allocations'!$A$1:$L$319,11,FALSE)</f>
        <v>39148.490480501699</v>
      </c>
      <c r="G106" s="31">
        <f t="shared" si="36"/>
        <v>0.9</v>
      </c>
      <c r="H106">
        <f t="shared" si="37"/>
        <v>32245.447482167161</v>
      </c>
      <c r="I106">
        <f t="shared" si="19"/>
        <v>0</v>
      </c>
      <c r="J106">
        <f t="shared" si="20"/>
        <v>39148.490480501699</v>
      </c>
      <c r="K106">
        <f t="shared" si="21"/>
        <v>39140.548962600675</v>
      </c>
      <c r="L106">
        <f t="shared" si="22"/>
        <v>39140.548962600675</v>
      </c>
      <c r="M106">
        <f t="shared" si="23"/>
        <v>0</v>
      </c>
      <c r="N106" s="30">
        <f t="shared" si="24"/>
        <v>39140.548962600675</v>
      </c>
      <c r="O106" s="30">
        <f t="shared" si="25"/>
        <v>39139.551998635397</v>
      </c>
      <c r="P106" s="30">
        <f t="shared" si="26"/>
        <v>39139.551998635397</v>
      </c>
      <c r="Q106">
        <f t="shared" si="27"/>
        <v>0</v>
      </c>
      <c r="R106" s="30">
        <f t="shared" si="28"/>
        <v>39139.551998635397</v>
      </c>
      <c r="S106" s="30">
        <f t="shared" si="29"/>
        <v>39139.551998635427</v>
      </c>
      <c r="T106" s="30">
        <f t="shared" si="30"/>
        <v>39139.551998635427</v>
      </c>
      <c r="U106">
        <f t="shared" si="31"/>
        <v>0</v>
      </c>
      <c r="V106" s="30">
        <f t="shared" si="32"/>
        <v>39139.551998635427</v>
      </c>
      <c r="W106" s="30">
        <f t="shared" si="33"/>
        <v>39139.551998635427</v>
      </c>
      <c r="X106" s="30">
        <f t="shared" si="34"/>
        <v>39139.551998635427</v>
      </c>
      <c r="Y106">
        <f t="shared" si="35"/>
        <v>0</v>
      </c>
    </row>
    <row r="107" spans="1:25" x14ac:dyDescent="0.25">
      <c r="A107" s="4" t="s">
        <v>864</v>
      </c>
      <c r="B107" s="7" t="s">
        <v>430</v>
      </c>
      <c r="C107" s="2" t="s">
        <v>865</v>
      </c>
      <c r="D107">
        <f>VLOOKUP(B107,'Model allocations'!$A$1:$L$319,6,FALSE)</f>
        <v>34433.194556724091</v>
      </c>
      <c r="E107" s="32">
        <f>VLOOKUP(B107,'Initial adjusted formula count'!$A$1:$P$319,12,FALSE)</f>
        <v>0.238095238095238</v>
      </c>
      <c r="F107">
        <f>VLOOKUP(B107,'Model allocations'!$A$1:$L$319,11,FALSE)</f>
        <v>33532.594067919046</v>
      </c>
      <c r="G107" s="31">
        <f t="shared" si="36"/>
        <v>0.9</v>
      </c>
      <c r="H107">
        <f t="shared" si="37"/>
        <v>30989.875101051683</v>
      </c>
      <c r="I107">
        <f t="shared" si="19"/>
        <v>0</v>
      </c>
      <c r="J107">
        <f t="shared" si="20"/>
        <v>33532.594067919046</v>
      </c>
      <c r="K107">
        <f t="shared" si="21"/>
        <v>33525.791769981384</v>
      </c>
      <c r="L107">
        <f t="shared" si="22"/>
        <v>33525.791769981384</v>
      </c>
      <c r="M107">
        <f t="shared" si="23"/>
        <v>0</v>
      </c>
      <c r="N107" s="30">
        <f t="shared" si="24"/>
        <v>33525.791769981384</v>
      </c>
      <c r="O107" s="30">
        <f t="shared" si="25"/>
        <v>33524.937821654443</v>
      </c>
      <c r="P107" s="30">
        <f t="shared" si="26"/>
        <v>33524.937821654443</v>
      </c>
      <c r="Q107">
        <f t="shared" si="27"/>
        <v>0</v>
      </c>
      <c r="R107" s="30">
        <f t="shared" si="28"/>
        <v>33524.937821654443</v>
      </c>
      <c r="S107" s="30">
        <f t="shared" si="29"/>
        <v>33524.937821654465</v>
      </c>
      <c r="T107" s="30">
        <f t="shared" si="30"/>
        <v>33524.937821654465</v>
      </c>
      <c r="U107">
        <f t="shared" si="31"/>
        <v>0</v>
      </c>
      <c r="V107" s="30">
        <f t="shared" si="32"/>
        <v>33524.937821654465</v>
      </c>
      <c r="W107" s="30">
        <f t="shared" si="33"/>
        <v>33524.937821654465</v>
      </c>
      <c r="X107" s="30">
        <f t="shared" si="34"/>
        <v>33524.937821654465</v>
      </c>
      <c r="Y107">
        <f t="shared" si="35"/>
        <v>0</v>
      </c>
    </row>
    <row r="108" spans="1:25" x14ac:dyDescent="0.25">
      <c r="A108" s="4" t="s">
        <v>866</v>
      </c>
      <c r="B108" s="7" t="s">
        <v>432</v>
      </c>
      <c r="C108" s="2" t="s">
        <v>867</v>
      </c>
      <c r="D108">
        <f>VLOOKUP(B108,'Model allocations'!$A$1:$L$319,6,FALSE)</f>
        <v>0</v>
      </c>
      <c r="E108" s="32">
        <f>VLOOKUP(B108,'Initial adjusted formula count'!$A$1:$P$319,12,FALSE)</f>
        <v>0.16666666666666699</v>
      </c>
      <c r="F108">
        <f>VLOOKUP(B108,'Model allocations'!$A$1:$L$319,11,FALSE)</f>
        <v>0</v>
      </c>
      <c r="G108" s="31">
        <f t="shared" si="36"/>
        <v>0.9</v>
      </c>
      <c r="H108">
        <f t="shared" si="37"/>
        <v>0</v>
      </c>
      <c r="I108">
        <f t="shared" si="19"/>
        <v>0</v>
      </c>
      <c r="J108">
        <f t="shared" si="20"/>
        <v>0</v>
      </c>
      <c r="K108">
        <f t="shared" si="21"/>
        <v>0</v>
      </c>
      <c r="L108">
        <f t="shared" si="22"/>
        <v>0</v>
      </c>
      <c r="M108">
        <f t="shared" si="23"/>
        <v>0</v>
      </c>
      <c r="N108" s="30">
        <f t="shared" si="24"/>
        <v>0</v>
      </c>
      <c r="O108" s="30">
        <f t="shared" si="25"/>
        <v>0</v>
      </c>
      <c r="P108" s="30">
        <f t="shared" si="26"/>
        <v>0</v>
      </c>
      <c r="Q108">
        <f t="shared" si="27"/>
        <v>0</v>
      </c>
      <c r="R108" s="30">
        <f t="shared" si="28"/>
        <v>0</v>
      </c>
      <c r="S108" s="30">
        <f t="shared" si="29"/>
        <v>0</v>
      </c>
      <c r="T108" s="30">
        <f t="shared" si="30"/>
        <v>0</v>
      </c>
      <c r="U108">
        <f t="shared" si="31"/>
        <v>0</v>
      </c>
      <c r="V108" s="30">
        <f t="shared" si="32"/>
        <v>0</v>
      </c>
      <c r="W108" s="30">
        <f t="shared" si="33"/>
        <v>0</v>
      </c>
      <c r="X108" s="30">
        <f t="shared" si="34"/>
        <v>0</v>
      </c>
      <c r="Y108">
        <f t="shared" si="35"/>
        <v>0</v>
      </c>
    </row>
    <row r="109" spans="1:25" x14ac:dyDescent="0.25">
      <c r="A109" s="4" t="s">
        <v>868</v>
      </c>
      <c r="B109" s="7" t="s">
        <v>147</v>
      </c>
      <c r="C109" s="2" t="s">
        <v>869</v>
      </c>
      <c r="D109">
        <f>VLOOKUP(B109,'Model allocations'!$A$1:$L$319,6,FALSE)</f>
        <v>0</v>
      </c>
      <c r="E109" s="32">
        <f>VLOOKUP(B109,'Initial adjusted formula count'!$A$1:$P$319,12,FALSE)</f>
        <v>3.7684349548756303E-2</v>
      </c>
      <c r="F109">
        <f>VLOOKUP(B109,'Model allocations'!$A$1:$L$319,11,FALSE)</f>
        <v>0</v>
      </c>
      <c r="G109" s="31">
        <f t="shared" si="36"/>
        <v>0.85</v>
      </c>
      <c r="H109">
        <f t="shared" si="37"/>
        <v>0</v>
      </c>
      <c r="I109">
        <f t="shared" si="19"/>
        <v>0</v>
      </c>
      <c r="J109">
        <f t="shared" si="20"/>
        <v>0</v>
      </c>
      <c r="K109">
        <f t="shared" si="21"/>
        <v>0</v>
      </c>
      <c r="L109">
        <f t="shared" si="22"/>
        <v>0</v>
      </c>
      <c r="M109">
        <f t="shared" si="23"/>
        <v>0</v>
      </c>
      <c r="N109" s="30">
        <f t="shared" si="24"/>
        <v>0</v>
      </c>
      <c r="O109" s="30">
        <f t="shared" si="25"/>
        <v>0</v>
      </c>
      <c r="P109" s="30">
        <f t="shared" si="26"/>
        <v>0</v>
      </c>
      <c r="Q109">
        <f t="shared" si="27"/>
        <v>0</v>
      </c>
      <c r="R109" s="30">
        <f t="shared" si="28"/>
        <v>0</v>
      </c>
      <c r="S109" s="30">
        <f t="shared" si="29"/>
        <v>0</v>
      </c>
      <c r="T109" s="30">
        <f t="shared" si="30"/>
        <v>0</v>
      </c>
      <c r="U109">
        <f t="shared" si="31"/>
        <v>0</v>
      </c>
      <c r="V109" s="30">
        <f t="shared" si="32"/>
        <v>0</v>
      </c>
      <c r="W109" s="30">
        <f t="shared" si="33"/>
        <v>0</v>
      </c>
      <c r="X109" s="30">
        <f t="shared" si="34"/>
        <v>0</v>
      </c>
      <c r="Y109">
        <f t="shared" si="35"/>
        <v>0</v>
      </c>
    </row>
    <row r="110" spans="1:25" x14ac:dyDescent="0.25">
      <c r="A110" s="4" t="s">
        <v>870</v>
      </c>
      <c r="B110" s="7" t="s">
        <v>149</v>
      </c>
      <c r="C110" s="2" t="s">
        <v>871</v>
      </c>
      <c r="D110">
        <f>VLOOKUP(B110,'Model allocations'!$A$1:$L$319,6,FALSE)</f>
        <v>9616.0481360149261</v>
      </c>
      <c r="E110" s="32">
        <f>VLOOKUP(B110,'Initial adjusted formula count'!$A$1:$P$319,12,FALSE)</f>
        <v>0.36666666666666697</v>
      </c>
      <c r="F110">
        <f>VLOOKUP(B110,'Model allocations'!$A$1:$L$319,11,FALSE)</f>
        <v>23254.505608433323</v>
      </c>
      <c r="G110" s="31">
        <f t="shared" si="36"/>
        <v>0.95</v>
      </c>
      <c r="H110">
        <f t="shared" si="37"/>
        <v>9135.2457292141789</v>
      </c>
      <c r="I110">
        <f t="shared" si="19"/>
        <v>0</v>
      </c>
      <c r="J110">
        <f t="shared" si="20"/>
        <v>23254.505608433323</v>
      </c>
      <c r="K110">
        <f t="shared" si="21"/>
        <v>23249.788285484159</v>
      </c>
      <c r="L110">
        <f t="shared" si="22"/>
        <v>23249.788285484159</v>
      </c>
      <c r="M110">
        <f t="shared" si="23"/>
        <v>0</v>
      </c>
      <c r="N110" s="30">
        <f t="shared" si="24"/>
        <v>23249.788285484159</v>
      </c>
      <c r="O110" s="30">
        <f t="shared" si="25"/>
        <v>23249.19608119129</v>
      </c>
      <c r="P110" s="30">
        <f t="shared" si="26"/>
        <v>23249.19608119129</v>
      </c>
      <c r="Q110">
        <f t="shared" si="27"/>
        <v>0</v>
      </c>
      <c r="R110" s="30">
        <f t="shared" si="28"/>
        <v>23249.19608119129</v>
      </c>
      <c r="S110" s="30">
        <f t="shared" si="29"/>
        <v>23249.196081191305</v>
      </c>
      <c r="T110" s="30">
        <f t="shared" si="30"/>
        <v>23249.196081191305</v>
      </c>
      <c r="U110">
        <f t="shared" si="31"/>
        <v>0</v>
      </c>
      <c r="V110" s="30">
        <f t="shared" si="32"/>
        <v>23249.196081191305</v>
      </c>
      <c r="W110" s="30">
        <f t="shared" si="33"/>
        <v>23249.196081191305</v>
      </c>
      <c r="X110" s="30">
        <f t="shared" si="34"/>
        <v>23249.196081191305</v>
      </c>
      <c r="Y110">
        <f t="shared" si="35"/>
        <v>0</v>
      </c>
    </row>
    <row r="111" spans="1:25" x14ac:dyDescent="0.25">
      <c r="A111" s="4" t="s">
        <v>872</v>
      </c>
      <c r="B111" s="7" t="s">
        <v>151</v>
      </c>
      <c r="C111" s="2" t="s">
        <v>873</v>
      </c>
      <c r="D111">
        <f>VLOOKUP(B111,'Model allocations'!$A$1:$L$319,6,FALSE)</f>
        <v>68234.161520310096</v>
      </c>
      <c r="E111" s="32">
        <f>VLOOKUP(B111,'Initial adjusted formula count'!$A$1:$P$319,12,FALSE)</f>
        <v>8.4933530280649899E-2</v>
      </c>
      <c r="F111">
        <f>VLOOKUP(B111,'Model allocations'!$A$1:$L$319,11,FALSE)</f>
        <v>65277.79691145011</v>
      </c>
      <c r="G111" s="31">
        <f t="shared" si="36"/>
        <v>0.85</v>
      </c>
      <c r="H111">
        <f t="shared" si="37"/>
        <v>57999.03729226358</v>
      </c>
      <c r="I111">
        <f t="shared" si="19"/>
        <v>0</v>
      </c>
      <c r="J111">
        <f t="shared" si="20"/>
        <v>65277.79691145011</v>
      </c>
      <c r="K111">
        <f t="shared" si="21"/>
        <v>65264.554899143921</v>
      </c>
      <c r="L111">
        <f t="shared" si="22"/>
        <v>65264.554899143921</v>
      </c>
      <c r="M111">
        <f t="shared" si="23"/>
        <v>0</v>
      </c>
      <c r="N111" s="30">
        <f t="shared" si="24"/>
        <v>65264.554899143921</v>
      </c>
      <c r="O111" s="30">
        <f t="shared" si="25"/>
        <v>65262.892520583351</v>
      </c>
      <c r="P111" s="30">
        <f t="shared" si="26"/>
        <v>65262.892520583351</v>
      </c>
      <c r="Q111">
        <f t="shared" si="27"/>
        <v>0</v>
      </c>
      <c r="R111" s="30">
        <f t="shared" si="28"/>
        <v>65262.892520583351</v>
      </c>
      <c r="S111" s="30">
        <f t="shared" si="29"/>
        <v>65262.892520583402</v>
      </c>
      <c r="T111" s="30">
        <f t="shared" si="30"/>
        <v>65262.892520583402</v>
      </c>
      <c r="U111">
        <f t="shared" si="31"/>
        <v>0</v>
      </c>
      <c r="V111" s="30">
        <f t="shared" si="32"/>
        <v>65262.892520583402</v>
      </c>
      <c r="W111" s="30">
        <f t="shared" si="33"/>
        <v>65262.892520583402</v>
      </c>
      <c r="X111" s="30">
        <f t="shared" si="34"/>
        <v>65262.892520583402</v>
      </c>
      <c r="Y111">
        <f t="shared" si="35"/>
        <v>0</v>
      </c>
    </row>
    <row r="112" spans="1:25" x14ac:dyDescent="0.25">
      <c r="A112" s="4" t="s">
        <v>874</v>
      </c>
      <c r="B112" s="7" t="s">
        <v>434</v>
      </c>
      <c r="C112" s="2" t="s">
        <v>875</v>
      </c>
      <c r="D112">
        <f>VLOOKUP(B112,'Model allocations'!$A$1:$L$319,6,FALSE)</f>
        <v>27002.586339733833</v>
      </c>
      <c r="E112" s="32">
        <f>VLOOKUP(B112,'Initial adjusted formula count'!$A$1:$P$319,12,FALSE)</f>
        <v>0.31067961165048502</v>
      </c>
      <c r="F112">
        <f>VLOOKUP(B112,'Model allocations'!$A$1:$L$319,11,FALSE)</f>
        <v>29281.845841299579</v>
      </c>
      <c r="G112" s="31">
        <f t="shared" si="36"/>
        <v>0.95</v>
      </c>
      <c r="H112">
        <f t="shared" si="37"/>
        <v>25652.457022747141</v>
      </c>
      <c r="I112">
        <f t="shared" si="19"/>
        <v>0</v>
      </c>
      <c r="J112">
        <f t="shared" si="20"/>
        <v>29281.845841299579</v>
      </c>
      <c r="K112">
        <f t="shared" si="21"/>
        <v>29275.905834416313</v>
      </c>
      <c r="L112">
        <f t="shared" si="22"/>
        <v>29275.905834416313</v>
      </c>
      <c r="M112">
        <f t="shared" si="23"/>
        <v>0</v>
      </c>
      <c r="N112" s="30">
        <f t="shared" si="24"/>
        <v>29275.905834416313</v>
      </c>
      <c r="O112" s="30">
        <f t="shared" si="25"/>
        <v>29275.160136567374</v>
      </c>
      <c r="P112" s="30">
        <f t="shared" si="26"/>
        <v>29275.160136567374</v>
      </c>
      <c r="Q112">
        <f t="shared" si="27"/>
        <v>0</v>
      </c>
      <c r="R112" s="30">
        <f t="shared" si="28"/>
        <v>29275.160136567374</v>
      </c>
      <c r="S112" s="30">
        <f t="shared" si="29"/>
        <v>29275.160136567392</v>
      </c>
      <c r="T112" s="30">
        <f t="shared" si="30"/>
        <v>29275.160136567392</v>
      </c>
      <c r="U112">
        <f t="shared" si="31"/>
        <v>0</v>
      </c>
      <c r="V112" s="30">
        <f t="shared" si="32"/>
        <v>29275.160136567392</v>
      </c>
      <c r="W112" s="30">
        <f t="shared" si="33"/>
        <v>29275.160136567392</v>
      </c>
      <c r="X112" s="30">
        <f t="shared" si="34"/>
        <v>29275.160136567392</v>
      </c>
      <c r="Y112">
        <f t="shared" si="35"/>
        <v>0</v>
      </c>
    </row>
    <row r="113" spans="1:25" x14ac:dyDescent="0.25">
      <c r="A113" s="8" t="s">
        <v>876</v>
      </c>
      <c r="B113" s="7" t="s">
        <v>436</v>
      </c>
      <c r="C113" s="2" t="s">
        <v>877</v>
      </c>
      <c r="D113">
        <f>VLOOKUP(B113,'Model allocations'!$A$1:$L$319,6,FALSE)</f>
        <v>537479.40721355367</v>
      </c>
      <c r="E113" s="32">
        <f>VLOOKUP(B113,'Initial adjusted formula count'!$A$1:$P$319,12,FALSE)</f>
        <v>0.17111517367458901</v>
      </c>
      <c r="F113">
        <f>VLOOKUP(B113,'Model allocations'!$A$1:$L$319,11,FALSE)</f>
        <v>600839.54809365177</v>
      </c>
      <c r="G113" s="31">
        <f t="shared" si="36"/>
        <v>0.9</v>
      </c>
      <c r="H113">
        <f t="shared" si="37"/>
        <v>483731.46649219829</v>
      </c>
      <c r="I113">
        <f t="shared" si="19"/>
        <v>0</v>
      </c>
      <c r="J113">
        <f t="shared" si="20"/>
        <v>600839.54809365177</v>
      </c>
      <c r="K113">
        <f t="shared" si="21"/>
        <v>600717.66400646826</v>
      </c>
      <c r="L113">
        <f t="shared" si="22"/>
        <v>600717.66400646826</v>
      </c>
      <c r="M113">
        <f t="shared" si="23"/>
        <v>0</v>
      </c>
      <c r="N113" s="30">
        <f t="shared" si="24"/>
        <v>600717.66400646826</v>
      </c>
      <c r="O113" s="30">
        <f t="shared" si="25"/>
        <v>600702.36289597815</v>
      </c>
      <c r="P113" s="30">
        <f t="shared" si="26"/>
        <v>600702.36289597815</v>
      </c>
      <c r="Q113">
        <f t="shared" si="27"/>
        <v>0</v>
      </c>
      <c r="R113" s="30">
        <f t="shared" si="28"/>
        <v>600702.36289597815</v>
      </c>
      <c r="S113" s="30">
        <f t="shared" si="29"/>
        <v>600702.36289597861</v>
      </c>
      <c r="T113" s="30">
        <f t="shared" si="30"/>
        <v>600702.36289597861</v>
      </c>
      <c r="U113">
        <f t="shared" si="31"/>
        <v>0</v>
      </c>
      <c r="V113" s="30">
        <f t="shared" si="32"/>
        <v>600702.36289597861</v>
      </c>
      <c r="W113" s="30">
        <f t="shared" si="33"/>
        <v>600702.36289597861</v>
      </c>
      <c r="X113" s="30">
        <f t="shared" si="34"/>
        <v>600702.36289597861</v>
      </c>
      <c r="Y113">
        <f t="shared" si="35"/>
        <v>0</v>
      </c>
    </row>
    <row r="114" spans="1:25" x14ac:dyDescent="0.25">
      <c r="A114" s="4" t="s">
        <v>878</v>
      </c>
      <c r="B114" s="7" t="s">
        <v>438</v>
      </c>
      <c r="C114" s="2" t="s">
        <v>879</v>
      </c>
      <c r="D114">
        <f>VLOOKUP(B114,'Model allocations'!$A$1:$L$319,6,FALSE)</f>
        <v>2046754.0751270801</v>
      </c>
      <c r="E114" s="32">
        <f>VLOOKUP(B114,'Initial adjusted formula count'!$A$1:$P$319,12,FALSE)</f>
        <v>0.13937879678620399</v>
      </c>
      <c r="F114">
        <f>VLOOKUP(B114,'Model allocations'!$A$1:$L$319,11,FALSE)</f>
        <v>2391721.7155338698</v>
      </c>
      <c r="G114" s="31">
        <f t="shared" si="36"/>
        <v>0.85</v>
      </c>
      <c r="H114">
        <f t="shared" si="37"/>
        <v>1739740.9638580179</v>
      </c>
      <c r="I114">
        <f t="shared" si="19"/>
        <v>0</v>
      </c>
      <c r="J114">
        <f t="shared" si="20"/>
        <v>2391721.7155338698</v>
      </c>
      <c r="K114">
        <f t="shared" si="21"/>
        <v>2391236.5397177641</v>
      </c>
      <c r="L114">
        <f t="shared" si="22"/>
        <v>2391236.5397177641</v>
      </c>
      <c r="M114">
        <f t="shared" si="23"/>
        <v>0</v>
      </c>
      <c r="N114" s="30">
        <f t="shared" si="24"/>
        <v>2391236.5397177641</v>
      </c>
      <c r="O114" s="30">
        <f t="shared" si="25"/>
        <v>2391175.6316128518</v>
      </c>
      <c r="P114" s="30">
        <f t="shared" si="26"/>
        <v>2391175.6316128518</v>
      </c>
      <c r="Q114">
        <f t="shared" si="27"/>
        <v>0</v>
      </c>
      <c r="R114" s="30">
        <f t="shared" si="28"/>
        <v>2391175.6316128518</v>
      </c>
      <c r="S114" s="30">
        <f t="shared" si="29"/>
        <v>2391175.6316128536</v>
      </c>
      <c r="T114" s="30">
        <f t="shared" si="30"/>
        <v>2391175.6316128536</v>
      </c>
      <c r="U114">
        <f t="shared" si="31"/>
        <v>0</v>
      </c>
      <c r="V114" s="30">
        <f t="shared" si="32"/>
        <v>2391175.6316128536</v>
      </c>
      <c r="W114" s="30">
        <f t="shared" si="33"/>
        <v>2391175.6316128536</v>
      </c>
      <c r="X114" s="30">
        <f t="shared" si="34"/>
        <v>2391175.6316128536</v>
      </c>
      <c r="Y114">
        <f t="shared" si="35"/>
        <v>0</v>
      </c>
    </row>
    <row r="115" spans="1:25" x14ac:dyDescent="0.25">
      <c r="A115" s="4" t="s">
        <v>880</v>
      </c>
      <c r="B115" s="7" t="s">
        <v>440</v>
      </c>
      <c r="C115" s="2" t="s">
        <v>881</v>
      </c>
      <c r="D115">
        <f>VLOOKUP(B115,'Model allocations'!$A$1:$L$319,6,FALSE)</f>
        <v>4114357.4773853654</v>
      </c>
      <c r="E115" s="32">
        <f>VLOOKUP(B115,'Initial adjusted formula count'!$A$1:$P$319,12,FALSE)</f>
        <v>0.14381940044683</v>
      </c>
      <c r="F115">
        <f>VLOOKUP(B115,'Model allocations'!$A$1:$L$319,11,FALSE)</f>
        <v>4058292.2523340229</v>
      </c>
      <c r="G115" s="31">
        <f t="shared" si="36"/>
        <v>0.85</v>
      </c>
      <c r="H115">
        <f t="shared" si="37"/>
        <v>3497203.8557775607</v>
      </c>
      <c r="I115">
        <f t="shared" si="19"/>
        <v>0</v>
      </c>
      <c r="J115">
        <f t="shared" si="20"/>
        <v>4058292.2523340229</v>
      </c>
      <c r="K115">
        <f t="shared" si="21"/>
        <v>4057469.0021863431</v>
      </c>
      <c r="L115">
        <f t="shared" si="22"/>
        <v>4057469.0021863431</v>
      </c>
      <c r="M115">
        <f t="shared" si="23"/>
        <v>0</v>
      </c>
      <c r="N115" s="30">
        <f t="shared" si="24"/>
        <v>4057469.0021863431</v>
      </c>
      <c r="O115" s="30">
        <f t="shared" si="25"/>
        <v>4057365.6528340057</v>
      </c>
      <c r="P115" s="30">
        <f t="shared" si="26"/>
        <v>4057365.6528340057</v>
      </c>
      <c r="Q115">
        <f t="shared" si="27"/>
        <v>0</v>
      </c>
      <c r="R115" s="30">
        <f t="shared" si="28"/>
        <v>4057365.6528340057</v>
      </c>
      <c r="S115" s="30">
        <f t="shared" si="29"/>
        <v>4057365.652834008</v>
      </c>
      <c r="T115" s="30">
        <f t="shared" si="30"/>
        <v>4057365.652834008</v>
      </c>
      <c r="U115">
        <f t="shared" si="31"/>
        <v>0</v>
      </c>
      <c r="V115" s="30">
        <f t="shared" si="32"/>
        <v>4057365.652834008</v>
      </c>
      <c r="W115" s="30">
        <f t="shared" si="33"/>
        <v>4057365.652834008</v>
      </c>
      <c r="X115" s="30">
        <f t="shared" si="34"/>
        <v>4057365.652834008</v>
      </c>
      <c r="Y115">
        <f t="shared" si="35"/>
        <v>0</v>
      </c>
    </row>
    <row r="116" spans="1:25" x14ac:dyDescent="0.25">
      <c r="A116" s="4" t="s">
        <v>882</v>
      </c>
      <c r="B116" s="7" t="s">
        <v>442</v>
      </c>
      <c r="C116" s="2" t="s">
        <v>883</v>
      </c>
      <c r="D116">
        <f>VLOOKUP(B116,'Model allocations'!$A$1:$L$319,6,FALSE)</f>
        <v>100678.4222412887</v>
      </c>
      <c r="E116" s="32">
        <f>VLOOKUP(B116,'Initial adjusted formula count'!$A$1:$P$319,12,FALSE)</f>
        <v>0.158119658119658</v>
      </c>
      <c r="F116">
        <f>VLOOKUP(B116,'Model allocations'!$A$1:$L$319,11,FALSE)</f>
        <v>90610.580017159838</v>
      </c>
      <c r="G116" s="31">
        <f t="shared" si="36"/>
        <v>0.9</v>
      </c>
      <c r="H116">
        <f t="shared" si="37"/>
        <v>90610.580017159838</v>
      </c>
      <c r="I116">
        <f t="shared" si="19"/>
        <v>0</v>
      </c>
      <c r="J116">
        <f t="shared" si="20"/>
        <v>90610.580017159838</v>
      </c>
      <c r="K116">
        <f t="shared" si="21"/>
        <v>90592.199090222508</v>
      </c>
      <c r="L116">
        <f t="shared" si="22"/>
        <v>90592.199090222508</v>
      </c>
      <c r="M116">
        <f t="shared" si="23"/>
        <v>90610.580017159838</v>
      </c>
      <c r="N116" s="30">
        <f t="shared" si="24"/>
        <v>0</v>
      </c>
      <c r="O116" s="30">
        <f t="shared" si="25"/>
        <v>0</v>
      </c>
      <c r="P116" s="30">
        <f t="shared" si="26"/>
        <v>90610.580017159838</v>
      </c>
      <c r="Q116">
        <f t="shared" si="27"/>
        <v>0</v>
      </c>
      <c r="R116" s="30">
        <f t="shared" si="28"/>
        <v>0</v>
      </c>
      <c r="S116" s="30">
        <f t="shared" si="29"/>
        <v>0</v>
      </c>
      <c r="T116" s="30">
        <f t="shared" si="30"/>
        <v>90610.580017159838</v>
      </c>
      <c r="U116">
        <f t="shared" si="31"/>
        <v>0</v>
      </c>
      <c r="V116" s="30">
        <f t="shared" si="32"/>
        <v>0</v>
      </c>
      <c r="W116" s="30">
        <f t="shared" si="33"/>
        <v>0</v>
      </c>
      <c r="X116" s="30">
        <f t="shared" si="34"/>
        <v>90610.580017159838</v>
      </c>
      <c r="Y116">
        <f t="shared" si="35"/>
        <v>0</v>
      </c>
    </row>
    <row r="117" spans="1:25" x14ac:dyDescent="0.25">
      <c r="A117" s="8" t="s">
        <v>884</v>
      </c>
      <c r="B117" s="7" t="s">
        <v>444</v>
      </c>
      <c r="C117" s="2" t="s">
        <v>885</v>
      </c>
      <c r="D117">
        <f>VLOOKUP(B117,'Model allocations'!$A$1:$L$319,6,FALSE)</f>
        <v>150006.27853378022</v>
      </c>
      <c r="E117" s="32">
        <f>VLOOKUP(B117,'Initial adjusted formula count'!$A$1:$P$319,12,FALSE)</f>
        <v>0.14401388085598599</v>
      </c>
      <c r="F117">
        <f>VLOOKUP(B117,'Model allocations'!$A$1:$L$319,11,FALSE)</f>
        <v>141340.62113870503</v>
      </c>
      <c r="G117" s="31">
        <f t="shared" si="36"/>
        <v>0.85</v>
      </c>
      <c r="H117">
        <f t="shared" si="37"/>
        <v>127505.33675371319</v>
      </c>
      <c r="I117">
        <f t="shared" si="19"/>
        <v>0</v>
      </c>
      <c r="J117">
        <f t="shared" si="20"/>
        <v>141340.62113870503</v>
      </c>
      <c r="K117">
        <f t="shared" si="21"/>
        <v>141311.9493033638</v>
      </c>
      <c r="L117">
        <f t="shared" si="22"/>
        <v>141311.9493033638</v>
      </c>
      <c r="M117">
        <f t="shared" si="23"/>
        <v>0</v>
      </c>
      <c r="N117" s="30">
        <f t="shared" si="24"/>
        <v>141311.9493033638</v>
      </c>
      <c r="O117" s="30">
        <f t="shared" si="25"/>
        <v>141308.34989239351</v>
      </c>
      <c r="P117" s="30">
        <f t="shared" si="26"/>
        <v>141308.34989239351</v>
      </c>
      <c r="Q117">
        <f t="shared" si="27"/>
        <v>0</v>
      </c>
      <c r="R117" s="30">
        <f t="shared" si="28"/>
        <v>141308.34989239351</v>
      </c>
      <c r="S117" s="30">
        <f t="shared" si="29"/>
        <v>141308.34989239363</v>
      </c>
      <c r="T117" s="30">
        <f t="shared" si="30"/>
        <v>141308.34989239363</v>
      </c>
      <c r="U117">
        <f t="shared" si="31"/>
        <v>0</v>
      </c>
      <c r="V117" s="30">
        <f t="shared" si="32"/>
        <v>141308.34989239363</v>
      </c>
      <c r="W117" s="30">
        <f t="shared" si="33"/>
        <v>141308.34989239363</v>
      </c>
      <c r="X117" s="30">
        <f t="shared" si="34"/>
        <v>141308.34989239363</v>
      </c>
      <c r="Y117">
        <f t="shared" si="35"/>
        <v>0</v>
      </c>
    </row>
    <row r="118" spans="1:25" x14ac:dyDescent="0.25">
      <c r="A118" s="4" t="s">
        <v>886</v>
      </c>
      <c r="B118" s="7" t="s">
        <v>282</v>
      </c>
      <c r="C118" s="2" t="s">
        <v>887</v>
      </c>
      <c r="D118">
        <f>VLOOKUP(B118,'Model allocations'!$A$1:$L$319,6,FALSE)</f>
        <v>31409.375937920522</v>
      </c>
      <c r="E118" s="32">
        <f>VLOOKUP(B118,'Initial adjusted formula count'!$A$1:$P$319,12,FALSE)</f>
        <v>7.7445652173912999E-2</v>
      </c>
      <c r="F118">
        <f>VLOOKUP(B118,'Model allocations'!$A$1:$L$319,11,FALSE)</f>
        <v>32355.081947414401</v>
      </c>
      <c r="G118" s="31">
        <f t="shared" si="36"/>
        <v>0.85</v>
      </c>
      <c r="H118">
        <f t="shared" si="37"/>
        <v>26697.969547232442</v>
      </c>
      <c r="I118">
        <f t="shared" si="19"/>
        <v>0</v>
      </c>
      <c r="J118">
        <f t="shared" si="20"/>
        <v>32355.081947414401</v>
      </c>
      <c r="K118">
        <f t="shared" si="21"/>
        <v>32348.518515227854</v>
      </c>
      <c r="L118">
        <f t="shared" si="22"/>
        <v>32348.518515227854</v>
      </c>
      <c r="M118">
        <f t="shared" si="23"/>
        <v>0</v>
      </c>
      <c r="N118" s="30">
        <f t="shared" si="24"/>
        <v>32348.518515227854</v>
      </c>
      <c r="O118" s="30">
        <f t="shared" si="25"/>
        <v>32347.694553680445</v>
      </c>
      <c r="P118" s="30">
        <f t="shared" si="26"/>
        <v>32347.694553680445</v>
      </c>
      <c r="Q118">
        <f t="shared" si="27"/>
        <v>0</v>
      </c>
      <c r="R118" s="30">
        <f t="shared" si="28"/>
        <v>32347.694553680445</v>
      </c>
      <c r="S118" s="30">
        <f t="shared" si="29"/>
        <v>32347.694553680467</v>
      </c>
      <c r="T118" s="30">
        <f t="shared" si="30"/>
        <v>32347.694553680467</v>
      </c>
      <c r="U118">
        <f t="shared" si="31"/>
        <v>0</v>
      </c>
      <c r="V118" s="30">
        <f t="shared" si="32"/>
        <v>32347.694553680467</v>
      </c>
      <c r="W118" s="30">
        <f t="shared" si="33"/>
        <v>32347.694553680467</v>
      </c>
      <c r="X118" s="30">
        <f t="shared" si="34"/>
        <v>32347.694553680467</v>
      </c>
      <c r="Y118">
        <f t="shared" si="35"/>
        <v>0</v>
      </c>
    </row>
    <row r="119" spans="1:25" x14ac:dyDescent="0.25">
      <c r="A119" s="4" t="s">
        <v>888</v>
      </c>
      <c r="B119" s="7" t="s">
        <v>445</v>
      </c>
      <c r="C119" s="2" t="s">
        <v>889</v>
      </c>
      <c r="D119">
        <f>VLOOKUP(B119,'Model allocations'!$A$1:$L$319,6,FALSE)</f>
        <v>9974.2639454724449</v>
      </c>
      <c r="E119" s="32">
        <f>VLOOKUP(B119,'Initial adjusted formula count'!$A$1:$P$319,12,FALSE)</f>
        <v>0.21249999999999999</v>
      </c>
      <c r="F119">
        <f>VLOOKUP(B119,'Model allocations'!$A$1:$L$319,11,FALSE)</f>
        <v>11580.848805107868</v>
      </c>
      <c r="G119" s="31">
        <f t="shared" si="36"/>
        <v>0.9</v>
      </c>
      <c r="H119">
        <f t="shared" si="37"/>
        <v>8976.8375509252</v>
      </c>
      <c r="I119">
        <f t="shared" si="19"/>
        <v>0</v>
      </c>
      <c r="J119">
        <f t="shared" si="20"/>
        <v>11580.848805107868</v>
      </c>
      <c r="K119">
        <f t="shared" si="21"/>
        <v>11578.499556976816</v>
      </c>
      <c r="L119">
        <f t="shared" si="22"/>
        <v>11578.499556976816</v>
      </c>
      <c r="M119">
        <f t="shared" si="23"/>
        <v>0</v>
      </c>
      <c r="N119" s="30">
        <f t="shared" si="24"/>
        <v>11578.499556976816</v>
      </c>
      <c r="O119" s="30">
        <f t="shared" si="25"/>
        <v>11578.204636564707</v>
      </c>
      <c r="P119" s="30">
        <f t="shared" si="26"/>
        <v>11578.204636564707</v>
      </c>
      <c r="Q119">
        <f t="shared" si="27"/>
        <v>0</v>
      </c>
      <c r="R119" s="30">
        <f t="shared" si="28"/>
        <v>11578.204636564707</v>
      </c>
      <c r="S119" s="30">
        <f t="shared" si="29"/>
        <v>11578.204636564717</v>
      </c>
      <c r="T119" s="30">
        <f t="shared" si="30"/>
        <v>11578.204636564717</v>
      </c>
      <c r="U119">
        <f t="shared" si="31"/>
        <v>0</v>
      </c>
      <c r="V119" s="30">
        <f t="shared" si="32"/>
        <v>11578.204636564717</v>
      </c>
      <c r="W119" s="30">
        <f t="shared" si="33"/>
        <v>11578.204636564717</v>
      </c>
      <c r="X119" s="30">
        <f t="shared" si="34"/>
        <v>11578.204636564717</v>
      </c>
      <c r="Y119">
        <f t="shared" si="35"/>
        <v>0</v>
      </c>
    </row>
    <row r="120" spans="1:25" x14ac:dyDescent="0.25">
      <c r="A120" s="4" t="s">
        <v>890</v>
      </c>
      <c r="B120" s="7" t="s">
        <v>153</v>
      </c>
      <c r="C120" s="2" t="s">
        <v>891</v>
      </c>
      <c r="D120">
        <f>VLOOKUP(B120,'Model allocations'!$A$1:$L$319,6,FALSE)</f>
        <v>84480.390453717278</v>
      </c>
      <c r="E120" s="32">
        <f>VLOOKUP(B120,'Initial adjusted formula count'!$A$1:$P$319,12,FALSE)</f>
        <v>5.9190031152648002E-2</v>
      </c>
      <c r="F120">
        <f>VLOOKUP(B120,'Model allocations'!$A$1:$L$319,11,FALSE)</f>
        <v>71808.331885659689</v>
      </c>
      <c r="G120" s="31">
        <f t="shared" si="36"/>
        <v>0.85</v>
      </c>
      <c r="H120">
        <f t="shared" si="37"/>
        <v>71808.331885659689</v>
      </c>
      <c r="I120">
        <f t="shared" si="19"/>
        <v>0</v>
      </c>
      <c r="J120">
        <f t="shared" si="20"/>
        <v>71808.331885659689</v>
      </c>
      <c r="K120">
        <f t="shared" si="21"/>
        <v>71793.76511319635</v>
      </c>
      <c r="L120">
        <f t="shared" si="22"/>
        <v>71793.76511319635</v>
      </c>
      <c r="M120">
        <f t="shared" si="23"/>
        <v>71808.331885659689</v>
      </c>
      <c r="N120" s="30">
        <f t="shared" si="24"/>
        <v>0</v>
      </c>
      <c r="O120" s="30">
        <f t="shared" si="25"/>
        <v>0</v>
      </c>
      <c r="P120" s="30">
        <f t="shared" si="26"/>
        <v>71808.331885659689</v>
      </c>
      <c r="Q120">
        <f t="shared" si="27"/>
        <v>0</v>
      </c>
      <c r="R120" s="30">
        <f t="shared" si="28"/>
        <v>0</v>
      </c>
      <c r="S120" s="30">
        <f t="shared" si="29"/>
        <v>0</v>
      </c>
      <c r="T120" s="30">
        <f t="shared" si="30"/>
        <v>71808.331885659689</v>
      </c>
      <c r="U120">
        <f t="shared" si="31"/>
        <v>0</v>
      </c>
      <c r="V120" s="30">
        <f t="shared" si="32"/>
        <v>0</v>
      </c>
      <c r="W120" s="30">
        <f t="shared" si="33"/>
        <v>0</v>
      </c>
      <c r="X120" s="30">
        <f t="shared" si="34"/>
        <v>71808.331885659689</v>
      </c>
      <c r="Y120">
        <f t="shared" si="35"/>
        <v>0</v>
      </c>
    </row>
    <row r="121" spans="1:25" x14ac:dyDescent="0.25">
      <c r="A121" s="4" t="s">
        <v>892</v>
      </c>
      <c r="B121" s="7" t="s">
        <v>284</v>
      </c>
      <c r="C121" s="2" t="s">
        <v>893</v>
      </c>
      <c r="D121">
        <f>VLOOKUP(B121,'Model allocations'!$A$1:$L$319,6,FALSE)</f>
        <v>93323.564863797656</v>
      </c>
      <c r="E121" s="32">
        <f>VLOOKUP(B121,'Initial adjusted formula count'!$A$1:$P$319,12,FALSE)</f>
        <v>0.157983193277311</v>
      </c>
      <c r="F121">
        <f>VLOOKUP(B121,'Model allocations'!$A$1:$L$319,11,FALSE)</f>
        <v>83991.20837741789</v>
      </c>
      <c r="G121" s="31">
        <f t="shared" si="36"/>
        <v>0.9</v>
      </c>
      <c r="H121">
        <f t="shared" si="37"/>
        <v>83991.20837741789</v>
      </c>
      <c r="I121">
        <f t="shared" si="19"/>
        <v>0</v>
      </c>
      <c r="J121">
        <f t="shared" si="20"/>
        <v>83991.20837741789</v>
      </c>
      <c r="K121">
        <f t="shared" si="21"/>
        <v>83974.170231714917</v>
      </c>
      <c r="L121">
        <f t="shared" si="22"/>
        <v>83974.170231714917</v>
      </c>
      <c r="M121">
        <f t="shared" si="23"/>
        <v>83991.20837741789</v>
      </c>
      <c r="N121" s="30">
        <f t="shared" si="24"/>
        <v>0</v>
      </c>
      <c r="O121" s="30">
        <f t="shared" si="25"/>
        <v>0</v>
      </c>
      <c r="P121" s="30">
        <f t="shared" si="26"/>
        <v>83991.20837741789</v>
      </c>
      <c r="Q121">
        <f t="shared" si="27"/>
        <v>0</v>
      </c>
      <c r="R121" s="30">
        <f t="shared" si="28"/>
        <v>0</v>
      </c>
      <c r="S121" s="30">
        <f t="shared" si="29"/>
        <v>0</v>
      </c>
      <c r="T121" s="30">
        <f t="shared" si="30"/>
        <v>83991.20837741789</v>
      </c>
      <c r="U121">
        <f t="shared" si="31"/>
        <v>0</v>
      </c>
      <c r="V121" s="30">
        <f t="shared" si="32"/>
        <v>0</v>
      </c>
      <c r="W121" s="30">
        <f t="shared" si="33"/>
        <v>0</v>
      </c>
      <c r="X121" s="30">
        <f t="shared" si="34"/>
        <v>83991.20837741789</v>
      </c>
      <c r="Y121">
        <f t="shared" si="35"/>
        <v>0</v>
      </c>
    </row>
    <row r="122" spans="1:25" x14ac:dyDescent="0.25">
      <c r="A122" s="4" t="s">
        <v>894</v>
      </c>
      <c r="B122" s="7" t="s">
        <v>447</v>
      </c>
      <c r="C122" s="2" t="s">
        <v>895</v>
      </c>
      <c r="D122">
        <f>VLOOKUP(B122,'Model allocations'!$A$1:$L$319,6,FALSE)</f>
        <v>0</v>
      </c>
      <c r="E122" s="32">
        <f>VLOOKUP(B122,'Initial adjusted formula count'!$A$1:$P$319,12,FALSE)</f>
        <v>0.20689655172413801</v>
      </c>
      <c r="F122">
        <f>VLOOKUP(B122,'Model allocations'!$A$1:$L$319,11,FALSE)</f>
        <v>12109.911158249757</v>
      </c>
      <c r="G122" s="31">
        <f t="shared" si="36"/>
        <v>0.9</v>
      </c>
      <c r="H122">
        <f t="shared" si="37"/>
        <v>0</v>
      </c>
      <c r="I122">
        <f t="shared" si="19"/>
        <v>0</v>
      </c>
      <c r="J122">
        <f t="shared" si="20"/>
        <v>12109.911158249757</v>
      </c>
      <c r="K122">
        <f t="shared" si="21"/>
        <v>12107.454586487664</v>
      </c>
      <c r="L122">
        <f t="shared" si="22"/>
        <v>12107.454586487664</v>
      </c>
      <c r="M122">
        <f t="shared" si="23"/>
        <v>0</v>
      </c>
      <c r="N122" s="30">
        <f t="shared" si="24"/>
        <v>12107.454586487664</v>
      </c>
      <c r="O122" s="30">
        <f t="shared" si="25"/>
        <v>12107.146192858707</v>
      </c>
      <c r="P122" s="30">
        <f t="shared" si="26"/>
        <v>12107.146192858707</v>
      </c>
      <c r="Q122">
        <f t="shared" si="27"/>
        <v>0</v>
      </c>
      <c r="R122" s="30">
        <f t="shared" si="28"/>
        <v>12107.146192858707</v>
      </c>
      <c r="S122" s="30">
        <f t="shared" si="29"/>
        <v>12107.146192858716</v>
      </c>
      <c r="T122" s="30">
        <f t="shared" si="30"/>
        <v>12107.146192858716</v>
      </c>
      <c r="U122">
        <f t="shared" si="31"/>
        <v>0</v>
      </c>
      <c r="V122" s="30">
        <f t="shared" si="32"/>
        <v>12107.146192858716</v>
      </c>
      <c r="W122" s="30">
        <f t="shared" si="33"/>
        <v>12107.146192858716</v>
      </c>
      <c r="X122" s="30">
        <f t="shared" si="34"/>
        <v>12107.146192858716</v>
      </c>
      <c r="Y122">
        <f t="shared" si="35"/>
        <v>0</v>
      </c>
    </row>
    <row r="123" spans="1:25" x14ac:dyDescent="0.25">
      <c r="A123" s="8" t="s">
        <v>896</v>
      </c>
      <c r="B123" s="7" t="s">
        <v>286</v>
      </c>
      <c r="C123" s="2" t="s">
        <v>897</v>
      </c>
      <c r="D123">
        <f>VLOOKUP(B123,'Model allocations'!$A$1:$L$319,6,FALSE)</f>
        <v>92603.504920420834</v>
      </c>
      <c r="E123" s="32">
        <f>VLOOKUP(B123,'Initial adjusted formula count'!$A$1:$P$319,12,FALSE)</f>
        <v>0.13268608414239499</v>
      </c>
      <c r="F123">
        <f>VLOOKUP(B123,'Model allocations'!$A$1:$L$319,11,FALSE)</f>
        <v>93091.814725894073</v>
      </c>
      <c r="G123" s="31">
        <f t="shared" si="36"/>
        <v>0.85</v>
      </c>
      <c r="H123">
        <f t="shared" si="37"/>
        <v>78712.979182357711</v>
      </c>
      <c r="I123">
        <f t="shared" si="19"/>
        <v>0</v>
      </c>
      <c r="J123">
        <f t="shared" si="20"/>
        <v>93091.814725894073</v>
      </c>
      <c r="K123">
        <f t="shared" si="21"/>
        <v>93072.93046486612</v>
      </c>
      <c r="L123">
        <f t="shared" si="22"/>
        <v>93072.93046486612</v>
      </c>
      <c r="M123">
        <f t="shared" si="23"/>
        <v>0</v>
      </c>
      <c r="N123" s="30">
        <f t="shared" si="24"/>
        <v>93072.93046486612</v>
      </c>
      <c r="O123" s="30">
        <f t="shared" si="25"/>
        <v>93070.559768484105</v>
      </c>
      <c r="P123" s="30">
        <f t="shared" si="26"/>
        <v>93070.559768484105</v>
      </c>
      <c r="Q123">
        <f t="shared" si="27"/>
        <v>0</v>
      </c>
      <c r="R123" s="30">
        <f t="shared" si="28"/>
        <v>93070.559768484105</v>
      </c>
      <c r="S123" s="30">
        <f t="shared" si="29"/>
        <v>93070.559768484178</v>
      </c>
      <c r="T123" s="30">
        <f t="shared" si="30"/>
        <v>93070.559768484178</v>
      </c>
      <c r="U123">
        <f t="shared" si="31"/>
        <v>0</v>
      </c>
      <c r="V123" s="30">
        <f t="shared" si="32"/>
        <v>93070.559768484178</v>
      </c>
      <c r="W123" s="30">
        <f t="shared" si="33"/>
        <v>93070.559768484178</v>
      </c>
      <c r="X123" s="30">
        <f t="shared" si="34"/>
        <v>93070.559768484178</v>
      </c>
      <c r="Y123">
        <f t="shared" si="35"/>
        <v>0</v>
      </c>
    </row>
    <row r="124" spans="1:25" x14ac:dyDescent="0.25">
      <c r="A124" s="4" t="s">
        <v>898</v>
      </c>
      <c r="B124" s="7" t="s">
        <v>155</v>
      </c>
      <c r="C124" s="2" t="s">
        <v>899</v>
      </c>
      <c r="D124">
        <f>VLOOKUP(B124,'Model allocations'!$A$1:$L$319,6,FALSE)</f>
        <v>290265.95694354147</v>
      </c>
      <c r="E124" s="32">
        <f>VLOOKUP(B124,'Initial adjusted formula count'!$A$1:$P$319,12,FALSE)</f>
        <v>5.6730675504435099E-2</v>
      </c>
      <c r="F124">
        <f>VLOOKUP(B124,'Model allocations'!$A$1:$L$319,11,FALSE)</f>
        <v>330362.41567359969</v>
      </c>
      <c r="G124" s="31">
        <f t="shared" si="36"/>
        <v>0.85</v>
      </c>
      <c r="H124">
        <f t="shared" si="37"/>
        <v>246726.06340201024</v>
      </c>
      <c r="I124">
        <f t="shared" si="19"/>
        <v>0</v>
      </c>
      <c r="J124">
        <f t="shared" si="20"/>
        <v>330362.41567359969</v>
      </c>
      <c r="K124">
        <f t="shared" si="21"/>
        <v>330295.39957653702</v>
      </c>
      <c r="L124">
        <f t="shared" si="22"/>
        <v>330295.39957653702</v>
      </c>
      <c r="M124">
        <f t="shared" si="23"/>
        <v>0</v>
      </c>
      <c r="N124" s="30">
        <f t="shared" si="24"/>
        <v>330295.39957653702</v>
      </c>
      <c r="O124" s="30">
        <f t="shared" si="25"/>
        <v>330286.986495474</v>
      </c>
      <c r="P124" s="30">
        <f t="shared" si="26"/>
        <v>330286.986495474</v>
      </c>
      <c r="Q124">
        <f t="shared" si="27"/>
        <v>0</v>
      </c>
      <c r="R124" s="30">
        <f t="shared" si="28"/>
        <v>330286.986495474</v>
      </c>
      <c r="S124" s="30">
        <f t="shared" si="29"/>
        <v>330286.98649547424</v>
      </c>
      <c r="T124" s="30">
        <f t="shared" si="30"/>
        <v>330286.98649547424</v>
      </c>
      <c r="U124">
        <f t="shared" si="31"/>
        <v>0</v>
      </c>
      <c r="V124" s="30">
        <f t="shared" si="32"/>
        <v>330286.98649547424</v>
      </c>
      <c r="W124" s="30">
        <f t="shared" si="33"/>
        <v>330286.98649547424</v>
      </c>
      <c r="X124" s="30">
        <f t="shared" si="34"/>
        <v>330286.98649547424</v>
      </c>
      <c r="Y124">
        <f t="shared" si="35"/>
        <v>0</v>
      </c>
    </row>
    <row r="125" spans="1:25" x14ac:dyDescent="0.25">
      <c r="A125" s="4" t="s">
        <v>900</v>
      </c>
      <c r="B125" s="7" t="s">
        <v>157</v>
      </c>
      <c r="C125" s="2" t="s">
        <v>901</v>
      </c>
      <c r="D125">
        <f>VLOOKUP(B125,'Model allocations'!$A$1:$L$319,6,FALSE)</f>
        <v>0</v>
      </c>
      <c r="E125" s="32">
        <f>VLOOKUP(B125,'Initial adjusted formula count'!$A$1:$P$319,12,FALSE)</f>
        <v>3.9684322866932499E-2</v>
      </c>
      <c r="F125">
        <f>VLOOKUP(B125,'Model allocations'!$A$1:$L$319,11,FALSE)</f>
        <v>0</v>
      </c>
      <c r="G125" s="31">
        <f t="shared" si="36"/>
        <v>0.85</v>
      </c>
      <c r="H125">
        <f t="shared" si="37"/>
        <v>0</v>
      </c>
      <c r="I125">
        <f t="shared" si="19"/>
        <v>0</v>
      </c>
      <c r="J125">
        <f t="shared" si="20"/>
        <v>0</v>
      </c>
      <c r="K125">
        <f t="shared" si="21"/>
        <v>0</v>
      </c>
      <c r="L125">
        <f t="shared" si="22"/>
        <v>0</v>
      </c>
      <c r="M125">
        <f t="shared" si="23"/>
        <v>0</v>
      </c>
      <c r="N125" s="30">
        <f t="shared" si="24"/>
        <v>0</v>
      </c>
      <c r="O125" s="30">
        <f t="shared" si="25"/>
        <v>0</v>
      </c>
      <c r="P125" s="30">
        <f t="shared" si="26"/>
        <v>0</v>
      </c>
      <c r="Q125">
        <f t="shared" si="27"/>
        <v>0</v>
      </c>
      <c r="R125" s="30">
        <f t="shared" si="28"/>
        <v>0</v>
      </c>
      <c r="S125" s="30">
        <f t="shared" si="29"/>
        <v>0</v>
      </c>
      <c r="T125" s="30">
        <f t="shared" si="30"/>
        <v>0</v>
      </c>
      <c r="U125">
        <f t="shared" si="31"/>
        <v>0</v>
      </c>
      <c r="V125" s="30">
        <f t="shared" si="32"/>
        <v>0</v>
      </c>
      <c r="W125" s="30">
        <f t="shared" si="33"/>
        <v>0</v>
      </c>
      <c r="X125" s="30">
        <f t="shared" si="34"/>
        <v>0</v>
      </c>
      <c r="Y125">
        <f t="shared" si="35"/>
        <v>0</v>
      </c>
    </row>
    <row r="126" spans="1:25" x14ac:dyDescent="0.25">
      <c r="A126" s="4" t="s">
        <v>902</v>
      </c>
      <c r="B126" s="7" t="s">
        <v>159</v>
      </c>
      <c r="C126" s="2" t="s">
        <v>903</v>
      </c>
      <c r="D126">
        <f>VLOOKUP(B126,'Model allocations'!$A$1:$L$319,6,FALSE)</f>
        <v>167336.15801409387</v>
      </c>
      <c r="E126" s="32">
        <f>VLOOKUP(B126,'Initial adjusted formula count'!$A$1:$P$319,12,FALSE)</f>
        <v>0.13734392735527801</v>
      </c>
      <c r="F126">
        <f>VLOOKUP(B126,'Model allocations'!$A$1:$L$319,11,FALSE)</f>
        <v>206050.78503353387</v>
      </c>
      <c r="G126" s="31">
        <f t="shared" si="36"/>
        <v>0.85</v>
      </c>
      <c r="H126">
        <f t="shared" si="37"/>
        <v>142235.73431197979</v>
      </c>
      <c r="I126">
        <f t="shared" si="19"/>
        <v>0</v>
      </c>
      <c r="J126">
        <f t="shared" si="20"/>
        <v>206050.78503353387</v>
      </c>
      <c r="K126">
        <f t="shared" si="21"/>
        <v>206008.98633381954</v>
      </c>
      <c r="L126">
        <f t="shared" si="22"/>
        <v>206008.98633381954</v>
      </c>
      <c r="M126">
        <f t="shared" si="23"/>
        <v>0</v>
      </c>
      <c r="N126" s="30">
        <f t="shared" si="24"/>
        <v>206008.98633381954</v>
      </c>
      <c r="O126" s="30">
        <f t="shared" si="25"/>
        <v>206003.73899975442</v>
      </c>
      <c r="P126" s="30">
        <f t="shared" si="26"/>
        <v>206003.73899975442</v>
      </c>
      <c r="Q126">
        <f t="shared" si="27"/>
        <v>0</v>
      </c>
      <c r="R126" s="30">
        <f t="shared" si="28"/>
        <v>206003.73899975442</v>
      </c>
      <c r="S126" s="30">
        <f t="shared" si="29"/>
        <v>206003.73899975454</v>
      </c>
      <c r="T126" s="30">
        <f t="shared" si="30"/>
        <v>206003.73899975454</v>
      </c>
      <c r="U126">
        <f t="shared" si="31"/>
        <v>0</v>
      </c>
      <c r="V126" s="30">
        <f t="shared" si="32"/>
        <v>206003.73899975454</v>
      </c>
      <c r="W126" s="30">
        <f t="shared" si="33"/>
        <v>206003.73899975454</v>
      </c>
      <c r="X126" s="30">
        <f t="shared" si="34"/>
        <v>206003.73899975454</v>
      </c>
      <c r="Y126">
        <f t="shared" si="35"/>
        <v>0</v>
      </c>
    </row>
    <row r="127" spans="1:25" x14ac:dyDescent="0.25">
      <c r="A127" s="4" t="s">
        <v>904</v>
      </c>
      <c r="B127" s="7" t="s">
        <v>161</v>
      </c>
      <c r="C127" s="2" t="s">
        <v>905</v>
      </c>
      <c r="D127">
        <f>VLOOKUP(B127,'Model allocations'!$A$1:$L$319,6,FALSE)</f>
        <v>0</v>
      </c>
      <c r="E127" s="32">
        <f>VLOOKUP(B127,'Initial adjusted formula count'!$A$1:$P$319,12,FALSE)</f>
        <v>0.33333333333333298</v>
      </c>
      <c r="F127">
        <f>VLOOKUP(B127,'Model allocations'!$A$1:$L$319,11,FALSE)</f>
        <v>0</v>
      </c>
      <c r="G127" s="31">
        <f t="shared" si="36"/>
        <v>0.95</v>
      </c>
      <c r="H127">
        <f t="shared" si="37"/>
        <v>0</v>
      </c>
      <c r="I127">
        <f t="shared" si="19"/>
        <v>0</v>
      </c>
      <c r="J127">
        <f t="shared" si="20"/>
        <v>0</v>
      </c>
      <c r="K127">
        <f t="shared" si="21"/>
        <v>0</v>
      </c>
      <c r="L127">
        <f t="shared" si="22"/>
        <v>0</v>
      </c>
      <c r="M127">
        <f t="shared" si="23"/>
        <v>0</v>
      </c>
      <c r="N127" s="30">
        <f t="shared" si="24"/>
        <v>0</v>
      </c>
      <c r="O127" s="30">
        <f t="shared" si="25"/>
        <v>0</v>
      </c>
      <c r="P127" s="30">
        <f t="shared" si="26"/>
        <v>0</v>
      </c>
      <c r="Q127">
        <f t="shared" si="27"/>
        <v>0</v>
      </c>
      <c r="R127" s="30">
        <f t="shared" si="28"/>
        <v>0</v>
      </c>
      <c r="S127" s="30">
        <f t="shared" si="29"/>
        <v>0</v>
      </c>
      <c r="T127" s="30">
        <f t="shared" si="30"/>
        <v>0</v>
      </c>
      <c r="U127">
        <f t="shared" si="31"/>
        <v>0</v>
      </c>
      <c r="V127" s="30">
        <f t="shared" si="32"/>
        <v>0</v>
      </c>
      <c r="W127" s="30">
        <f t="shared" si="33"/>
        <v>0</v>
      </c>
      <c r="X127" s="30">
        <f t="shared" si="34"/>
        <v>0</v>
      </c>
      <c r="Y127">
        <f t="shared" si="35"/>
        <v>0</v>
      </c>
    </row>
    <row r="128" spans="1:25" x14ac:dyDescent="0.25">
      <c r="A128" s="4" t="s">
        <v>906</v>
      </c>
      <c r="B128" s="7" t="s">
        <v>163</v>
      </c>
      <c r="C128" s="2" t="s">
        <v>907</v>
      </c>
      <c r="D128">
        <f>VLOOKUP(B128,'Model allocations'!$A$1:$L$319,6,FALSE)</f>
        <v>36824.785582389566</v>
      </c>
      <c r="E128" s="32">
        <f>VLOOKUP(B128,'Initial adjusted formula count'!$A$1:$P$319,12,FALSE)</f>
        <v>9.4316807738814998E-2</v>
      </c>
      <c r="F128">
        <f>VLOOKUP(B128,'Model allocations'!$A$1:$L$319,11,FALSE)</f>
        <v>44275.375296461811</v>
      </c>
      <c r="G128" s="31">
        <f t="shared" si="36"/>
        <v>0.85</v>
      </c>
      <c r="H128">
        <f t="shared" si="37"/>
        <v>31301.06774503113</v>
      </c>
      <c r="I128">
        <f t="shared" si="19"/>
        <v>0</v>
      </c>
      <c r="J128">
        <f t="shared" si="20"/>
        <v>44275.375296461811</v>
      </c>
      <c r="K128">
        <f t="shared" si="21"/>
        <v>44266.39375768022</v>
      </c>
      <c r="L128">
        <f t="shared" si="22"/>
        <v>44266.39375768022</v>
      </c>
      <c r="M128">
        <f t="shared" si="23"/>
        <v>0</v>
      </c>
      <c r="N128" s="30">
        <f t="shared" si="24"/>
        <v>44266.39375768022</v>
      </c>
      <c r="O128" s="30">
        <f t="shared" si="25"/>
        <v>44265.266231352187</v>
      </c>
      <c r="P128" s="30">
        <f t="shared" si="26"/>
        <v>44265.266231352187</v>
      </c>
      <c r="Q128">
        <f t="shared" si="27"/>
        <v>0</v>
      </c>
      <c r="R128" s="30">
        <f t="shared" si="28"/>
        <v>44265.266231352187</v>
      </c>
      <c r="S128" s="30">
        <f t="shared" si="29"/>
        <v>44265.266231352223</v>
      </c>
      <c r="T128" s="30">
        <f t="shared" si="30"/>
        <v>44265.266231352223</v>
      </c>
      <c r="U128">
        <f t="shared" si="31"/>
        <v>0</v>
      </c>
      <c r="V128" s="30">
        <f t="shared" si="32"/>
        <v>44265.266231352223</v>
      </c>
      <c r="W128" s="30">
        <f t="shared" si="33"/>
        <v>44265.266231352223</v>
      </c>
      <c r="X128" s="30">
        <f t="shared" si="34"/>
        <v>44265.266231352223</v>
      </c>
      <c r="Y128">
        <f t="shared" si="35"/>
        <v>0</v>
      </c>
    </row>
    <row r="129" spans="1:25" x14ac:dyDescent="0.25">
      <c r="A129" s="4" t="s">
        <v>908</v>
      </c>
      <c r="B129" s="7" t="s">
        <v>451</v>
      </c>
      <c r="C129" s="2" t="s">
        <v>909</v>
      </c>
      <c r="D129">
        <f>VLOOKUP(B129,'Model allocations'!$A$1:$L$319,6,FALSE)</f>
        <v>43879.168955757195</v>
      </c>
      <c r="E129" s="32">
        <f>VLOOKUP(B129,'Initial adjusted formula count'!$A$1:$P$319,12,FALSE)</f>
        <v>0.26710097719869702</v>
      </c>
      <c r="F129">
        <f>VLOOKUP(B129,'Model allocations'!$A$1:$L$319,11,FALSE)</f>
        <v>67104.879874525359</v>
      </c>
      <c r="G129" s="31">
        <f t="shared" si="36"/>
        <v>0.9</v>
      </c>
      <c r="H129">
        <f t="shared" si="37"/>
        <v>39491.252060181476</v>
      </c>
      <c r="I129">
        <f t="shared" si="19"/>
        <v>0</v>
      </c>
      <c r="J129">
        <f t="shared" si="20"/>
        <v>67104.879874525359</v>
      </c>
      <c r="K129">
        <f t="shared" si="21"/>
        <v>67091.26722693081</v>
      </c>
      <c r="L129">
        <f t="shared" si="22"/>
        <v>67091.26722693081</v>
      </c>
      <c r="M129">
        <f t="shared" si="23"/>
        <v>0</v>
      </c>
      <c r="N129" s="30">
        <f t="shared" si="24"/>
        <v>67091.26722693081</v>
      </c>
      <c r="O129" s="30">
        <f t="shared" si="25"/>
        <v>67089.558319478499</v>
      </c>
      <c r="P129" s="30">
        <f t="shared" si="26"/>
        <v>67089.558319478499</v>
      </c>
      <c r="Q129">
        <f t="shared" si="27"/>
        <v>0</v>
      </c>
      <c r="R129" s="30">
        <f t="shared" si="28"/>
        <v>67089.558319478499</v>
      </c>
      <c r="S129" s="30">
        <f t="shared" si="29"/>
        <v>67089.558319478543</v>
      </c>
      <c r="T129" s="30">
        <f t="shared" si="30"/>
        <v>67089.558319478543</v>
      </c>
      <c r="U129">
        <f t="shared" si="31"/>
        <v>0</v>
      </c>
      <c r="V129" s="30">
        <f t="shared" si="32"/>
        <v>67089.558319478543</v>
      </c>
      <c r="W129" s="30">
        <f t="shared" si="33"/>
        <v>67089.558319478543</v>
      </c>
      <c r="X129" s="30">
        <f t="shared" si="34"/>
        <v>67089.558319478543</v>
      </c>
      <c r="Y129">
        <f t="shared" si="35"/>
        <v>0</v>
      </c>
    </row>
    <row r="130" spans="1:25" x14ac:dyDescent="0.25">
      <c r="A130" s="4" t="s">
        <v>910</v>
      </c>
      <c r="B130" s="7" t="s">
        <v>453</v>
      </c>
      <c r="C130" s="2" t="s">
        <v>911</v>
      </c>
      <c r="D130">
        <f>VLOOKUP(B130,'Model allocations'!$A$1:$L$319,6,FALSE)</f>
        <v>799043.69304140913</v>
      </c>
      <c r="E130" s="32">
        <f>VLOOKUP(B130,'Initial adjusted formula count'!$A$1:$P$319,12,FALSE)</f>
        <v>0.18630440809536999</v>
      </c>
      <c r="F130">
        <f>VLOOKUP(B130,'Model allocations'!$A$1:$L$319,11,FALSE)</f>
        <v>948230.95426589053</v>
      </c>
      <c r="G130" s="31">
        <f t="shared" si="36"/>
        <v>0.9</v>
      </c>
      <c r="H130">
        <f t="shared" si="37"/>
        <v>719139.32373726822</v>
      </c>
      <c r="I130">
        <f t="shared" si="19"/>
        <v>0</v>
      </c>
      <c r="J130">
        <f t="shared" si="20"/>
        <v>948230.95426589053</v>
      </c>
      <c r="K130">
        <f t="shared" si="21"/>
        <v>948038.5996436514</v>
      </c>
      <c r="L130">
        <f t="shared" si="22"/>
        <v>948038.5996436514</v>
      </c>
      <c r="M130">
        <f t="shared" si="23"/>
        <v>0</v>
      </c>
      <c r="N130" s="30">
        <f t="shared" si="24"/>
        <v>948038.5996436514</v>
      </c>
      <c r="O130" s="30">
        <f t="shared" si="25"/>
        <v>948014.45178812591</v>
      </c>
      <c r="P130" s="30">
        <f t="shared" si="26"/>
        <v>948014.45178812591</v>
      </c>
      <c r="Q130">
        <f t="shared" si="27"/>
        <v>0</v>
      </c>
      <c r="R130" s="30">
        <f t="shared" si="28"/>
        <v>948014.45178812591</v>
      </c>
      <c r="S130" s="30">
        <f t="shared" si="29"/>
        <v>948014.45178812661</v>
      </c>
      <c r="T130" s="30">
        <f t="shared" si="30"/>
        <v>948014.45178812661</v>
      </c>
      <c r="U130">
        <f t="shared" si="31"/>
        <v>0</v>
      </c>
      <c r="V130" s="30">
        <f t="shared" si="32"/>
        <v>948014.45178812661</v>
      </c>
      <c r="W130" s="30">
        <f t="shared" si="33"/>
        <v>948014.45178812661</v>
      </c>
      <c r="X130" s="30">
        <f t="shared" si="34"/>
        <v>948014.45178812661</v>
      </c>
      <c r="Y130">
        <f t="shared" si="35"/>
        <v>0</v>
      </c>
    </row>
    <row r="131" spans="1:25" x14ac:dyDescent="0.25">
      <c r="A131" s="4" t="s">
        <v>912</v>
      </c>
      <c r="B131" s="7" t="s">
        <v>455</v>
      </c>
      <c r="C131" s="2" t="s">
        <v>913</v>
      </c>
      <c r="D131">
        <f>VLOOKUP(B131,'Model allocations'!$A$1:$L$319,6,FALSE)</f>
        <v>40416.116497032373</v>
      </c>
      <c r="E131" s="32">
        <f>VLOOKUP(B131,'Initial adjusted formula count'!$A$1:$P$319,12,FALSE)</f>
        <v>0.23137254901960799</v>
      </c>
      <c r="F131">
        <f>VLOOKUP(B131,'Model allocations'!$A$1:$L$319,11,FALSE)</f>
        <v>42809.675893418527</v>
      </c>
      <c r="G131" s="31">
        <f t="shared" si="36"/>
        <v>0.9</v>
      </c>
      <c r="H131">
        <f t="shared" si="37"/>
        <v>36374.504847329139</v>
      </c>
      <c r="I131">
        <f t="shared" si="19"/>
        <v>0</v>
      </c>
      <c r="J131">
        <f t="shared" si="20"/>
        <v>42809.675893418527</v>
      </c>
      <c r="K131">
        <f t="shared" si="21"/>
        <v>42800.991680993684</v>
      </c>
      <c r="L131">
        <f t="shared" si="22"/>
        <v>42800.991680993684</v>
      </c>
      <c r="M131">
        <f t="shared" si="23"/>
        <v>0</v>
      </c>
      <c r="N131" s="30">
        <f t="shared" si="24"/>
        <v>42800.991680993684</v>
      </c>
      <c r="O131" s="30">
        <f t="shared" si="25"/>
        <v>42799.901480485132</v>
      </c>
      <c r="P131" s="30">
        <f t="shared" si="26"/>
        <v>42799.901480485132</v>
      </c>
      <c r="Q131">
        <f t="shared" si="27"/>
        <v>0</v>
      </c>
      <c r="R131" s="30">
        <f t="shared" si="28"/>
        <v>42799.901480485132</v>
      </c>
      <c r="S131" s="30">
        <f t="shared" si="29"/>
        <v>42799.901480485161</v>
      </c>
      <c r="T131" s="30">
        <f t="shared" si="30"/>
        <v>42799.901480485161</v>
      </c>
      <c r="U131">
        <f t="shared" si="31"/>
        <v>0</v>
      </c>
      <c r="V131" s="30">
        <f t="shared" si="32"/>
        <v>42799.901480485161</v>
      </c>
      <c r="W131" s="30">
        <f t="shared" si="33"/>
        <v>42799.901480485161</v>
      </c>
      <c r="X131" s="30">
        <f t="shared" si="34"/>
        <v>42799.901480485161</v>
      </c>
      <c r="Y131">
        <f t="shared" si="35"/>
        <v>0</v>
      </c>
    </row>
    <row r="132" spans="1:25" x14ac:dyDescent="0.25">
      <c r="A132" s="4" t="s">
        <v>914</v>
      </c>
      <c r="B132" s="7" t="s">
        <v>457</v>
      </c>
      <c r="C132" s="2" t="s">
        <v>915</v>
      </c>
      <c r="D132">
        <f>VLOOKUP(B132,'Model allocations'!$A$1:$L$319,6,FALSE)</f>
        <v>35731.062373544388</v>
      </c>
      <c r="E132" s="32">
        <f>VLOOKUP(B132,'Initial adjusted formula count'!$A$1:$P$319,12,FALSE)</f>
        <v>0.16433566433566399</v>
      </c>
      <c r="F132">
        <f>VLOOKUP(B132,'Model allocations'!$A$1:$L$319,11,FALSE)</f>
        <v>32157.95613618995</v>
      </c>
      <c r="G132" s="31">
        <f t="shared" si="36"/>
        <v>0.9</v>
      </c>
      <c r="H132">
        <f t="shared" si="37"/>
        <v>32157.95613618995</v>
      </c>
      <c r="I132">
        <f t="shared" ref="I132:I195" si="38">IF(F132&lt;H132,H132,0)</f>
        <v>0</v>
      </c>
      <c r="J132">
        <f t="shared" ref="J132:J195" si="39">IF(I132=0,F132,0)</f>
        <v>32157.95613618995</v>
      </c>
      <c r="K132">
        <f t="shared" ref="K132:K195" si="40">(J132/$J$3)*($F$3-$I$3)</f>
        <v>32151.43269221596</v>
      </c>
      <c r="L132">
        <f t="shared" ref="L132:L195" si="41">I132+K132</f>
        <v>32151.43269221596</v>
      </c>
      <c r="M132">
        <f t="shared" ref="M132:M195" si="42">IF(L132&lt;H132,H132,0)</f>
        <v>32157.95613618995</v>
      </c>
      <c r="N132" s="30">
        <f t="shared" ref="N132:N195" si="43">IF($I132+$M132=0,L132,0)</f>
        <v>0</v>
      </c>
      <c r="O132" s="30">
        <f t="shared" ref="O132:O195" si="44">((N132/$N$3)*($F$3-$I$3-$M$3))</f>
        <v>0</v>
      </c>
      <c r="P132" s="30">
        <f t="shared" ref="P132:P195" si="45">$I132+$M132+O132</f>
        <v>32157.95613618995</v>
      </c>
      <c r="Q132">
        <f t="shared" ref="Q132:Q195" si="46">IF(P132&lt;H132,H132,0)</f>
        <v>0</v>
      </c>
      <c r="R132" s="30">
        <f t="shared" ref="R132:R195" si="47">IF($I132+$M132+$Q132=0,P132,0)</f>
        <v>0</v>
      </c>
      <c r="S132" s="30">
        <f t="shared" ref="S132:S195" si="48">((R132/$R$3)*($F$3-$I$3-$M$3-$Q$3))</f>
        <v>0</v>
      </c>
      <c r="T132" s="30">
        <f t="shared" ref="T132:T195" si="49">$I132+$M132+$Q132+S132</f>
        <v>32157.95613618995</v>
      </c>
      <c r="U132">
        <f t="shared" ref="U132:U195" si="50">IF(T132&lt;H132,H132,0)</f>
        <v>0</v>
      </c>
      <c r="V132" s="30">
        <f t="shared" ref="V132:V195" si="51">IF($I132+$M132+$Q132+U132=0,T132,0)</f>
        <v>0</v>
      </c>
      <c r="W132" s="30">
        <f t="shared" ref="W132:W195" si="52">((V132/$V$3)*($F$3-$I$3-$M$3-$Q$3-$U$3))</f>
        <v>0</v>
      </c>
      <c r="X132" s="30">
        <f t="shared" ref="X132:X195" si="53">$I132+$M132+$Q132+$U132+W132</f>
        <v>32157.95613618995</v>
      </c>
      <c r="Y132">
        <f t="shared" ref="Y132:Y195" si="54">IF(X132&lt;H132,H132,0)</f>
        <v>0</v>
      </c>
    </row>
    <row r="133" spans="1:25" x14ac:dyDescent="0.25">
      <c r="A133" s="4" t="s">
        <v>30</v>
      </c>
      <c r="B133" s="7" t="s">
        <v>80</v>
      </c>
      <c r="C133" s="2" t="s">
        <v>916</v>
      </c>
      <c r="D133">
        <f>VLOOKUP(B133,'Model allocations'!$A$1:$L$319,6,FALSE)</f>
        <v>0</v>
      </c>
      <c r="E133" s="32">
        <f>VLOOKUP(B133,'Initial adjusted formula count'!$A$1:$P$319,12,FALSE)</f>
        <v>0.243967739812114</v>
      </c>
      <c r="F133">
        <f>VLOOKUP(B133,'Model allocations'!$A$1:$L$319,11,FALSE)</f>
        <v>0</v>
      </c>
      <c r="G133" s="31">
        <f t="shared" ref="G133:G196" si="55">IF(E133&lt;0.15,0.85,IF(AND(E133&gt;=0.15,E133&lt;0.3),0.9,0.95))</f>
        <v>0.9</v>
      </c>
      <c r="H133">
        <f t="shared" ref="H133:H196" si="56">IF(F133 = 0, 0, D133*G133)</f>
        <v>0</v>
      </c>
      <c r="I133">
        <f t="shared" si="38"/>
        <v>0</v>
      </c>
      <c r="J133">
        <f t="shared" si="39"/>
        <v>0</v>
      </c>
      <c r="K133">
        <f t="shared" si="40"/>
        <v>0</v>
      </c>
      <c r="L133">
        <f t="shared" si="41"/>
        <v>0</v>
      </c>
      <c r="M133">
        <f t="shared" si="42"/>
        <v>0</v>
      </c>
      <c r="N133" s="30">
        <f t="shared" si="43"/>
        <v>0</v>
      </c>
      <c r="O133" s="30">
        <f t="shared" si="44"/>
        <v>0</v>
      </c>
      <c r="P133" s="30">
        <f t="shared" si="45"/>
        <v>0</v>
      </c>
      <c r="Q133">
        <f t="shared" si="46"/>
        <v>0</v>
      </c>
      <c r="R133" s="30">
        <f t="shared" si="47"/>
        <v>0</v>
      </c>
      <c r="S133" s="30">
        <f t="shared" si="48"/>
        <v>0</v>
      </c>
      <c r="T133" s="30">
        <f t="shared" si="49"/>
        <v>0</v>
      </c>
      <c r="U133">
        <f t="shared" si="50"/>
        <v>0</v>
      </c>
      <c r="V133" s="30">
        <f t="shared" si="51"/>
        <v>0</v>
      </c>
      <c r="W133" s="30">
        <f t="shared" si="52"/>
        <v>0</v>
      </c>
      <c r="X133" s="30">
        <f t="shared" si="53"/>
        <v>0</v>
      </c>
      <c r="Y133">
        <f t="shared" si="54"/>
        <v>0</v>
      </c>
    </row>
    <row r="134" spans="1:25" x14ac:dyDescent="0.25">
      <c r="A134" s="4" t="s">
        <v>917</v>
      </c>
      <c r="B134" s="7" t="s">
        <v>459</v>
      </c>
      <c r="C134" s="2" t="s">
        <v>918</v>
      </c>
      <c r="D134">
        <f>VLOOKUP(B134,'Model allocations'!$A$1:$L$319,6,FALSE)</f>
        <v>63515.414640705843</v>
      </c>
      <c r="E134" s="32">
        <f>VLOOKUP(B134,'Initial adjusted formula count'!$A$1:$P$319,12,FALSE)</f>
        <v>0.17560975609756099</v>
      </c>
      <c r="F134">
        <f>VLOOKUP(B134,'Model allocations'!$A$1:$L$319,11,FALSE)</f>
        <v>57163.873176635258</v>
      </c>
      <c r="G134" s="31">
        <f t="shared" si="55"/>
        <v>0.9</v>
      </c>
      <c r="H134">
        <f t="shared" si="56"/>
        <v>57163.873176635258</v>
      </c>
      <c r="I134">
        <f t="shared" si="38"/>
        <v>0</v>
      </c>
      <c r="J134">
        <f t="shared" si="39"/>
        <v>57163.873176635258</v>
      </c>
      <c r="K134">
        <f t="shared" si="40"/>
        <v>57152.277124870503</v>
      </c>
      <c r="L134">
        <f t="shared" si="41"/>
        <v>57152.277124870503</v>
      </c>
      <c r="M134">
        <f t="shared" si="42"/>
        <v>57163.873176635258</v>
      </c>
      <c r="N134" s="30">
        <f t="shared" si="43"/>
        <v>0</v>
      </c>
      <c r="O134" s="30">
        <f t="shared" si="44"/>
        <v>0</v>
      </c>
      <c r="P134" s="30">
        <f t="shared" si="45"/>
        <v>57163.873176635258</v>
      </c>
      <c r="Q134">
        <f t="shared" si="46"/>
        <v>0</v>
      </c>
      <c r="R134" s="30">
        <f t="shared" si="47"/>
        <v>0</v>
      </c>
      <c r="S134" s="30">
        <f t="shared" si="48"/>
        <v>0</v>
      </c>
      <c r="T134" s="30">
        <f t="shared" si="49"/>
        <v>57163.873176635258</v>
      </c>
      <c r="U134">
        <f t="shared" si="50"/>
        <v>0</v>
      </c>
      <c r="V134" s="30">
        <f t="shared" si="51"/>
        <v>0</v>
      </c>
      <c r="W134" s="30">
        <f t="shared" si="52"/>
        <v>0</v>
      </c>
      <c r="X134" s="30">
        <f t="shared" si="53"/>
        <v>57163.873176635258</v>
      </c>
      <c r="Y134">
        <f t="shared" si="54"/>
        <v>0</v>
      </c>
    </row>
    <row r="135" spans="1:25" x14ac:dyDescent="0.25">
      <c r="A135" s="4" t="s">
        <v>919</v>
      </c>
      <c r="B135" s="7" t="s">
        <v>165</v>
      </c>
      <c r="C135" s="2" t="s">
        <v>920</v>
      </c>
      <c r="D135">
        <f>VLOOKUP(B135,'Model allocations'!$A$1:$L$319,6,FALSE)</f>
        <v>227447.20506770042</v>
      </c>
      <c r="E135" s="32">
        <f>VLOOKUP(B135,'Initial adjusted formula count'!$A$1:$P$319,12,FALSE)</f>
        <v>7.0772058823529396E-2</v>
      </c>
      <c r="F135">
        <f>VLOOKUP(B135,'Model allocations'!$A$1:$L$319,11,FALSE)</f>
        <v>193330.12430754534</v>
      </c>
      <c r="G135" s="31">
        <f t="shared" si="55"/>
        <v>0.85</v>
      </c>
      <c r="H135">
        <f t="shared" si="56"/>
        <v>193330.12430754534</v>
      </c>
      <c r="I135">
        <f t="shared" si="38"/>
        <v>0</v>
      </c>
      <c r="J135">
        <f t="shared" si="39"/>
        <v>193330.12430754534</v>
      </c>
      <c r="K135">
        <f t="shared" si="40"/>
        <v>193290.90607399019</v>
      </c>
      <c r="L135">
        <f t="shared" si="41"/>
        <v>193290.90607399019</v>
      </c>
      <c r="M135">
        <f t="shared" si="42"/>
        <v>193330.12430754534</v>
      </c>
      <c r="N135" s="30">
        <f t="shared" si="43"/>
        <v>0</v>
      </c>
      <c r="O135" s="30">
        <f t="shared" si="44"/>
        <v>0</v>
      </c>
      <c r="P135" s="30">
        <f t="shared" si="45"/>
        <v>193330.12430754534</v>
      </c>
      <c r="Q135">
        <f t="shared" si="46"/>
        <v>0</v>
      </c>
      <c r="R135" s="30">
        <f t="shared" si="47"/>
        <v>0</v>
      </c>
      <c r="S135" s="30">
        <f t="shared" si="48"/>
        <v>0</v>
      </c>
      <c r="T135" s="30">
        <f t="shared" si="49"/>
        <v>193330.12430754534</v>
      </c>
      <c r="U135">
        <f t="shared" si="50"/>
        <v>0</v>
      </c>
      <c r="V135" s="30">
        <f t="shared" si="51"/>
        <v>0</v>
      </c>
      <c r="W135" s="30">
        <f t="shared" si="52"/>
        <v>0</v>
      </c>
      <c r="X135" s="30">
        <f t="shared" si="53"/>
        <v>193330.12430754534</v>
      </c>
      <c r="Y135">
        <f t="shared" si="54"/>
        <v>0</v>
      </c>
    </row>
    <row r="136" spans="1:25" x14ac:dyDescent="0.25">
      <c r="A136" s="4" t="s">
        <v>921</v>
      </c>
      <c r="B136" s="7" t="s">
        <v>461</v>
      </c>
      <c r="C136" s="2" t="s">
        <v>922</v>
      </c>
      <c r="D136">
        <f>VLOOKUP(B136,'Model allocations'!$A$1:$L$319,6,FALSE)</f>
        <v>105874.75148859073</v>
      </c>
      <c r="E136" s="32">
        <f>VLOOKUP(B136,'Initial adjusted formula count'!$A$1:$P$319,12,FALSE)</f>
        <v>0.248051948051948</v>
      </c>
      <c r="F136">
        <f>VLOOKUP(B136,'Model allocations'!$A$1:$L$319,11,FALSE)</f>
        <v>147493.90494713411</v>
      </c>
      <c r="G136" s="31">
        <f t="shared" si="55"/>
        <v>0.9</v>
      </c>
      <c r="H136">
        <f t="shared" si="56"/>
        <v>95287.276339731659</v>
      </c>
      <c r="I136">
        <f t="shared" si="38"/>
        <v>0</v>
      </c>
      <c r="J136">
        <f t="shared" si="39"/>
        <v>147493.90494713411</v>
      </c>
      <c r="K136">
        <f t="shared" si="40"/>
        <v>147463.98487941112</v>
      </c>
      <c r="L136">
        <f t="shared" si="41"/>
        <v>147463.98487941112</v>
      </c>
      <c r="M136">
        <f t="shared" si="42"/>
        <v>0</v>
      </c>
      <c r="N136" s="30">
        <f t="shared" si="43"/>
        <v>147463.98487941112</v>
      </c>
      <c r="O136" s="30">
        <f t="shared" si="44"/>
        <v>147460.22876757832</v>
      </c>
      <c r="P136" s="30">
        <f t="shared" si="45"/>
        <v>147460.22876757832</v>
      </c>
      <c r="Q136">
        <f t="shared" si="46"/>
        <v>0</v>
      </c>
      <c r="R136" s="30">
        <f t="shared" si="47"/>
        <v>147460.22876757832</v>
      </c>
      <c r="S136" s="30">
        <f t="shared" si="48"/>
        <v>147460.2287675784</v>
      </c>
      <c r="T136" s="30">
        <f t="shared" si="49"/>
        <v>147460.2287675784</v>
      </c>
      <c r="U136">
        <f t="shared" si="50"/>
        <v>0</v>
      </c>
      <c r="V136" s="30">
        <f t="shared" si="51"/>
        <v>147460.2287675784</v>
      </c>
      <c r="W136" s="30">
        <f t="shared" si="52"/>
        <v>147460.2287675784</v>
      </c>
      <c r="X136" s="30">
        <f t="shared" si="53"/>
        <v>147460.2287675784</v>
      </c>
      <c r="Y136">
        <f t="shared" si="54"/>
        <v>0</v>
      </c>
    </row>
    <row r="137" spans="1:25" x14ac:dyDescent="0.25">
      <c r="A137" s="4" t="s">
        <v>923</v>
      </c>
      <c r="B137" s="7" t="s">
        <v>463</v>
      </c>
      <c r="C137" s="2" t="s">
        <v>924</v>
      </c>
      <c r="D137">
        <f>VLOOKUP(B137,'Model allocations'!$A$1:$L$319,6,FALSE)</f>
        <v>23269.47370131909</v>
      </c>
      <c r="E137" s="32">
        <f>VLOOKUP(B137,'Initial adjusted formula count'!$A$1:$P$319,12,FALSE)</f>
        <v>0.188235294117647</v>
      </c>
      <c r="F137">
        <f>VLOOKUP(B137,'Model allocations'!$A$1:$L$319,11,FALSE)</f>
        <v>20942.526331187182</v>
      </c>
      <c r="G137" s="31">
        <f t="shared" si="55"/>
        <v>0.9</v>
      </c>
      <c r="H137">
        <f t="shared" si="56"/>
        <v>20942.526331187182</v>
      </c>
      <c r="I137">
        <f t="shared" si="38"/>
        <v>0</v>
      </c>
      <c r="J137">
        <f t="shared" si="39"/>
        <v>20942.526331187182</v>
      </c>
      <c r="K137">
        <f t="shared" si="40"/>
        <v>20938.278007798199</v>
      </c>
      <c r="L137">
        <f t="shared" si="41"/>
        <v>20938.278007798199</v>
      </c>
      <c r="M137">
        <f t="shared" si="42"/>
        <v>20942.526331187182</v>
      </c>
      <c r="N137" s="30">
        <f t="shared" si="43"/>
        <v>0</v>
      </c>
      <c r="O137" s="30">
        <f t="shared" si="44"/>
        <v>0</v>
      </c>
      <c r="P137" s="30">
        <f t="shared" si="45"/>
        <v>20942.526331187182</v>
      </c>
      <c r="Q137">
        <f t="shared" si="46"/>
        <v>0</v>
      </c>
      <c r="R137" s="30">
        <f t="shared" si="47"/>
        <v>0</v>
      </c>
      <c r="S137" s="30">
        <f t="shared" si="48"/>
        <v>0</v>
      </c>
      <c r="T137" s="30">
        <f t="shared" si="49"/>
        <v>20942.526331187182</v>
      </c>
      <c r="U137">
        <f t="shared" si="50"/>
        <v>0</v>
      </c>
      <c r="V137" s="30">
        <f t="shared" si="51"/>
        <v>0</v>
      </c>
      <c r="W137" s="30">
        <f t="shared" si="52"/>
        <v>0</v>
      </c>
      <c r="X137" s="30">
        <f t="shared" si="53"/>
        <v>20942.526331187182</v>
      </c>
      <c r="Y137">
        <f t="shared" si="54"/>
        <v>0</v>
      </c>
    </row>
    <row r="138" spans="1:25" x14ac:dyDescent="0.25">
      <c r="A138" s="4" t="s">
        <v>925</v>
      </c>
      <c r="B138" s="7" t="s">
        <v>288</v>
      </c>
      <c r="C138" s="2" t="s">
        <v>926</v>
      </c>
      <c r="D138">
        <f>VLOOKUP(B138,'Model allocations'!$A$1:$L$319,6,FALSE)</f>
        <v>62928.386844093322</v>
      </c>
      <c r="E138" s="32">
        <f>VLOOKUP(B138,'Initial adjusted formula count'!$A$1:$P$319,12,FALSE)</f>
        <v>0.20032840722495901</v>
      </c>
      <c r="F138">
        <f>VLOOKUP(B138,'Model allocations'!$A$1:$L$319,11,FALSE)</f>
        <v>80795.946991399178</v>
      </c>
      <c r="G138" s="31">
        <f t="shared" si="55"/>
        <v>0.9</v>
      </c>
      <c r="H138">
        <f t="shared" si="56"/>
        <v>56635.548159683989</v>
      </c>
      <c r="I138">
        <f t="shared" si="38"/>
        <v>0</v>
      </c>
      <c r="J138">
        <f t="shared" si="39"/>
        <v>80795.946991399178</v>
      </c>
      <c r="K138">
        <f t="shared" si="40"/>
        <v>80779.557024596186</v>
      </c>
      <c r="L138">
        <f t="shared" si="41"/>
        <v>80779.557024596186</v>
      </c>
      <c r="M138">
        <f t="shared" si="42"/>
        <v>0</v>
      </c>
      <c r="N138" s="30">
        <f t="shared" si="43"/>
        <v>80779.557024596186</v>
      </c>
      <c r="O138" s="30">
        <f t="shared" si="44"/>
        <v>80777.499457453698</v>
      </c>
      <c r="P138" s="30">
        <f t="shared" si="45"/>
        <v>80777.499457453698</v>
      </c>
      <c r="Q138">
        <f t="shared" si="46"/>
        <v>0</v>
      </c>
      <c r="R138" s="30">
        <f t="shared" si="47"/>
        <v>80777.499457453698</v>
      </c>
      <c r="S138" s="30">
        <f t="shared" si="48"/>
        <v>80777.499457453756</v>
      </c>
      <c r="T138" s="30">
        <f t="shared" si="49"/>
        <v>80777.499457453756</v>
      </c>
      <c r="U138">
        <f t="shared" si="50"/>
        <v>0</v>
      </c>
      <c r="V138" s="30">
        <f t="shared" si="51"/>
        <v>80777.499457453756</v>
      </c>
      <c r="W138" s="30">
        <f t="shared" si="52"/>
        <v>80777.499457453756</v>
      </c>
      <c r="X138" s="30">
        <f t="shared" si="53"/>
        <v>80777.499457453756</v>
      </c>
      <c r="Y138">
        <f t="shared" si="54"/>
        <v>0</v>
      </c>
    </row>
    <row r="139" spans="1:25" x14ac:dyDescent="0.25">
      <c r="A139" s="4" t="s">
        <v>927</v>
      </c>
      <c r="B139" s="7" t="s">
        <v>465</v>
      </c>
      <c r="C139" s="2" t="s">
        <v>928</v>
      </c>
      <c r="D139">
        <f>VLOOKUP(B139,'Model allocations'!$A$1:$L$319,6,FALSE)</f>
        <v>32979.382443869901</v>
      </c>
      <c r="E139" s="32">
        <f>VLOOKUP(B139,'Initial adjusted formula count'!$A$1:$P$319,12,FALSE)</f>
        <v>0.16019417475728201</v>
      </c>
      <c r="F139">
        <f>VLOOKUP(B139,'Model allocations'!$A$1:$L$319,11,FALSE)</f>
        <v>29681.44419948291</v>
      </c>
      <c r="G139" s="31">
        <f t="shared" si="55"/>
        <v>0.9</v>
      </c>
      <c r="H139">
        <f t="shared" si="56"/>
        <v>29681.44419948291</v>
      </c>
      <c r="I139">
        <f t="shared" si="38"/>
        <v>0</v>
      </c>
      <c r="J139">
        <f t="shared" si="39"/>
        <v>29681.44419948291</v>
      </c>
      <c r="K139">
        <f t="shared" si="40"/>
        <v>29675.423131555504</v>
      </c>
      <c r="L139">
        <f t="shared" si="41"/>
        <v>29675.423131555504</v>
      </c>
      <c r="M139">
        <f t="shared" si="42"/>
        <v>29681.44419948291</v>
      </c>
      <c r="N139" s="30">
        <f t="shared" si="43"/>
        <v>0</v>
      </c>
      <c r="O139" s="30">
        <f t="shared" si="44"/>
        <v>0</v>
      </c>
      <c r="P139" s="30">
        <f t="shared" si="45"/>
        <v>29681.44419948291</v>
      </c>
      <c r="Q139">
        <f t="shared" si="46"/>
        <v>0</v>
      </c>
      <c r="R139" s="30">
        <f t="shared" si="47"/>
        <v>0</v>
      </c>
      <c r="S139" s="30">
        <f t="shared" si="48"/>
        <v>0</v>
      </c>
      <c r="T139" s="30">
        <f t="shared" si="49"/>
        <v>29681.44419948291</v>
      </c>
      <c r="U139">
        <f t="shared" si="50"/>
        <v>0</v>
      </c>
      <c r="V139" s="30">
        <f t="shared" si="51"/>
        <v>0</v>
      </c>
      <c r="W139" s="30">
        <f t="shared" si="52"/>
        <v>0</v>
      </c>
      <c r="X139" s="30">
        <f t="shared" si="53"/>
        <v>29681.44419948291</v>
      </c>
      <c r="Y139">
        <f t="shared" si="54"/>
        <v>0</v>
      </c>
    </row>
    <row r="140" spans="1:25" x14ac:dyDescent="0.25">
      <c r="A140" s="4" t="s">
        <v>929</v>
      </c>
      <c r="B140" s="7" t="s">
        <v>467</v>
      </c>
      <c r="C140" s="2" t="s">
        <v>930</v>
      </c>
      <c r="D140">
        <f>VLOOKUP(B140,'Model allocations'!$A$1:$L$319,6,FALSE)</f>
        <v>115018.94144375893</v>
      </c>
      <c r="E140" s="32">
        <f>VLOOKUP(B140,'Initial adjusted formula count'!$A$1:$P$319,12,FALSE)</f>
        <v>0.24062500000000001</v>
      </c>
      <c r="F140">
        <f>VLOOKUP(B140,'Model allocations'!$A$1:$L$319,11,FALSE)</f>
        <v>115847.08709620898</v>
      </c>
      <c r="G140" s="31">
        <f t="shared" si="55"/>
        <v>0.9</v>
      </c>
      <c r="H140">
        <f t="shared" si="56"/>
        <v>103517.04729938303</v>
      </c>
      <c r="I140">
        <f t="shared" si="38"/>
        <v>0</v>
      </c>
      <c r="J140">
        <f t="shared" si="39"/>
        <v>115847.08709620898</v>
      </c>
      <c r="K140">
        <f t="shared" si="40"/>
        <v>115823.58678483902</v>
      </c>
      <c r="L140">
        <f t="shared" si="41"/>
        <v>115823.58678483902</v>
      </c>
      <c r="M140">
        <f t="shared" si="42"/>
        <v>0</v>
      </c>
      <c r="N140" s="30">
        <f t="shared" si="43"/>
        <v>115823.58678483902</v>
      </c>
      <c r="O140" s="30">
        <f t="shared" si="44"/>
        <v>115820.63659774626</v>
      </c>
      <c r="P140" s="30">
        <f t="shared" si="45"/>
        <v>115820.63659774626</v>
      </c>
      <c r="Q140">
        <f t="shared" si="46"/>
        <v>0</v>
      </c>
      <c r="R140" s="30">
        <f t="shared" si="47"/>
        <v>115820.63659774626</v>
      </c>
      <c r="S140" s="30">
        <f t="shared" si="48"/>
        <v>115820.63659774634</v>
      </c>
      <c r="T140" s="30">
        <f t="shared" si="49"/>
        <v>115820.63659774634</v>
      </c>
      <c r="U140">
        <f t="shared" si="50"/>
        <v>0</v>
      </c>
      <c r="V140" s="30">
        <f t="shared" si="51"/>
        <v>115820.63659774634</v>
      </c>
      <c r="W140" s="30">
        <f t="shared" si="52"/>
        <v>115820.63659774634</v>
      </c>
      <c r="X140" s="30">
        <f t="shared" si="53"/>
        <v>115820.63659774634</v>
      </c>
      <c r="Y140">
        <f t="shared" si="54"/>
        <v>0</v>
      </c>
    </row>
    <row r="141" spans="1:25" x14ac:dyDescent="0.25">
      <c r="A141" s="4" t="s">
        <v>931</v>
      </c>
      <c r="B141" s="7" t="s">
        <v>167</v>
      </c>
      <c r="C141" s="2" t="s">
        <v>932</v>
      </c>
      <c r="D141">
        <f>VLOOKUP(B141,'Model allocations'!$A$1:$L$319,6,FALSE)</f>
        <v>829911.52801488305</v>
      </c>
      <c r="E141" s="32">
        <f>VLOOKUP(B141,'Initial adjusted formula count'!$A$1:$P$319,12,FALSE)</f>
        <v>0.119180484693878</v>
      </c>
      <c r="F141">
        <f>VLOOKUP(B141,'Model allocations'!$A$1:$L$319,11,FALSE)</f>
        <v>1076799.8325306165</v>
      </c>
      <c r="G141" s="31">
        <f t="shared" si="55"/>
        <v>0.85</v>
      </c>
      <c r="H141">
        <f t="shared" si="56"/>
        <v>705424.79881265061</v>
      </c>
      <c r="I141">
        <f t="shared" si="38"/>
        <v>0</v>
      </c>
      <c r="J141">
        <f t="shared" si="39"/>
        <v>1076799.8325306165</v>
      </c>
      <c r="K141">
        <f t="shared" si="40"/>
        <v>1076581.3969015309</v>
      </c>
      <c r="L141">
        <f t="shared" si="41"/>
        <v>1076581.3969015309</v>
      </c>
      <c r="M141">
        <f t="shared" si="42"/>
        <v>0</v>
      </c>
      <c r="N141" s="30">
        <f t="shared" si="43"/>
        <v>1076581.3969015309</v>
      </c>
      <c r="O141" s="30">
        <f t="shared" si="44"/>
        <v>1076553.9748830143</v>
      </c>
      <c r="P141" s="30">
        <f t="shared" si="45"/>
        <v>1076553.9748830143</v>
      </c>
      <c r="Q141">
        <f t="shared" si="46"/>
        <v>0</v>
      </c>
      <c r="R141" s="30">
        <f t="shared" si="47"/>
        <v>1076553.9748830143</v>
      </c>
      <c r="S141" s="30">
        <f t="shared" si="48"/>
        <v>1076553.974883015</v>
      </c>
      <c r="T141" s="30">
        <f t="shared" si="49"/>
        <v>1076553.974883015</v>
      </c>
      <c r="U141">
        <f t="shared" si="50"/>
        <v>0</v>
      </c>
      <c r="V141" s="30">
        <f t="shared" si="51"/>
        <v>1076553.974883015</v>
      </c>
      <c r="W141" s="30">
        <f t="shared" si="52"/>
        <v>1076553.974883015</v>
      </c>
      <c r="X141" s="30">
        <f t="shared" si="53"/>
        <v>1076553.974883015</v>
      </c>
      <c r="Y141">
        <f t="shared" si="54"/>
        <v>0</v>
      </c>
    </row>
    <row r="142" spans="1:25" x14ac:dyDescent="0.25">
      <c r="A142" s="4" t="s">
        <v>933</v>
      </c>
      <c r="B142" s="7" t="s">
        <v>469</v>
      </c>
      <c r="C142" s="2" t="s">
        <v>934</v>
      </c>
      <c r="D142">
        <f>VLOOKUP(B142,'Model allocations'!$A$1:$L$319,6,FALSE)</f>
        <v>36283.244617942684</v>
      </c>
      <c r="E142" s="32">
        <f>VLOOKUP(B142,'Initial adjusted formula count'!$A$1:$P$319,12,FALSE)</f>
        <v>0.12937062937062899</v>
      </c>
      <c r="F142">
        <f>VLOOKUP(B142,'Model allocations'!$A$1:$L$319,11,FALSE)</f>
        <v>42004.843229976592</v>
      </c>
      <c r="G142" s="31">
        <f t="shared" si="55"/>
        <v>0.85</v>
      </c>
      <c r="H142">
        <f t="shared" si="56"/>
        <v>30840.757925251281</v>
      </c>
      <c r="I142">
        <f t="shared" si="38"/>
        <v>0</v>
      </c>
      <c r="J142">
        <f t="shared" si="39"/>
        <v>42004.843229976592</v>
      </c>
      <c r="K142">
        <f t="shared" si="40"/>
        <v>41996.322282927387</v>
      </c>
      <c r="L142">
        <f t="shared" si="41"/>
        <v>41996.322282927387</v>
      </c>
      <c r="M142">
        <f t="shared" si="42"/>
        <v>0</v>
      </c>
      <c r="N142" s="30">
        <f t="shared" si="43"/>
        <v>41996.322282927387</v>
      </c>
      <c r="O142" s="30">
        <f t="shared" si="44"/>
        <v>41995.252578462329</v>
      </c>
      <c r="P142" s="30">
        <f t="shared" si="45"/>
        <v>41995.252578462329</v>
      </c>
      <c r="Q142">
        <f t="shared" si="46"/>
        <v>0</v>
      </c>
      <c r="R142" s="30">
        <f t="shared" si="47"/>
        <v>41995.252578462329</v>
      </c>
      <c r="S142" s="30">
        <f t="shared" si="48"/>
        <v>41995.252578462358</v>
      </c>
      <c r="T142" s="30">
        <f t="shared" si="49"/>
        <v>41995.252578462358</v>
      </c>
      <c r="U142">
        <f t="shared" si="50"/>
        <v>0</v>
      </c>
      <c r="V142" s="30">
        <f t="shared" si="51"/>
        <v>41995.252578462358</v>
      </c>
      <c r="W142" s="30">
        <f t="shared" si="52"/>
        <v>41995.252578462358</v>
      </c>
      <c r="X142" s="30">
        <f t="shared" si="53"/>
        <v>41995.252578462358</v>
      </c>
      <c r="Y142">
        <f t="shared" si="54"/>
        <v>0</v>
      </c>
    </row>
    <row r="143" spans="1:25" x14ac:dyDescent="0.25">
      <c r="A143" s="4" t="s">
        <v>935</v>
      </c>
      <c r="B143" s="7" t="s">
        <v>169</v>
      </c>
      <c r="C143" s="2" t="s">
        <v>936</v>
      </c>
      <c r="D143">
        <f>VLOOKUP(B143,'Model allocations'!$A$1:$L$319,6,FALSE)</f>
        <v>638206.02660067822</v>
      </c>
      <c r="E143" s="32">
        <f>VLOOKUP(B143,'Initial adjusted formula count'!$A$1:$P$319,12,FALSE)</f>
        <v>8.5802263648468699E-2</v>
      </c>
      <c r="F143">
        <f>VLOOKUP(B143,'Model allocations'!$A$1:$L$319,11,FALSE)</f>
        <v>681727.25296218775</v>
      </c>
      <c r="G143" s="31">
        <f t="shared" si="55"/>
        <v>0.85</v>
      </c>
      <c r="H143">
        <f t="shared" si="56"/>
        <v>542475.12261057645</v>
      </c>
      <c r="I143">
        <f t="shared" si="38"/>
        <v>0</v>
      </c>
      <c r="J143">
        <f t="shared" si="39"/>
        <v>681727.25296218775</v>
      </c>
      <c r="K143">
        <f t="shared" si="40"/>
        <v>681588.96029453783</v>
      </c>
      <c r="L143">
        <f t="shared" si="41"/>
        <v>681588.96029453783</v>
      </c>
      <c r="M143">
        <f t="shared" si="42"/>
        <v>0</v>
      </c>
      <c r="N143" s="30">
        <f t="shared" si="43"/>
        <v>681588.96029453783</v>
      </c>
      <c r="O143" s="30">
        <f t="shared" si="44"/>
        <v>681571.59928017913</v>
      </c>
      <c r="P143" s="30">
        <f t="shared" si="45"/>
        <v>681571.59928017913</v>
      </c>
      <c r="Q143">
        <f t="shared" si="46"/>
        <v>0</v>
      </c>
      <c r="R143" s="30">
        <f t="shared" si="47"/>
        <v>681571.59928017913</v>
      </c>
      <c r="S143" s="30">
        <f t="shared" si="48"/>
        <v>681571.59928017959</v>
      </c>
      <c r="T143" s="30">
        <f t="shared" si="49"/>
        <v>681571.59928017959</v>
      </c>
      <c r="U143">
        <f t="shared" si="50"/>
        <v>0</v>
      </c>
      <c r="V143" s="30">
        <f t="shared" si="51"/>
        <v>681571.59928017959</v>
      </c>
      <c r="W143" s="30">
        <f t="shared" si="52"/>
        <v>681571.59928017959</v>
      </c>
      <c r="X143" s="30">
        <f t="shared" si="53"/>
        <v>681571.59928017959</v>
      </c>
      <c r="Y143">
        <f t="shared" si="54"/>
        <v>0</v>
      </c>
    </row>
    <row r="144" spans="1:25" x14ac:dyDescent="0.25">
      <c r="A144" s="4" t="s">
        <v>937</v>
      </c>
      <c r="B144" s="7" t="s">
        <v>171</v>
      </c>
      <c r="C144" s="2" t="s">
        <v>938</v>
      </c>
      <c r="D144">
        <f>VLOOKUP(B144,'Model allocations'!$A$1:$L$319,6,FALSE)</f>
        <v>97383.324258155742</v>
      </c>
      <c r="E144" s="32">
        <f>VLOOKUP(B144,'Initial adjusted formula count'!$A$1:$P$319,12,FALSE)</f>
        <v>0.117157134925042</v>
      </c>
      <c r="F144">
        <f>VLOOKUP(B144,'Model allocations'!$A$1:$L$319,11,FALSE)</f>
        <v>119770.56650709541</v>
      </c>
      <c r="G144" s="31">
        <f t="shared" si="55"/>
        <v>0.85</v>
      </c>
      <c r="H144">
        <f t="shared" si="56"/>
        <v>82775.825619432377</v>
      </c>
      <c r="I144">
        <f t="shared" si="38"/>
        <v>0</v>
      </c>
      <c r="J144">
        <f t="shared" si="39"/>
        <v>119770.56650709541</v>
      </c>
      <c r="K144">
        <f t="shared" si="40"/>
        <v>119746.27029321188</v>
      </c>
      <c r="L144">
        <f t="shared" si="41"/>
        <v>119746.27029321188</v>
      </c>
      <c r="M144">
        <f t="shared" si="42"/>
        <v>0</v>
      </c>
      <c r="N144" s="30">
        <f t="shared" si="43"/>
        <v>119746.27029321188</v>
      </c>
      <c r="O144" s="30">
        <f t="shared" si="44"/>
        <v>119743.22018993989</v>
      </c>
      <c r="P144" s="30">
        <f t="shared" si="45"/>
        <v>119743.22018993989</v>
      </c>
      <c r="Q144">
        <f t="shared" si="46"/>
        <v>0</v>
      </c>
      <c r="R144" s="30">
        <f t="shared" si="47"/>
        <v>119743.22018993989</v>
      </c>
      <c r="S144" s="30">
        <f t="shared" si="48"/>
        <v>119743.22018993997</v>
      </c>
      <c r="T144" s="30">
        <f t="shared" si="49"/>
        <v>119743.22018993997</v>
      </c>
      <c r="U144">
        <f t="shared" si="50"/>
        <v>0</v>
      </c>
      <c r="V144" s="30">
        <f t="shared" si="51"/>
        <v>119743.22018993997</v>
      </c>
      <c r="W144" s="30">
        <f t="shared" si="52"/>
        <v>119743.22018993997</v>
      </c>
      <c r="X144" s="30">
        <f t="shared" si="53"/>
        <v>119743.22018993997</v>
      </c>
      <c r="Y144">
        <f t="shared" si="54"/>
        <v>0</v>
      </c>
    </row>
    <row r="145" spans="1:25" x14ac:dyDescent="0.25">
      <c r="A145" s="4" t="s">
        <v>939</v>
      </c>
      <c r="B145" s="7" t="s">
        <v>173</v>
      </c>
      <c r="C145" s="2" t="s">
        <v>940</v>
      </c>
      <c r="D145">
        <f>VLOOKUP(B145,'Model allocations'!$A$1:$L$319,6,FALSE)</f>
        <v>0</v>
      </c>
      <c r="E145" s="32">
        <f>VLOOKUP(B145,'Initial adjusted formula count'!$A$1:$P$319,12,FALSE)</f>
        <v>2.4190241902418998E-2</v>
      </c>
      <c r="F145">
        <f>VLOOKUP(B145,'Model allocations'!$A$1:$L$319,11,FALSE)</f>
        <v>0</v>
      </c>
      <c r="G145" s="31">
        <f t="shared" si="55"/>
        <v>0.85</v>
      </c>
      <c r="H145">
        <f t="shared" si="56"/>
        <v>0</v>
      </c>
      <c r="I145">
        <f t="shared" si="38"/>
        <v>0</v>
      </c>
      <c r="J145">
        <f t="shared" si="39"/>
        <v>0</v>
      </c>
      <c r="K145">
        <f t="shared" si="40"/>
        <v>0</v>
      </c>
      <c r="L145">
        <f t="shared" si="41"/>
        <v>0</v>
      </c>
      <c r="M145">
        <f t="shared" si="42"/>
        <v>0</v>
      </c>
      <c r="N145" s="30">
        <f t="shared" si="43"/>
        <v>0</v>
      </c>
      <c r="O145" s="30">
        <f t="shared" si="44"/>
        <v>0</v>
      </c>
      <c r="P145" s="30">
        <f t="shared" si="45"/>
        <v>0</v>
      </c>
      <c r="Q145">
        <f t="shared" si="46"/>
        <v>0</v>
      </c>
      <c r="R145" s="30">
        <f t="shared" si="47"/>
        <v>0</v>
      </c>
      <c r="S145" s="30">
        <f t="shared" si="48"/>
        <v>0</v>
      </c>
      <c r="T145" s="30">
        <f t="shared" si="49"/>
        <v>0</v>
      </c>
      <c r="U145">
        <f t="shared" si="50"/>
        <v>0</v>
      </c>
      <c r="V145" s="30">
        <f t="shared" si="51"/>
        <v>0</v>
      </c>
      <c r="W145" s="30">
        <f t="shared" si="52"/>
        <v>0</v>
      </c>
      <c r="X145" s="30">
        <f t="shared" si="53"/>
        <v>0</v>
      </c>
      <c r="Y145">
        <f t="shared" si="54"/>
        <v>0</v>
      </c>
    </row>
    <row r="146" spans="1:25" x14ac:dyDescent="0.25">
      <c r="A146" s="4" t="s">
        <v>941</v>
      </c>
      <c r="B146" s="7" t="s">
        <v>175</v>
      </c>
      <c r="C146" s="2" t="s">
        <v>942</v>
      </c>
      <c r="D146">
        <f>VLOOKUP(B146,'Model allocations'!$A$1:$L$319,6,FALSE)</f>
        <v>128886.74953836355</v>
      </c>
      <c r="E146" s="32">
        <f>VLOOKUP(B146,'Initial adjusted formula count'!$A$1:$P$319,12,FALSE)</f>
        <v>0.120234604105572</v>
      </c>
      <c r="F146">
        <f>VLOOKUP(B146,'Model allocations'!$A$1:$L$319,11,FALSE)</f>
        <v>116364.76840736759</v>
      </c>
      <c r="G146" s="31">
        <f t="shared" si="55"/>
        <v>0.85</v>
      </c>
      <c r="H146">
        <f t="shared" si="56"/>
        <v>109553.73710760902</v>
      </c>
      <c r="I146">
        <f t="shared" si="38"/>
        <v>0</v>
      </c>
      <c r="J146">
        <f t="shared" si="39"/>
        <v>116364.76840736759</v>
      </c>
      <c r="K146">
        <f t="shared" si="40"/>
        <v>116341.16308108265</v>
      </c>
      <c r="L146">
        <f t="shared" si="41"/>
        <v>116341.16308108265</v>
      </c>
      <c r="M146">
        <f t="shared" si="42"/>
        <v>0</v>
      </c>
      <c r="N146" s="30">
        <f t="shared" si="43"/>
        <v>116341.16308108265</v>
      </c>
      <c r="O146" s="30">
        <f t="shared" si="44"/>
        <v>116338.19971060511</v>
      </c>
      <c r="P146" s="30">
        <f t="shared" si="45"/>
        <v>116338.19971060511</v>
      </c>
      <c r="Q146">
        <f t="shared" si="46"/>
        <v>0</v>
      </c>
      <c r="R146" s="30">
        <f t="shared" si="47"/>
        <v>116338.19971060511</v>
      </c>
      <c r="S146" s="30">
        <f t="shared" si="48"/>
        <v>116338.19971060519</v>
      </c>
      <c r="T146" s="30">
        <f t="shared" si="49"/>
        <v>116338.19971060519</v>
      </c>
      <c r="U146">
        <f t="shared" si="50"/>
        <v>0</v>
      </c>
      <c r="V146" s="30">
        <f t="shared" si="51"/>
        <v>116338.19971060519</v>
      </c>
      <c r="W146" s="30">
        <f t="shared" si="52"/>
        <v>116338.19971060519</v>
      </c>
      <c r="X146" s="30">
        <f t="shared" si="53"/>
        <v>116338.19971060519</v>
      </c>
      <c r="Y146">
        <f t="shared" si="54"/>
        <v>0</v>
      </c>
    </row>
    <row r="147" spans="1:25" x14ac:dyDescent="0.25">
      <c r="A147" s="4" t="s">
        <v>943</v>
      </c>
      <c r="B147" s="7" t="s">
        <v>471</v>
      </c>
      <c r="C147" s="2" t="s">
        <v>944</v>
      </c>
      <c r="D147">
        <f>VLOOKUP(B147,'Model allocations'!$A$1:$L$319,6,FALSE)</f>
        <v>54695.637409137467</v>
      </c>
      <c r="E147" s="32">
        <f>VLOOKUP(B147,'Initial adjusted formula count'!$A$1:$P$319,12,FALSE)</f>
        <v>8.1490104772991803E-2</v>
      </c>
      <c r="F147">
        <f>VLOOKUP(B147,'Model allocations'!$A$1:$L$319,11,FALSE)</f>
        <v>46491.291797766848</v>
      </c>
      <c r="G147" s="31">
        <f t="shared" si="55"/>
        <v>0.85</v>
      </c>
      <c r="H147">
        <f t="shared" si="56"/>
        <v>46491.291797766848</v>
      </c>
      <c r="I147">
        <f t="shared" si="38"/>
        <v>0</v>
      </c>
      <c r="J147">
        <f t="shared" si="39"/>
        <v>46491.291797766848</v>
      </c>
      <c r="K147">
        <f t="shared" si="40"/>
        <v>46481.860746364298</v>
      </c>
      <c r="L147">
        <f t="shared" si="41"/>
        <v>46481.860746364298</v>
      </c>
      <c r="M147">
        <f t="shared" si="42"/>
        <v>46491.291797766848</v>
      </c>
      <c r="N147" s="30">
        <f t="shared" si="43"/>
        <v>0</v>
      </c>
      <c r="O147" s="30">
        <f t="shared" si="44"/>
        <v>0</v>
      </c>
      <c r="P147" s="30">
        <f t="shared" si="45"/>
        <v>46491.291797766848</v>
      </c>
      <c r="Q147">
        <f t="shared" si="46"/>
        <v>0</v>
      </c>
      <c r="R147" s="30">
        <f t="shared" si="47"/>
        <v>0</v>
      </c>
      <c r="S147" s="30">
        <f t="shared" si="48"/>
        <v>0</v>
      </c>
      <c r="T147" s="30">
        <f t="shared" si="49"/>
        <v>46491.291797766848</v>
      </c>
      <c r="U147">
        <f t="shared" si="50"/>
        <v>0</v>
      </c>
      <c r="V147" s="30">
        <f t="shared" si="51"/>
        <v>0</v>
      </c>
      <c r="W147" s="30">
        <f t="shared" si="52"/>
        <v>0</v>
      </c>
      <c r="X147" s="30">
        <f t="shared" si="53"/>
        <v>46491.291797766848</v>
      </c>
      <c r="Y147">
        <f t="shared" si="54"/>
        <v>0</v>
      </c>
    </row>
    <row r="148" spans="1:25" x14ac:dyDescent="0.25">
      <c r="A148" s="4" t="s">
        <v>945</v>
      </c>
      <c r="B148" s="7" t="s">
        <v>473</v>
      </c>
      <c r="C148" s="2" t="s">
        <v>946</v>
      </c>
      <c r="D148">
        <f>VLOOKUP(B148,'Model allocations'!$A$1:$L$319,6,FALSE)</f>
        <v>6689.7096879090714</v>
      </c>
      <c r="E148" s="32">
        <f>VLOOKUP(B148,'Initial adjusted formula count'!$A$1:$P$319,12,FALSE)</f>
        <v>0.24324324324324301</v>
      </c>
      <c r="F148">
        <f>VLOOKUP(B148,'Model allocations'!$A$1:$L$319,11,FALSE)</f>
        <v>13669.766687925108</v>
      </c>
      <c r="G148" s="31">
        <f t="shared" si="55"/>
        <v>0.9</v>
      </c>
      <c r="H148">
        <f t="shared" si="56"/>
        <v>6020.7387191181642</v>
      </c>
      <c r="I148">
        <f t="shared" si="38"/>
        <v>0</v>
      </c>
      <c r="J148">
        <f t="shared" si="39"/>
        <v>13669.766687925108</v>
      </c>
      <c r="K148">
        <f t="shared" si="40"/>
        <v>13666.993689642861</v>
      </c>
      <c r="L148">
        <f t="shared" si="41"/>
        <v>13666.993689642861</v>
      </c>
      <c r="M148">
        <f t="shared" si="42"/>
        <v>0</v>
      </c>
      <c r="N148" s="30">
        <f t="shared" si="43"/>
        <v>13666.993689642861</v>
      </c>
      <c r="O148" s="30">
        <f t="shared" si="44"/>
        <v>13666.64557239404</v>
      </c>
      <c r="P148" s="30">
        <f t="shared" si="45"/>
        <v>13666.64557239404</v>
      </c>
      <c r="Q148">
        <f t="shared" si="46"/>
        <v>0</v>
      </c>
      <c r="R148" s="30">
        <f t="shared" si="47"/>
        <v>13666.64557239404</v>
      </c>
      <c r="S148" s="30">
        <f t="shared" si="48"/>
        <v>13666.645572394049</v>
      </c>
      <c r="T148" s="30">
        <f t="shared" si="49"/>
        <v>13666.645572394049</v>
      </c>
      <c r="U148">
        <f t="shared" si="50"/>
        <v>0</v>
      </c>
      <c r="V148" s="30">
        <f t="shared" si="51"/>
        <v>13666.645572394049</v>
      </c>
      <c r="W148" s="30">
        <f t="shared" si="52"/>
        <v>13666.645572394049</v>
      </c>
      <c r="X148" s="30">
        <f t="shared" si="53"/>
        <v>13666.645572394049</v>
      </c>
      <c r="Y148">
        <f t="shared" si="54"/>
        <v>0</v>
      </c>
    </row>
    <row r="149" spans="1:25" x14ac:dyDescent="0.25">
      <c r="A149" s="4" t="s">
        <v>947</v>
      </c>
      <c r="B149" s="7" t="s">
        <v>177</v>
      </c>
      <c r="C149" s="2" t="s">
        <v>948</v>
      </c>
      <c r="D149">
        <f>VLOOKUP(B149,'Model allocations'!$A$1:$L$319,6,FALSE)</f>
        <v>220948.71349433751</v>
      </c>
      <c r="E149" s="32">
        <f>VLOOKUP(B149,'Initial adjusted formula count'!$A$1:$P$319,12,FALSE)</f>
        <v>6.6185318892900094E-2</v>
      </c>
      <c r="F149">
        <f>VLOOKUP(B149,'Model allocations'!$A$1:$L$319,11,FALSE)</f>
        <v>249758.52731337442</v>
      </c>
      <c r="G149" s="31">
        <f t="shared" si="55"/>
        <v>0.85</v>
      </c>
      <c r="H149">
        <f t="shared" si="56"/>
        <v>187806.40647018689</v>
      </c>
      <c r="I149">
        <f t="shared" si="38"/>
        <v>0</v>
      </c>
      <c r="J149">
        <f t="shared" si="39"/>
        <v>249758.52731337442</v>
      </c>
      <c r="K149">
        <f t="shared" si="40"/>
        <v>249707.86222281161</v>
      </c>
      <c r="L149">
        <f t="shared" si="41"/>
        <v>249707.86222281161</v>
      </c>
      <c r="M149">
        <f t="shared" si="42"/>
        <v>0</v>
      </c>
      <c r="N149" s="30">
        <f t="shared" si="43"/>
        <v>249707.86222281161</v>
      </c>
      <c r="O149" s="30">
        <f t="shared" si="44"/>
        <v>249701.50181788424</v>
      </c>
      <c r="P149" s="30">
        <f t="shared" si="45"/>
        <v>249701.50181788424</v>
      </c>
      <c r="Q149">
        <f t="shared" si="46"/>
        <v>0</v>
      </c>
      <c r="R149" s="30">
        <f t="shared" si="47"/>
        <v>249701.50181788424</v>
      </c>
      <c r="S149" s="30">
        <f t="shared" si="48"/>
        <v>249701.50181788442</v>
      </c>
      <c r="T149" s="30">
        <f t="shared" si="49"/>
        <v>249701.50181788442</v>
      </c>
      <c r="U149">
        <f t="shared" si="50"/>
        <v>0</v>
      </c>
      <c r="V149" s="30">
        <f t="shared" si="51"/>
        <v>249701.50181788442</v>
      </c>
      <c r="W149" s="30">
        <f t="shared" si="52"/>
        <v>249701.50181788442</v>
      </c>
      <c r="X149" s="30">
        <f t="shared" si="53"/>
        <v>249701.50181788442</v>
      </c>
      <c r="Y149">
        <f t="shared" si="54"/>
        <v>0</v>
      </c>
    </row>
    <row r="150" spans="1:25" x14ac:dyDescent="0.25">
      <c r="A150" s="4" t="s">
        <v>949</v>
      </c>
      <c r="B150" s="7" t="s">
        <v>475</v>
      </c>
      <c r="C150" s="2" t="s">
        <v>950</v>
      </c>
      <c r="D150">
        <f>VLOOKUP(B150,'Model allocations'!$A$1:$L$319,6,FALSE)</f>
        <v>89895.800098186315</v>
      </c>
      <c r="E150" s="32">
        <f>VLOOKUP(B150,'Initial adjusted formula count'!$A$1:$P$319,12,FALSE)</f>
        <v>0.15967016491754099</v>
      </c>
      <c r="F150">
        <f>VLOOKUP(B150,'Model allocations'!$A$1:$L$319,11,FALSE)</f>
        <v>123103.76434399743</v>
      </c>
      <c r="G150" s="31">
        <f t="shared" si="55"/>
        <v>0.9</v>
      </c>
      <c r="H150">
        <f t="shared" si="56"/>
        <v>80906.220088367685</v>
      </c>
      <c r="I150">
        <f t="shared" si="38"/>
        <v>0</v>
      </c>
      <c r="J150">
        <f t="shared" si="39"/>
        <v>123103.76434399743</v>
      </c>
      <c r="K150">
        <f t="shared" si="40"/>
        <v>123078.79196993595</v>
      </c>
      <c r="L150">
        <f t="shared" si="41"/>
        <v>123078.79196993595</v>
      </c>
      <c r="M150">
        <f t="shared" si="42"/>
        <v>0</v>
      </c>
      <c r="N150" s="30">
        <f t="shared" si="43"/>
        <v>123078.79196993595</v>
      </c>
      <c r="O150" s="30">
        <f t="shared" si="44"/>
        <v>123075.65698272357</v>
      </c>
      <c r="P150" s="30">
        <f t="shared" si="45"/>
        <v>123075.65698272357</v>
      </c>
      <c r="Q150">
        <f t="shared" si="46"/>
        <v>0</v>
      </c>
      <c r="R150" s="30">
        <f t="shared" si="47"/>
        <v>123075.65698272357</v>
      </c>
      <c r="S150" s="30">
        <f t="shared" si="48"/>
        <v>123075.65698272365</v>
      </c>
      <c r="T150" s="30">
        <f t="shared" si="49"/>
        <v>123075.65698272365</v>
      </c>
      <c r="U150">
        <f t="shared" si="50"/>
        <v>0</v>
      </c>
      <c r="V150" s="30">
        <f t="shared" si="51"/>
        <v>123075.65698272365</v>
      </c>
      <c r="W150" s="30">
        <f t="shared" si="52"/>
        <v>123075.65698272365</v>
      </c>
      <c r="X150" s="30">
        <f t="shared" si="53"/>
        <v>123075.65698272365</v>
      </c>
      <c r="Y150">
        <f t="shared" si="54"/>
        <v>0</v>
      </c>
    </row>
    <row r="151" spans="1:25" x14ac:dyDescent="0.25">
      <c r="A151" s="4" t="s">
        <v>951</v>
      </c>
      <c r="B151" s="7" t="s">
        <v>477</v>
      </c>
      <c r="C151" s="2" t="s">
        <v>952</v>
      </c>
      <c r="D151">
        <f>VLOOKUP(B151,'Model allocations'!$A$1:$L$319,6,FALSE)</f>
        <v>41539.332910671445</v>
      </c>
      <c r="E151" s="32">
        <f>VLOOKUP(B151,'Initial adjusted formula count'!$A$1:$P$319,12,FALSE)</f>
        <v>0.13213213213213201</v>
      </c>
      <c r="F151">
        <f>VLOOKUP(B151,'Model allocations'!$A$1:$L$319,11,FALSE)</f>
        <v>35308.432974070725</v>
      </c>
      <c r="G151" s="31">
        <f t="shared" si="55"/>
        <v>0.85</v>
      </c>
      <c r="H151">
        <f t="shared" si="56"/>
        <v>35308.432974070725</v>
      </c>
      <c r="I151">
        <f t="shared" si="38"/>
        <v>0</v>
      </c>
      <c r="J151">
        <f t="shared" si="39"/>
        <v>35308.432974070725</v>
      </c>
      <c r="K151">
        <f t="shared" si="40"/>
        <v>35301.270436024453</v>
      </c>
      <c r="L151">
        <f t="shared" si="41"/>
        <v>35301.270436024453</v>
      </c>
      <c r="M151">
        <f t="shared" si="42"/>
        <v>35308.432974070725</v>
      </c>
      <c r="N151" s="30">
        <f t="shared" si="43"/>
        <v>0</v>
      </c>
      <c r="O151" s="30">
        <f t="shared" si="44"/>
        <v>0</v>
      </c>
      <c r="P151" s="30">
        <f t="shared" si="45"/>
        <v>35308.432974070725</v>
      </c>
      <c r="Q151">
        <f t="shared" si="46"/>
        <v>0</v>
      </c>
      <c r="R151" s="30">
        <f t="shared" si="47"/>
        <v>0</v>
      </c>
      <c r="S151" s="30">
        <f t="shared" si="48"/>
        <v>0</v>
      </c>
      <c r="T151" s="30">
        <f t="shared" si="49"/>
        <v>35308.432974070725</v>
      </c>
      <c r="U151">
        <f t="shared" si="50"/>
        <v>0</v>
      </c>
      <c r="V151" s="30">
        <f t="shared" si="51"/>
        <v>0</v>
      </c>
      <c r="W151" s="30">
        <f t="shared" si="52"/>
        <v>0</v>
      </c>
      <c r="X151" s="30">
        <f t="shared" si="53"/>
        <v>35308.432974070725</v>
      </c>
      <c r="Y151">
        <f t="shared" si="54"/>
        <v>0</v>
      </c>
    </row>
    <row r="152" spans="1:25" x14ac:dyDescent="0.25">
      <c r="A152" s="4" t="s">
        <v>953</v>
      </c>
      <c r="B152" s="7" t="s">
        <v>479</v>
      </c>
      <c r="C152" s="2" t="s">
        <v>954</v>
      </c>
      <c r="D152">
        <f>VLOOKUP(B152,'Model allocations'!$A$1:$L$319,6,FALSE)</f>
        <v>927268.88607947784</v>
      </c>
      <c r="E152" s="32">
        <f>VLOOKUP(B152,'Initial adjusted formula count'!$A$1:$P$319,12,FALSE)</f>
        <v>0.141246412464125</v>
      </c>
      <c r="F152">
        <f>VLOOKUP(B152,'Model allocations'!$A$1:$L$319,11,FALSE)</f>
        <v>977180.23811357701</v>
      </c>
      <c r="G152" s="31">
        <f t="shared" si="55"/>
        <v>0.85</v>
      </c>
      <c r="H152">
        <f t="shared" si="56"/>
        <v>788178.55316755618</v>
      </c>
      <c r="I152">
        <f t="shared" si="38"/>
        <v>0</v>
      </c>
      <c r="J152">
        <f t="shared" si="39"/>
        <v>977180.23811357701</v>
      </c>
      <c r="K152">
        <f t="shared" si="40"/>
        <v>976982.01094674994</v>
      </c>
      <c r="L152">
        <f t="shared" si="41"/>
        <v>976982.01094674994</v>
      </c>
      <c r="M152">
        <f t="shared" si="42"/>
        <v>0</v>
      </c>
      <c r="N152" s="30">
        <f t="shared" si="43"/>
        <v>976982.01094674994</v>
      </c>
      <c r="O152" s="30">
        <f t="shared" si="44"/>
        <v>976957.12586247153</v>
      </c>
      <c r="P152" s="30">
        <f t="shared" si="45"/>
        <v>976957.12586247153</v>
      </c>
      <c r="Q152">
        <f t="shared" si="46"/>
        <v>0</v>
      </c>
      <c r="R152" s="30">
        <f t="shared" si="47"/>
        <v>976957.12586247153</v>
      </c>
      <c r="S152" s="30">
        <f t="shared" si="48"/>
        <v>976957.12586247222</v>
      </c>
      <c r="T152" s="30">
        <f t="shared" si="49"/>
        <v>976957.12586247222</v>
      </c>
      <c r="U152">
        <f t="shared" si="50"/>
        <v>0</v>
      </c>
      <c r="V152" s="30">
        <f t="shared" si="51"/>
        <v>976957.12586247222</v>
      </c>
      <c r="W152" s="30">
        <f t="shared" si="52"/>
        <v>976957.12586247222</v>
      </c>
      <c r="X152" s="30">
        <f t="shared" si="53"/>
        <v>976957.12586247222</v>
      </c>
      <c r="Y152">
        <f t="shared" si="54"/>
        <v>0</v>
      </c>
    </row>
    <row r="153" spans="1:25" x14ac:dyDescent="0.25">
      <c r="A153" s="4" t="s">
        <v>955</v>
      </c>
      <c r="B153" s="7" t="s">
        <v>481</v>
      </c>
      <c r="C153" s="2" t="s">
        <v>956</v>
      </c>
      <c r="D153">
        <f>VLOOKUP(B153,'Model allocations'!$A$1:$L$319,6,FALSE)</f>
        <v>58486.424160265815</v>
      </c>
      <c r="E153" s="32">
        <f>VLOOKUP(B153,'Initial adjusted formula count'!$A$1:$P$319,12,FALSE)</f>
        <v>0.18025751072961399</v>
      </c>
      <c r="F153">
        <f>VLOOKUP(B153,'Model allocations'!$A$1:$L$319,11,FALSE)</f>
        <v>78799.865488450363</v>
      </c>
      <c r="G153" s="31">
        <f t="shared" si="55"/>
        <v>0.9</v>
      </c>
      <c r="H153">
        <f t="shared" si="56"/>
        <v>52637.781744239233</v>
      </c>
      <c r="I153">
        <f t="shared" si="38"/>
        <v>0</v>
      </c>
      <c r="J153">
        <f t="shared" si="39"/>
        <v>78799.865488450363</v>
      </c>
      <c r="K153">
        <f t="shared" si="40"/>
        <v>78783.880439354121</v>
      </c>
      <c r="L153">
        <f t="shared" si="41"/>
        <v>78783.880439354121</v>
      </c>
      <c r="M153">
        <f t="shared" si="42"/>
        <v>0</v>
      </c>
      <c r="N153" s="30">
        <f t="shared" si="43"/>
        <v>78783.880439354121</v>
      </c>
      <c r="O153" s="30">
        <f t="shared" si="44"/>
        <v>78781.873704856916</v>
      </c>
      <c r="P153" s="30">
        <f t="shared" si="45"/>
        <v>78781.873704856916</v>
      </c>
      <c r="Q153">
        <f t="shared" si="46"/>
        <v>0</v>
      </c>
      <c r="R153" s="30">
        <f t="shared" si="47"/>
        <v>78781.873704856916</v>
      </c>
      <c r="S153" s="30">
        <f t="shared" si="48"/>
        <v>78781.873704856975</v>
      </c>
      <c r="T153" s="30">
        <f t="shared" si="49"/>
        <v>78781.873704856975</v>
      </c>
      <c r="U153">
        <f t="shared" si="50"/>
        <v>0</v>
      </c>
      <c r="V153" s="30">
        <f t="shared" si="51"/>
        <v>78781.873704856975</v>
      </c>
      <c r="W153" s="30">
        <f t="shared" si="52"/>
        <v>78781.873704856975</v>
      </c>
      <c r="X153" s="30">
        <f t="shared" si="53"/>
        <v>78781.873704856975</v>
      </c>
      <c r="Y153">
        <f t="shared" si="54"/>
        <v>0</v>
      </c>
    </row>
    <row r="154" spans="1:25" x14ac:dyDescent="0.25">
      <c r="A154" s="4" t="s">
        <v>957</v>
      </c>
      <c r="B154" s="7" t="s">
        <v>483</v>
      </c>
      <c r="C154" s="2" t="s">
        <v>958</v>
      </c>
      <c r="D154">
        <f>VLOOKUP(B154,'Model allocations'!$A$1:$L$319,6,FALSE)</f>
        <v>197979.18579470145</v>
      </c>
      <c r="E154" s="32">
        <f>VLOOKUP(B154,'Initial adjusted formula count'!$A$1:$P$319,12,FALSE)</f>
        <v>0.27354709418837703</v>
      </c>
      <c r="F154">
        <f>VLOOKUP(B154,'Model allocations'!$A$1:$L$319,11,FALSE)</f>
        <v>227274.78219656026</v>
      </c>
      <c r="G154" s="31">
        <f t="shared" si="55"/>
        <v>0.9</v>
      </c>
      <c r="H154">
        <f t="shared" si="56"/>
        <v>178181.26721523132</v>
      </c>
      <c r="I154">
        <f t="shared" si="38"/>
        <v>0</v>
      </c>
      <c r="J154">
        <f t="shared" si="39"/>
        <v>227274.78219656026</v>
      </c>
      <c r="K154">
        <f t="shared" si="40"/>
        <v>227228.67807532565</v>
      </c>
      <c r="L154">
        <f t="shared" si="41"/>
        <v>227228.67807532565</v>
      </c>
      <c r="M154">
        <f t="shared" si="42"/>
        <v>0</v>
      </c>
      <c r="N154" s="30">
        <f t="shared" si="43"/>
        <v>227228.67807532565</v>
      </c>
      <c r="O154" s="30">
        <f t="shared" si="44"/>
        <v>227222.89024633696</v>
      </c>
      <c r="P154" s="30">
        <f t="shared" si="45"/>
        <v>227222.89024633696</v>
      </c>
      <c r="Q154">
        <f t="shared" si="46"/>
        <v>0</v>
      </c>
      <c r="R154" s="30">
        <f t="shared" si="47"/>
        <v>227222.89024633696</v>
      </c>
      <c r="S154" s="30">
        <f t="shared" si="48"/>
        <v>227222.89024633711</v>
      </c>
      <c r="T154" s="30">
        <f t="shared" si="49"/>
        <v>227222.89024633711</v>
      </c>
      <c r="U154">
        <f t="shared" si="50"/>
        <v>0</v>
      </c>
      <c r="V154" s="30">
        <f t="shared" si="51"/>
        <v>227222.89024633711</v>
      </c>
      <c r="W154" s="30">
        <f t="shared" si="52"/>
        <v>227222.89024633711</v>
      </c>
      <c r="X154" s="30">
        <f t="shared" si="53"/>
        <v>227222.89024633711</v>
      </c>
      <c r="Y154">
        <f t="shared" si="54"/>
        <v>0</v>
      </c>
    </row>
    <row r="155" spans="1:25" x14ac:dyDescent="0.25">
      <c r="A155" s="4" t="s">
        <v>959</v>
      </c>
      <c r="B155" s="7" t="s">
        <v>485</v>
      </c>
      <c r="C155" s="2" t="s">
        <v>960</v>
      </c>
      <c r="D155">
        <f>VLOOKUP(B155,'Model allocations'!$A$1:$L$319,6,FALSE)</f>
        <v>244828.04355276845</v>
      </c>
      <c r="E155" s="32">
        <f>VLOOKUP(B155,'Initial adjusted formula count'!$A$1:$P$319,12,FALSE)</f>
        <v>0.11745379876796699</v>
      </c>
      <c r="F155">
        <f>VLOOKUP(B155,'Model allocations'!$A$1:$L$319,11,FALSE)</f>
        <v>208103.83701985318</v>
      </c>
      <c r="G155" s="31">
        <f t="shared" si="55"/>
        <v>0.85</v>
      </c>
      <c r="H155">
        <f t="shared" si="56"/>
        <v>208103.83701985318</v>
      </c>
      <c r="I155">
        <f t="shared" si="38"/>
        <v>0</v>
      </c>
      <c r="J155">
        <f t="shared" si="39"/>
        <v>208103.83701985318</v>
      </c>
      <c r="K155">
        <f t="shared" si="40"/>
        <v>208061.62184561067</v>
      </c>
      <c r="L155">
        <f t="shared" si="41"/>
        <v>208061.62184561067</v>
      </c>
      <c r="M155">
        <f t="shared" si="42"/>
        <v>208103.83701985318</v>
      </c>
      <c r="N155" s="30">
        <f t="shared" si="43"/>
        <v>0</v>
      </c>
      <c r="O155" s="30">
        <f t="shared" si="44"/>
        <v>0</v>
      </c>
      <c r="P155" s="30">
        <f t="shared" si="45"/>
        <v>208103.83701985318</v>
      </c>
      <c r="Q155">
        <f t="shared" si="46"/>
        <v>0</v>
      </c>
      <c r="R155" s="30">
        <f t="shared" si="47"/>
        <v>0</v>
      </c>
      <c r="S155" s="30">
        <f t="shared" si="48"/>
        <v>0</v>
      </c>
      <c r="T155" s="30">
        <f t="shared" si="49"/>
        <v>208103.83701985318</v>
      </c>
      <c r="U155">
        <f t="shared" si="50"/>
        <v>0</v>
      </c>
      <c r="V155" s="30">
        <f t="shared" si="51"/>
        <v>0</v>
      </c>
      <c r="W155" s="30">
        <f t="shared" si="52"/>
        <v>0</v>
      </c>
      <c r="X155" s="30">
        <f t="shared" si="53"/>
        <v>208103.83701985318</v>
      </c>
      <c r="Y155">
        <f t="shared" si="54"/>
        <v>0</v>
      </c>
    </row>
    <row r="156" spans="1:25" x14ac:dyDescent="0.25">
      <c r="A156" s="4" t="s">
        <v>961</v>
      </c>
      <c r="B156" s="7" t="s">
        <v>179</v>
      </c>
      <c r="C156" s="2" t="s">
        <v>962</v>
      </c>
      <c r="D156">
        <f>VLOOKUP(B156,'Model allocations'!$A$1:$L$319,6,FALSE)</f>
        <v>0</v>
      </c>
      <c r="E156" s="32">
        <f>VLOOKUP(B156,'Initial adjusted formula count'!$A$1:$P$319,12,FALSE)</f>
        <v>7.3170731707317097E-2</v>
      </c>
      <c r="F156">
        <f>VLOOKUP(B156,'Model allocations'!$A$1:$L$319,11,FALSE)</f>
        <v>0</v>
      </c>
      <c r="G156" s="31">
        <f t="shared" si="55"/>
        <v>0.85</v>
      </c>
      <c r="H156">
        <f t="shared" si="56"/>
        <v>0</v>
      </c>
      <c r="I156">
        <f t="shared" si="38"/>
        <v>0</v>
      </c>
      <c r="J156">
        <f t="shared" si="39"/>
        <v>0</v>
      </c>
      <c r="K156">
        <f t="shared" si="40"/>
        <v>0</v>
      </c>
      <c r="L156">
        <f t="shared" si="41"/>
        <v>0</v>
      </c>
      <c r="M156">
        <f t="shared" si="42"/>
        <v>0</v>
      </c>
      <c r="N156" s="30">
        <f t="shared" si="43"/>
        <v>0</v>
      </c>
      <c r="O156" s="30">
        <f t="shared" si="44"/>
        <v>0</v>
      </c>
      <c r="P156" s="30">
        <f t="shared" si="45"/>
        <v>0</v>
      </c>
      <c r="Q156">
        <f t="shared" si="46"/>
        <v>0</v>
      </c>
      <c r="R156" s="30">
        <f t="shared" si="47"/>
        <v>0</v>
      </c>
      <c r="S156" s="30">
        <f t="shared" si="48"/>
        <v>0</v>
      </c>
      <c r="T156" s="30">
        <f t="shared" si="49"/>
        <v>0</v>
      </c>
      <c r="U156">
        <f t="shared" si="50"/>
        <v>0</v>
      </c>
      <c r="V156" s="30">
        <f t="shared" si="51"/>
        <v>0</v>
      </c>
      <c r="W156" s="30">
        <f t="shared" si="52"/>
        <v>0</v>
      </c>
      <c r="X156" s="30">
        <f t="shared" si="53"/>
        <v>0</v>
      </c>
      <c r="Y156">
        <f t="shared" si="54"/>
        <v>0</v>
      </c>
    </row>
    <row r="157" spans="1:25" x14ac:dyDescent="0.25">
      <c r="A157" s="4" t="s">
        <v>963</v>
      </c>
      <c r="B157" s="7" t="s">
        <v>487</v>
      </c>
      <c r="C157" s="9" t="s">
        <v>964</v>
      </c>
      <c r="D157">
        <f>VLOOKUP(B157,'Model allocations'!$A$1:$L$319,6,FALSE)</f>
        <v>588655.02835378633</v>
      </c>
      <c r="E157" s="32">
        <f>VLOOKUP(B157,'Initial adjusted formula count'!$A$1:$P$319,12,FALSE)</f>
        <v>0.13510747185260999</v>
      </c>
      <c r="F157">
        <f>VLOOKUP(B157,'Model allocations'!$A$1:$L$319,11,FALSE)</f>
        <v>590622.15379446826</v>
      </c>
      <c r="G157" s="31">
        <f t="shared" si="55"/>
        <v>0.85</v>
      </c>
      <c r="H157">
        <f t="shared" si="56"/>
        <v>500356.77410071838</v>
      </c>
      <c r="I157">
        <f t="shared" si="38"/>
        <v>0</v>
      </c>
      <c r="J157">
        <f t="shared" si="39"/>
        <v>590622.15379446826</v>
      </c>
      <c r="K157">
        <f t="shared" si="40"/>
        <v>590502.34237008053</v>
      </c>
      <c r="L157">
        <f t="shared" si="41"/>
        <v>590502.34237008053</v>
      </c>
      <c r="M157">
        <f t="shared" si="42"/>
        <v>0</v>
      </c>
      <c r="N157" s="30">
        <f t="shared" si="43"/>
        <v>590502.34237008053</v>
      </c>
      <c r="O157" s="30">
        <f t="shared" si="44"/>
        <v>590487.3014579739</v>
      </c>
      <c r="P157" s="30">
        <f t="shared" si="45"/>
        <v>590487.3014579739</v>
      </c>
      <c r="Q157">
        <f t="shared" si="46"/>
        <v>0</v>
      </c>
      <c r="R157" s="30">
        <f t="shared" si="47"/>
        <v>590487.3014579739</v>
      </c>
      <c r="S157" s="30">
        <f t="shared" si="48"/>
        <v>590487.30145797436</v>
      </c>
      <c r="T157" s="30">
        <f t="shared" si="49"/>
        <v>590487.30145797436</v>
      </c>
      <c r="U157">
        <f t="shared" si="50"/>
        <v>0</v>
      </c>
      <c r="V157" s="30">
        <f t="shared" si="51"/>
        <v>590487.30145797436</v>
      </c>
      <c r="W157" s="30">
        <f t="shared" si="52"/>
        <v>590487.30145797436</v>
      </c>
      <c r="X157" s="30">
        <f t="shared" si="53"/>
        <v>590487.30145797436</v>
      </c>
      <c r="Y157">
        <f t="shared" si="54"/>
        <v>0</v>
      </c>
    </row>
    <row r="158" spans="1:25" x14ac:dyDescent="0.25">
      <c r="A158" s="4" t="s">
        <v>965</v>
      </c>
      <c r="B158" s="7" t="s">
        <v>290</v>
      </c>
      <c r="C158" s="2" t="s">
        <v>966</v>
      </c>
      <c r="D158">
        <f>VLOOKUP(B158,'Model allocations'!$A$1:$L$319,6,FALSE)</f>
        <v>1356289.3454572752</v>
      </c>
      <c r="E158" s="32">
        <f>VLOOKUP(B158,'Initial adjusted formula count'!$A$1:$P$319,12,FALSE)</f>
        <v>0.13751771374586699</v>
      </c>
      <c r="F158">
        <f>VLOOKUP(B158,'Model allocations'!$A$1:$L$319,11,FALSE)</f>
        <v>1805924.4423806833</v>
      </c>
      <c r="G158" s="31">
        <f t="shared" si="55"/>
        <v>0.85</v>
      </c>
      <c r="H158">
        <f t="shared" si="56"/>
        <v>1152845.9436386838</v>
      </c>
      <c r="I158">
        <f t="shared" si="38"/>
        <v>0</v>
      </c>
      <c r="J158">
        <f t="shared" si="39"/>
        <v>1805924.4423806833</v>
      </c>
      <c r="K158">
        <f t="shared" si="40"/>
        <v>1805558.0992315342</v>
      </c>
      <c r="L158">
        <f t="shared" si="41"/>
        <v>1805558.0992315342</v>
      </c>
      <c r="M158">
        <f t="shared" si="42"/>
        <v>0</v>
      </c>
      <c r="N158" s="30">
        <f t="shared" si="43"/>
        <v>1805558.0992315342</v>
      </c>
      <c r="O158" s="30">
        <f t="shared" si="44"/>
        <v>1805512.1091672694</v>
      </c>
      <c r="P158" s="30">
        <f t="shared" si="45"/>
        <v>1805512.1091672694</v>
      </c>
      <c r="Q158">
        <f t="shared" si="46"/>
        <v>0</v>
      </c>
      <c r="R158" s="30">
        <f t="shared" si="47"/>
        <v>1805512.1091672694</v>
      </c>
      <c r="S158" s="30">
        <f t="shared" si="48"/>
        <v>1805512.1091672706</v>
      </c>
      <c r="T158" s="30">
        <f t="shared" si="49"/>
        <v>1805512.1091672706</v>
      </c>
      <c r="U158">
        <f t="shared" si="50"/>
        <v>0</v>
      </c>
      <c r="V158" s="30">
        <f t="shared" si="51"/>
        <v>1805512.1091672706</v>
      </c>
      <c r="W158" s="30">
        <f t="shared" si="52"/>
        <v>1805512.1091672706</v>
      </c>
      <c r="X158" s="30">
        <f t="shared" si="53"/>
        <v>1805512.1091672706</v>
      </c>
      <c r="Y158">
        <f t="shared" si="54"/>
        <v>0</v>
      </c>
    </row>
    <row r="159" spans="1:25" x14ac:dyDescent="0.25">
      <c r="A159" s="4" t="s">
        <v>967</v>
      </c>
      <c r="B159" s="7" t="s">
        <v>489</v>
      </c>
      <c r="C159" s="2" t="s">
        <v>968</v>
      </c>
      <c r="D159">
        <f>VLOOKUP(B159,'Model allocations'!$A$1:$L$319,6,FALSE)</f>
        <v>112098.97964050947</v>
      </c>
      <c r="E159" s="32">
        <f>VLOOKUP(B159,'Initial adjusted formula count'!$A$1:$P$319,12,FALSE)</f>
        <v>0.138251704897706</v>
      </c>
      <c r="F159">
        <f>VLOOKUP(B159,'Model allocations'!$A$1:$L$319,11,FALSE)</f>
        <v>126582.16270655111</v>
      </c>
      <c r="G159" s="31">
        <f t="shared" si="55"/>
        <v>0.85</v>
      </c>
      <c r="H159">
        <f t="shared" si="56"/>
        <v>95284.13269443305</v>
      </c>
      <c r="I159">
        <f t="shared" si="38"/>
        <v>0</v>
      </c>
      <c r="J159">
        <f t="shared" si="39"/>
        <v>126582.16270655111</v>
      </c>
      <c r="K159">
        <f t="shared" si="40"/>
        <v>126556.48471747042</v>
      </c>
      <c r="L159">
        <f t="shared" si="41"/>
        <v>126556.48471747042</v>
      </c>
      <c r="M159">
        <f t="shared" si="42"/>
        <v>0</v>
      </c>
      <c r="N159" s="30">
        <f t="shared" si="43"/>
        <v>126556.48471747042</v>
      </c>
      <c r="O159" s="30">
        <f t="shared" si="44"/>
        <v>126553.26114860948</v>
      </c>
      <c r="P159" s="30">
        <f t="shared" si="45"/>
        <v>126553.26114860948</v>
      </c>
      <c r="Q159">
        <f t="shared" si="46"/>
        <v>0</v>
      </c>
      <c r="R159" s="30">
        <f t="shared" si="47"/>
        <v>126553.26114860948</v>
      </c>
      <c r="S159" s="30">
        <f t="shared" si="48"/>
        <v>126553.26114860957</v>
      </c>
      <c r="T159" s="30">
        <f t="shared" si="49"/>
        <v>126553.26114860957</v>
      </c>
      <c r="U159">
        <f t="shared" si="50"/>
        <v>0</v>
      </c>
      <c r="V159" s="30">
        <f t="shared" si="51"/>
        <v>126553.26114860957</v>
      </c>
      <c r="W159" s="30">
        <f t="shared" si="52"/>
        <v>126553.26114860957</v>
      </c>
      <c r="X159" s="30">
        <f t="shared" si="53"/>
        <v>126553.26114860957</v>
      </c>
      <c r="Y159">
        <f t="shared" si="54"/>
        <v>0</v>
      </c>
    </row>
    <row r="160" spans="1:25" x14ac:dyDescent="0.25">
      <c r="A160" s="4" t="s">
        <v>969</v>
      </c>
      <c r="B160" s="7" t="s">
        <v>491</v>
      </c>
      <c r="C160" s="2" t="s">
        <v>970</v>
      </c>
      <c r="D160">
        <f>VLOOKUP(B160,'Model allocations'!$A$1:$L$319,6,FALSE)</f>
        <v>46800.723793968049</v>
      </c>
      <c r="E160" s="32">
        <f>VLOOKUP(B160,'Initial adjusted formula count'!$A$1:$P$319,12,FALSE)</f>
        <v>8.5271317829457405E-2</v>
      </c>
      <c r="F160">
        <f>VLOOKUP(B160,'Model allocations'!$A$1:$L$319,11,FALSE)</f>
        <v>39780.615224872839</v>
      </c>
      <c r="G160" s="31">
        <f t="shared" si="55"/>
        <v>0.85</v>
      </c>
      <c r="H160">
        <f t="shared" si="56"/>
        <v>39780.615224872839</v>
      </c>
      <c r="I160">
        <f t="shared" si="38"/>
        <v>0</v>
      </c>
      <c r="J160">
        <f t="shared" si="39"/>
        <v>39780.615224872839</v>
      </c>
      <c r="K160">
        <f t="shared" si="40"/>
        <v>39772.545476485495</v>
      </c>
      <c r="L160">
        <f t="shared" si="41"/>
        <v>39772.545476485495</v>
      </c>
      <c r="M160">
        <f t="shared" si="42"/>
        <v>39780.615224872839</v>
      </c>
      <c r="N160" s="30">
        <f t="shared" si="43"/>
        <v>0</v>
      </c>
      <c r="O160" s="30">
        <f t="shared" si="44"/>
        <v>0</v>
      </c>
      <c r="P160" s="30">
        <f t="shared" si="45"/>
        <v>39780.615224872839</v>
      </c>
      <c r="Q160">
        <f t="shared" si="46"/>
        <v>0</v>
      </c>
      <c r="R160" s="30">
        <f t="shared" si="47"/>
        <v>0</v>
      </c>
      <c r="S160" s="30">
        <f t="shared" si="48"/>
        <v>0</v>
      </c>
      <c r="T160" s="30">
        <f t="shared" si="49"/>
        <v>39780.615224872839</v>
      </c>
      <c r="U160">
        <f t="shared" si="50"/>
        <v>0</v>
      </c>
      <c r="V160" s="30">
        <f t="shared" si="51"/>
        <v>0</v>
      </c>
      <c r="W160" s="30">
        <f t="shared" si="52"/>
        <v>0</v>
      </c>
      <c r="X160" s="30">
        <f t="shared" si="53"/>
        <v>39780.615224872839</v>
      </c>
      <c r="Y160">
        <f t="shared" si="54"/>
        <v>0</v>
      </c>
    </row>
    <row r="161" spans="1:25" x14ac:dyDescent="0.25">
      <c r="A161" s="4" t="s">
        <v>971</v>
      </c>
      <c r="B161" s="7" t="s">
        <v>493</v>
      </c>
      <c r="C161" s="2" t="s">
        <v>972</v>
      </c>
      <c r="D161">
        <f>VLOOKUP(B161,'Model allocations'!$A$1:$L$319,6,FALSE)</f>
        <v>25993.966293451467</v>
      </c>
      <c r="E161" s="32">
        <f>VLOOKUP(B161,'Initial adjusted formula count'!$A$1:$P$319,12,FALSE)</f>
        <v>0.10294117647058799</v>
      </c>
      <c r="F161">
        <f>VLOOKUP(B161,'Model allocations'!$A$1:$L$319,11,FALSE)</f>
        <v>22094.871349433746</v>
      </c>
      <c r="G161" s="31">
        <f t="shared" si="55"/>
        <v>0.85</v>
      </c>
      <c r="H161">
        <f t="shared" si="56"/>
        <v>22094.871349433746</v>
      </c>
      <c r="I161">
        <f t="shared" si="38"/>
        <v>0</v>
      </c>
      <c r="J161">
        <f t="shared" si="39"/>
        <v>22094.871349433746</v>
      </c>
      <c r="K161">
        <f t="shared" si="40"/>
        <v>22090.389265598871</v>
      </c>
      <c r="L161">
        <f t="shared" si="41"/>
        <v>22090.389265598871</v>
      </c>
      <c r="M161">
        <f t="shared" si="42"/>
        <v>22094.871349433746</v>
      </c>
      <c r="N161" s="30">
        <f t="shared" si="43"/>
        <v>0</v>
      </c>
      <c r="O161" s="30">
        <f t="shared" si="44"/>
        <v>0</v>
      </c>
      <c r="P161" s="30">
        <f t="shared" si="45"/>
        <v>22094.871349433746</v>
      </c>
      <c r="Q161">
        <f t="shared" si="46"/>
        <v>0</v>
      </c>
      <c r="R161" s="30">
        <f t="shared" si="47"/>
        <v>0</v>
      </c>
      <c r="S161" s="30">
        <f t="shared" si="48"/>
        <v>0</v>
      </c>
      <c r="T161" s="30">
        <f t="shared" si="49"/>
        <v>22094.871349433746</v>
      </c>
      <c r="U161">
        <f t="shared" si="50"/>
        <v>0</v>
      </c>
      <c r="V161" s="30">
        <f t="shared" si="51"/>
        <v>0</v>
      </c>
      <c r="W161" s="30">
        <f t="shared" si="52"/>
        <v>0</v>
      </c>
      <c r="X161" s="30">
        <f t="shared" si="53"/>
        <v>22094.871349433746</v>
      </c>
      <c r="Y161">
        <f t="shared" si="54"/>
        <v>0</v>
      </c>
    </row>
    <row r="162" spans="1:25" x14ac:dyDescent="0.25">
      <c r="A162" s="4" t="s">
        <v>973</v>
      </c>
      <c r="B162" s="7" t="s">
        <v>495</v>
      </c>
      <c r="C162" s="2" t="s">
        <v>974</v>
      </c>
      <c r="D162">
        <f>VLOOKUP(B162,'Model allocations'!$A$1:$L$319,6,FALSE)</f>
        <v>60446.938902913309</v>
      </c>
      <c r="E162" s="32">
        <f>VLOOKUP(B162,'Initial adjusted formula count'!$A$1:$P$319,12,FALSE)</f>
        <v>0.27667984189723299</v>
      </c>
      <c r="F162">
        <f>VLOOKUP(B162,'Model allocations'!$A$1:$L$319,11,FALSE)</f>
        <v>58740.495176451295</v>
      </c>
      <c r="G162" s="31">
        <f t="shared" si="55"/>
        <v>0.9</v>
      </c>
      <c r="H162">
        <f t="shared" si="56"/>
        <v>54402.245012621977</v>
      </c>
      <c r="I162">
        <f t="shared" si="38"/>
        <v>0</v>
      </c>
      <c r="J162">
        <f t="shared" si="39"/>
        <v>58740.495176451295</v>
      </c>
      <c r="K162">
        <f t="shared" si="40"/>
        <v>58728.579296982301</v>
      </c>
      <c r="L162">
        <f t="shared" si="41"/>
        <v>58728.579296982301</v>
      </c>
      <c r="M162">
        <f t="shared" si="42"/>
        <v>0</v>
      </c>
      <c r="N162" s="30">
        <f t="shared" si="43"/>
        <v>58728.579296982301</v>
      </c>
      <c r="O162" s="30">
        <f t="shared" si="44"/>
        <v>58727.083398768234</v>
      </c>
      <c r="P162" s="30">
        <f t="shared" si="45"/>
        <v>58727.083398768234</v>
      </c>
      <c r="Q162">
        <f t="shared" si="46"/>
        <v>0</v>
      </c>
      <c r="R162" s="30">
        <f t="shared" si="47"/>
        <v>58727.083398768234</v>
      </c>
      <c r="S162" s="30">
        <f t="shared" si="48"/>
        <v>58727.083398768271</v>
      </c>
      <c r="T162" s="30">
        <f t="shared" si="49"/>
        <v>58727.083398768271</v>
      </c>
      <c r="U162">
        <f t="shared" si="50"/>
        <v>0</v>
      </c>
      <c r="V162" s="30">
        <f t="shared" si="51"/>
        <v>58727.083398768271</v>
      </c>
      <c r="W162" s="30">
        <f t="shared" si="52"/>
        <v>58727.083398768271</v>
      </c>
      <c r="X162" s="30">
        <f t="shared" si="53"/>
        <v>58727.083398768271</v>
      </c>
      <c r="Y162">
        <f t="shared" si="54"/>
        <v>0</v>
      </c>
    </row>
    <row r="163" spans="1:25" x14ac:dyDescent="0.25">
      <c r="A163" s="4" t="s">
        <v>975</v>
      </c>
      <c r="B163" s="7" t="s">
        <v>497</v>
      </c>
      <c r="C163" s="2" t="s">
        <v>976</v>
      </c>
      <c r="D163">
        <f>VLOOKUP(B163,'Model allocations'!$A$1:$L$319,6,FALSE)</f>
        <v>219676.17345903194</v>
      </c>
      <c r="E163" s="32">
        <f>VLOOKUP(B163,'Initial adjusted formula count'!$A$1:$P$319,12,FALSE)</f>
        <v>0.19442458899213699</v>
      </c>
      <c r="F163">
        <f>VLOOKUP(B163,'Model allocations'!$A$1:$L$319,11,FALSE)</f>
        <v>197708.55611312875</v>
      </c>
      <c r="G163" s="31">
        <f t="shared" si="55"/>
        <v>0.9</v>
      </c>
      <c r="H163">
        <f t="shared" si="56"/>
        <v>197708.55611312875</v>
      </c>
      <c r="I163">
        <f t="shared" si="38"/>
        <v>0</v>
      </c>
      <c r="J163">
        <f t="shared" si="39"/>
        <v>197708.55611312875</v>
      </c>
      <c r="K163">
        <f t="shared" si="40"/>
        <v>197668.44968710089</v>
      </c>
      <c r="L163">
        <f t="shared" si="41"/>
        <v>197668.44968710089</v>
      </c>
      <c r="M163">
        <f t="shared" si="42"/>
        <v>197708.55611312875</v>
      </c>
      <c r="N163" s="30">
        <f t="shared" si="43"/>
        <v>0</v>
      </c>
      <c r="O163" s="30">
        <f t="shared" si="44"/>
        <v>0</v>
      </c>
      <c r="P163" s="30">
        <f t="shared" si="45"/>
        <v>197708.55611312875</v>
      </c>
      <c r="Q163">
        <f t="shared" si="46"/>
        <v>0</v>
      </c>
      <c r="R163" s="30">
        <f t="shared" si="47"/>
        <v>0</v>
      </c>
      <c r="S163" s="30">
        <f t="shared" si="48"/>
        <v>0</v>
      </c>
      <c r="T163" s="30">
        <f t="shared" si="49"/>
        <v>197708.55611312875</v>
      </c>
      <c r="U163">
        <f t="shared" si="50"/>
        <v>0</v>
      </c>
      <c r="V163" s="30">
        <f t="shared" si="51"/>
        <v>0</v>
      </c>
      <c r="W163" s="30">
        <f t="shared" si="52"/>
        <v>0</v>
      </c>
      <c r="X163" s="30">
        <f t="shared" si="53"/>
        <v>197708.55611312875</v>
      </c>
      <c r="Y163">
        <f t="shared" si="54"/>
        <v>0</v>
      </c>
    </row>
    <row r="164" spans="1:25" x14ac:dyDescent="0.25">
      <c r="A164" s="4" t="s">
        <v>977</v>
      </c>
      <c r="B164" s="7" t="s">
        <v>499</v>
      </c>
      <c r="C164" s="2" t="s">
        <v>978</v>
      </c>
      <c r="D164">
        <f>VLOOKUP(B164,'Model allocations'!$A$1:$L$319,6,FALSE)</f>
        <v>136075.1135529431</v>
      </c>
      <c r="E164" s="32">
        <f>VLOOKUP(B164,'Initial adjusted formula count'!$A$1:$P$319,12,FALSE)</f>
        <v>6.8458093410108806E-2</v>
      </c>
      <c r="F164">
        <f>VLOOKUP(B164,'Model allocations'!$A$1:$L$319,11,FALSE)</f>
        <v>115663.84652000164</v>
      </c>
      <c r="G164" s="31">
        <f t="shared" si="55"/>
        <v>0.85</v>
      </c>
      <c r="H164">
        <f t="shared" si="56"/>
        <v>115663.84652000164</v>
      </c>
      <c r="I164">
        <f t="shared" si="38"/>
        <v>0</v>
      </c>
      <c r="J164">
        <f t="shared" si="39"/>
        <v>115663.84652000164</v>
      </c>
      <c r="K164">
        <f t="shared" si="40"/>
        <v>115640.38338013683</v>
      </c>
      <c r="L164">
        <f t="shared" si="41"/>
        <v>115640.38338013683</v>
      </c>
      <c r="M164">
        <f t="shared" si="42"/>
        <v>115663.84652000164</v>
      </c>
      <c r="N164" s="30">
        <f t="shared" si="43"/>
        <v>0</v>
      </c>
      <c r="O164" s="30">
        <f t="shared" si="44"/>
        <v>0</v>
      </c>
      <c r="P164" s="30">
        <f t="shared" si="45"/>
        <v>115663.84652000164</v>
      </c>
      <c r="Q164">
        <f t="shared" si="46"/>
        <v>0</v>
      </c>
      <c r="R164" s="30">
        <f t="shared" si="47"/>
        <v>0</v>
      </c>
      <c r="S164" s="30">
        <f t="shared" si="48"/>
        <v>0</v>
      </c>
      <c r="T164" s="30">
        <f t="shared" si="49"/>
        <v>115663.84652000164</v>
      </c>
      <c r="U164">
        <f t="shared" si="50"/>
        <v>0</v>
      </c>
      <c r="V164" s="30">
        <f t="shared" si="51"/>
        <v>0</v>
      </c>
      <c r="W164" s="30">
        <f t="shared" si="52"/>
        <v>0</v>
      </c>
      <c r="X164" s="30">
        <f t="shared" si="53"/>
        <v>115663.84652000164</v>
      </c>
      <c r="Y164">
        <f t="shared" si="54"/>
        <v>0</v>
      </c>
    </row>
    <row r="165" spans="1:25" x14ac:dyDescent="0.25">
      <c r="A165" s="4" t="s">
        <v>979</v>
      </c>
      <c r="B165" s="7" t="s">
        <v>181</v>
      </c>
      <c r="C165" s="2" t="s">
        <v>980</v>
      </c>
      <c r="D165">
        <f>VLOOKUP(B165,'Model allocations'!$A$1:$L$319,6,FALSE)</f>
        <v>163545.37126296549</v>
      </c>
      <c r="E165" s="32">
        <f>VLOOKUP(B165,'Initial adjusted formula count'!$A$1:$P$319,12,FALSE)</f>
        <v>9.41176470588235E-2</v>
      </c>
      <c r="F165">
        <f>VLOOKUP(B165,'Model allocations'!$A$1:$L$319,11,FALSE)</f>
        <v>139013.56557352067</v>
      </c>
      <c r="G165" s="31">
        <f t="shared" si="55"/>
        <v>0.85</v>
      </c>
      <c r="H165">
        <f t="shared" si="56"/>
        <v>139013.56557352067</v>
      </c>
      <c r="I165">
        <f t="shared" si="38"/>
        <v>0</v>
      </c>
      <c r="J165">
        <f t="shared" si="39"/>
        <v>139013.56557352067</v>
      </c>
      <c r="K165">
        <f t="shared" si="40"/>
        <v>138985.36579605957</v>
      </c>
      <c r="L165">
        <f t="shared" si="41"/>
        <v>138985.36579605957</v>
      </c>
      <c r="M165">
        <f t="shared" si="42"/>
        <v>139013.56557352067</v>
      </c>
      <c r="N165" s="30">
        <f t="shared" si="43"/>
        <v>0</v>
      </c>
      <c r="O165" s="30">
        <f t="shared" si="44"/>
        <v>0</v>
      </c>
      <c r="P165" s="30">
        <f t="shared" si="45"/>
        <v>139013.56557352067</v>
      </c>
      <c r="Q165">
        <f t="shared" si="46"/>
        <v>0</v>
      </c>
      <c r="R165" s="30">
        <f t="shared" si="47"/>
        <v>0</v>
      </c>
      <c r="S165" s="30">
        <f t="shared" si="48"/>
        <v>0</v>
      </c>
      <c r="T165" s="30">
        <f t="shared" si="49"/>
        <v>139013.56557352067</v>
      </c>
      <c r="U165">
        <f t="shared" si="50"/>
        <v>0</v>
      </c>
      <c r="V165" s="30">
        <f t="shared" si="51"/>
        <v>0</v>
      </c>
      <c r="W165" s="30">
        <f t="shared" si="52"/>
        <v>0</v>
      </c>
      <c r="X165" s="30">
        <f t="shared" si="53"/>
        <v>139013.56557352067</v>
      </c>
      <c r="Y165">
        <f t="shared" si="54"/>
        <v>0</v>
      </c>
    </row>
    <row r="166" spans="1:25" x14ac:dyDescent="0.25">
      <c r="A166" s="4" t="s">
        <v>981</v>
      </c>
      <c r="B166" s="7" t="s">
        <v>501</v>
      </c>
      <c r="C166" s="2" t="s">
        <v>982</v>
      </c>
      <c r="D166">
        <f>VLOOKUP(B166,'Model allocations'!$A$1:$L$319,6,FALSE)</f>
        <v>121008.80420478916</v>
      </c>
      <c r="E166" s="32">
        <f>VLOOKUP(B166,'Initial adjusted formula count'!$A$1:$P$319,12,FALSE)</f>
        <v>0.23613086770981501</v>
      </c>
      <c r="F166">
        <f>VLOOKUP(B166,'Model allocations'!$A$1:$L$319,11,FALSE)</f>
        <v>122767.37082752226</v>
      </c>
      <c r="G166" s="31">
        <f t="shared" si="55"/>
        <v>0.9</v>
      </c>
      <c r="H166">
        <f t="shared" si="56"/>
        <v>108907.92378431025</v>
      </c>
      <c r="I166">
        <f t="shared" si="38"/>
        <v>0</v>
      </c>
      <c r="J166">
        <f t="shared" si="39"/>
        <v>122767.37082752226</v>
      </c>
      <c r="K166">
        <f t="shared" si="40"/>
        <v>122742.46669300464</v>
      </c>
      <c r="L166">
        <f t="shared" si="41"/>
        <v>122742.46669300464</v>
      </c>
      <c r="M166">
        <f t="shared" si="42"/>
        <v>0</v>
      </c>
      <c r="N166" s="30">
        <f t="shared" si="43"/>
        <v>122742.46669300464</v>
      </c>
      <c r="O166" s="30">
        <f t="shared" si="44"/>
        <v>122739.34027246262</v>
      </c>
      <c r="P166" s="30">
        <f t="shared" si="45"/>
        <v>122739.34027246262</v>
      </c>
      <c r="Q166">
        <f t="shared" si="46"/>
        <v>0</v>
      </c>
      <c r="R166" s="30">
        <f t="shared" si="47"/>
        <v>122739.34027246262</v>
      </c>
      <c r="S166" s="30">
        <f t="shared" si="48"/>
        <v>122739.34027246271</v>
      </c>
      <c r="T166" s="30">
        <f t="shared" si="49"/>
        <v>122739.34027246271</v>
      </c>
      <c r="U166">
        <f t="shared" si="50"/>
        <v>0</v>
      </c>
      <c r="V166" s="30">
        <f t="shared" si="51"/>
        <v>122739.34027246271</v>
      </c>
      <c r="W166" s="30">
        <f t="shared" si="52"/>
        <v>122739.34027246271</v>
      </c>
      <c r="X166" s="30">
        <f t="shared" si="53"/>
        <v>122739.34027246271</v>
      </c>
      <c r="Y166">
        <f t="shared" si="54"/>
        <v>0</v>
      </c>
    </row>
    <row r="167" spans="1:25" x14ac:dyDescent="0.25">
      <c r="A167" s="4" t="s">
        <v>983</v>
      </c>
      <c r="B167" s="7" t="s">
        <v>503</v>
      </c>
      <c r="C167" s="2" t="s">
        <v>984</v>
      </c>
      <c r="D167">
        <f>VLOOKUP(B167,'Model allocations'!$A$1:$L$319,6,FALSE)</f>
        <v>180918.07877728579</v>
      </c>
      <c r="E167" s="32">
        <f>VLOOKUP(B167,'Initial adjusted formula count'!$A$1:$P$319,12,FALSE)</f>
        <v>0.187245590230665</v>
      </c>
      <c r="F167">
        <f>VLOOKUP(B167,'Model allocations'!$A$1:$L$319,11,FALSE)</f>
        <v>264599.09386138263</v>
      </c>
      <c r="G167" s="31">
        <f t="shared" si="55"/>
        <v>0.9</v>
      </c>
      <c r="H167">
        <f t="shared" si="56"/>
        <v>162826.27089955722</v>
      </c>
      <c r="I167">
        <f t="shared" si="38"/>
        <v>0</v>
      </c>
      <c r="J167">
        <f t="shared" si="39"/>
        <v>264599.09386138263</v>
      </c>
      <c r="K167">
        <f t="shared" si="40"/>
        <v>264545.41826841078</v>
      </c>
      <c r="L167">
        <f t="shared" si="41"/>
        <v>264545.41826841078</v>
      </c>
      <c r="M167">
        <f t="shared" si="42"/>
        <v>0</v>
      </c>
      <c r="N167" s="30">
        <f t="shared" si="43"/>
        <v>264545.41826841078</v>
      </c>
      <c r="O167" s="30">
        <f t="shared" si="44"/>
        <v>264538.67993039091</v>
      </c>
      <c r="P167" s="30">
        <f t="shared" si="45"/>
        <v>264538.67993039091</v>
      </c>
      <c r="Q167">
        <f t="shared" si="46"/>
        <v>0</v>
      </c>
      <c r="R167" s="30">
        <f t="shared" si="47"/>
        <v>264538.67993039091</v>
      </c>
      <c r="S167" s="30">
        <f t="shared" si="48"/>
        <v>264538.67993039108</v>
      </c>
      <c r="T167" s="30">
        <f t="shared" si="49"/>
        <v>264538.67993039108</v>
      </c>
      <c r="U167">
        <f t="shared" si="50"/>
        <v>0</v>
      </c>
      <c r="V167" s="30">
        <f t="shared" si="51"/>
        <v>264538.67993039108</v>
      </c>
      <c r="W167" s="30">
        <f t="shared" si="52"/>
        <v>264538.67993039108</v>
      </c>
      <c r="X167" s="30">
        <f t="shared" si="53"/>
        <v>264538.67993039108</v>
      </c>
      <c r="Y167">
        <f t="shared" si="54"/>
        <v>0</v>
      </c>
    </row>
    <row r="168" spans="1:25" x14ac:dyDescent="0.25">
      <c r="A168" s="4" t="s">
        <v>985</v>
      </c>
      <c r="B168" s="7" t="s">
        <v>183</v>
      </c>
      <c r="C168" s="2" t="s">
        <v>986</v>
      </c>
      <c r="D168">
        <f>VLOOKUP(B168,'Model allocations'!$A$1:$L$319,6,FALSE)</f>
        <v>341170.80760155054</v>
      </c>
      <c r="E168" s="32">
        <f>VLOOKUP(B168,'Initial adjusted formula count'!$A$1:$P$319,12,FALSE)</f>
        <v>8.0519118057493705E-2</v>
      </c>
      <c r="F168">
        <f>VLOOKUP(B168,'Model allocations'!$A$1:$L$319,11,FALSE)</f>
        <v>327524.2505904932</v>
      </c>
      <c r="G168" s="31">
        <f t="shared" si="55"/>
        <v>0.85</v>
      </c>
      <c r="H168">
        <f t="shared" si="56"/>
        <v>289995.18646131794</v>
      </c>
      <c r="I168">
        <f t="shared" si="38"/>
        <v>0</v>
      </c>
      <c r="J168">
        <f t="shared" si="39"/>
        <v>327524.2505904932</v>
      </c>
      <c r="K168">
        <f t="shared" si="40"/>
        <v>327457.81023309601</v>
      </c>
      <c r="L168">
        <f t="shared" si="41"/>
        <v>327457.81023309601</v>
      </c>
      <c r="M168">
        <f t="shared" si="42"/>
        <v>0</v>
      </c>
      <c r="N168" s="30">
        <f t="shared" si="43"/>
        <v>327457.81023309601</v>
      </c>
      <c r="O168" s="30">
        <f t="shared" si="44"/>
        <v>327449.46942936169</v>
      </c>
      <c r="P168" s="30">
        <f t="shared" si="45"/>
        <v>327449.46942936169</v>
      </c>
      <c r="Q168">
        <f t="shared" si="46"/>
        <v>0</v>
      </c>
      <c r="R168" s="30">
        <f t="shared" si="47"/>
        <v>327449.46942936169</v>
      </c>
      <c r="S168" s="30">
        <f t="shared" si="48"/>
        <v>327449.46942936192</v>
      </c>
      <c r="T168" s="30">
        <f t="shared" si="49"/>
        <v>327449.46942936192</v>
      </c>
      <c r="U168">
        <f t="shared" si="50"/>
        <v>0</v>
      </c>
      <c r="V168" s="30">
        <f t="shared" si="51"/>
        <v>327449.46942936192</v>
      </c>
      <c r="W168" s="30">
        <f t="shared" si="52"/>
        <v>327449.46942936192</v>
      </c>
      <c r="X168" s="30">
        <f t="shared" si="53"/>
        <v>327449.46942936192</v>
      </c>
      <c r="Y168">
        <f t="shared" si="54"/>
        <v>0</v>
      </c>
    </row>
    <row r="169" spans="1:25" x14ac:dyDescent="0.25">
      <c r="A169" s="4" t="s">
        <v>987</v>
      </c>
      <c r="B169" s="7" t="s">
        <v>505</v>
      </c>
      <c r="C169" s="2" t="s">
        <v>988</v>
      </c>
      <c r="D169">
        <f>VLOOKUP(B169,'Model allocations'!$A$1:$L$319,6,FALSE)</f>
        <v>224991.18140869256</v>
      </c>
      <c r="E169" s="32">
        <f>VLOOKUP(B169,'Initial adjusted formula count'!$A$1:$P$319,12,FALSE)</f>
        <v>0.14198036006546599</v>
      </c>
      <c r="F169">
        <f>VLOOKUP(B169,'Model allocations'!$A$1:$L$319,11,FALSE)</f>
        <v>196968.65676759297</v>
      </c>
      <c r="G169" s="31">
        <f t="shared" si="55"/>
        <v>0.85</v>
      </c>
      <c r="H169">
        <f t="shared" si="56"/>
        <v>191242.50419738868</v>
      </c>
      <c r="I169">
        <f t="shared" si="38"/>
        <v>0</v>
      </c>
      <c r="J169">
        <f t="shared" si="39"/>
        <v>196968.65676759297</v>
      </c>
      <c r="K169">
        <f t="shared" si="40"/>
        <v>196928.70043480818</v>
      </c>
      <c r="L169">
        <f t="shared" si="41"/>
        <v>196928.70043480818</v>
      </c>
      <c r="M169">
        <f t="shared" si="42"/>
        <v>0</v>
      </c>
      <c r="N169" s="30">
        <f t="shared" si="43"/>
        <v>196928.70043480818</v>
      </c>
      <c r="O169" s="30">
        <f t="shared" si="44"/>
        <v>196923.68438819496</v>
      </c>
      <c r="P169" s="30">
        <f t="shared" si="45"/>
        <v>196923.68438819496</v>
      </c>
      <c r="Q169">
        <f t="shared" si="46"/>
        <v>0</v>
      </c>
      <c r="R169" s="30">
        <f t="shared" si="47"/>
        <v>196923.68438819496</v>
      </c>
      <c r="S169" s="30">
        <f t="shared" si="48"/>
        <v>196923.68438819508</v>
      </c>
      <c r="T169" s="30">
        <f t="shared" si="49"/>
        <v>196923.68438819508</v>
      </c>
      <c r="U169">
        <f t="shared" si="50"/>
        <v>0</v>
      </c>
      <c r="V169" s="30">
        <f t="shared" si="51"/>
        <v>196923.68438819508</v>
      </c>
      <c r="W169" s="30">
        <f t="shared" si="52"/>
        <v>196923.68438819508</v>
      </c>
      <c r="X169" s="30">
        <f t="shared" si="53"/>
        <v>196923.68438819508</v>
      </c>
      <c r="Y169">
        <f t="shared" si="54"/>
        <v>0</v>
      </c>
    </row>
    <row r="170" spans="1:25" x14ac:dyDescent="0.25">
      <c r="A170" s="4" t="s">
        <v>989</v>
      </c>
      <c r="B170" s="7" t="s">
        <v>507</v>
      </c>
      <c r="C170" s="2" t="s">
        <v>990</v>
      </c>
      <c r="D170">
        <f>VLOOKUP(B170,'Model allocations'!$A$1:$L$319,6,FALSE)</f>
        <v>0</v>
      </c>
      <c r="E170" s="32">
        <f>VLOOKUP(B170,'Initial adjusted formula count'!$A$1:$P$319,12,FALSE)</f>
        <v>0.134615384615385</v>
      </c>
      <c r="F170">
        <f>VLOOKUP(B170,'Model allocations'!$A$1:$L$319,11,FALSE)</f>
        <v>0</v>
      </c>
      <c r="G170" s="31">
        <f t="shared" si="55"/>
        <v>0.85</v>
      </c>
      <c r="H170">
        <f t="shared" si="56"/>
        <v>0</v>
      </c>
      <c r="I170">
        <f t="shared" si="38"/>
        <v>0</v>
      </c>
      <c r="J170">
        <f t="shared" si="39"/>
        <v>0</v>
      </c>
      <c r="K170">
        <f t="shared" si="40"/>
        <v>0</v>
      </c>
      <c r="L170">
        <f t="shared" si="41"/>
        <v>0</v>
      </c>
      <c r="M170">
        <f t="shared" si="42"/>
        <v>0</v>
      </c>
      <c r="N170" s="30">
        <f t="shared" si="43"/>
        <v>0</v>
      </c>
      <c r="O170" s="30">
        <f t="shared" si="44"/>
        <v>0</v>
      </c>
      <c r="P170" s="30">
        <f t="shared" si="45"/>
        <v>0</v>
      </c>
      <c r="Q170">
        <f t="shared" si="46"/>
        <v>0</v>
      </c>
      <c r="R170" s="30">
        <f t="shared" si="47"/>
        <v>0</v>
      </c>
      <c r="S170" s="30">
        <f t="shared" si="48"/>
        <v>0</v>
      </c>
      <c r="T170" s="30">
        <f t="shared" si="49"/>
        <v>0</v>
      </c>
      <c r="U170">
        <f t="shared" si="50"/>
        <v>0</v>
      </c>
      <c r="V170" s="30">
        <f t="shared" si="51"/>
        <v>0</v>
      </c>
      <c r="W170" s="30">
        <f t="shared" si="52"/>
        <v>0</v>
      </c>
      <c r="X170" s="30">
        <f t="shared" si="53"/>
        <v>0</v>
      </c>
      <c r="Y170">
        <f t="shared" si="54"/>
        <v>0</v>
      </c>
    </row>
    <row r="171" spans="1:25" x14ac:dyDescent="0.25">
      <c r="A171" s="4" t="s">
        <v>991</v>
      </c>
      <c r="B171" s="7" t="s">
        <v>185</v>
      </c>
      <c r="C171" s="2" t="s">
        <v>992</v>
      </c>
      <c r="D171">
        <f>VLOOKUP(B171,'Model allocations'!$A$1:$L$319,6,FALSE)</f>
        <v>1296178.2984036685</v>
      </c>
      <c r="E171" s="32">
        <f>VLOOKUP(B171,'Initial adjusted formula count'!$A$1:$P$319,12,FALSE)</f>
        <v>8.7953436416014996E-2</v>
      </c>
      <c r="F171">
        <f>VLOOKUP(B171,'Model allocations'!$A$1:$L$319,11,FALSE)</f>
        <v>1101751.5536431181</v>
      </c>
      <c r="G171" s="31">
        <f t="shared" si="55"/>
        <v>0.85</v>
      </c>
      <c r="H171">
        <f t="shared" si="56"/>
        <v>1101751.5536431181</v>
      </c>
      <c r="I171">
        <f t="shared" si="38"/>
        <v>0</v>
      </c>
      <c r="J171">
        <f t="shared" si="39"/>
        <v>1101751.5536431181</v>
      </c>
      <c r="K171">
        <f t="shared" si="40"/>
        <v>1101528.0564002271</v>
      </c>
      <c r="L171">
        <f t="shared" si="41"/>
        <v>1101528.0564002271</v>
      </c>
      <c r="M171">
        <f t="shared" si="42"/>
        <v>1101751.5536431181</v>
      </c>
      <c r="N171" s="30">
        <f t="shared" si="43"/>
        <v>0</v>
      </c>
      <c r="O171" s="30">
        <f t="shared" si="44"/>
        <v>0</v>
      </c>
      <c r="P171" s="30">
        <f t="shared" si="45"/>
        <v>1101751.5536431181</v>
      </c>
      <c r="Q171">
        <f t="shared" si="46"/>
        <v>0</v>
      </c>
      <c r="R171" s="30">
        <f t="shared" si="47"/>
        <v>0</v>
      </c>
      <c r="S171" s="30">
        <f t="shared" si="48"/>
        <v>0</v>
      </c>
      <c r="T171" s="30">
        <f t="shared" si="49"/>
        <v>1101751.5536431181</v>
      </c>
      <c r="U171">
        <f t="shared" si="50"/>
        <v>0</v>
      </c>
      <c r="V171" s="30">
        <f t="shared" si="51"/>
        <v>0</v>
      </c>
      <c r="W171" s="30">
        <f t="shared" si="52"/>
        <v>0</v>
      </c>
      <c r="X171" s="30">
        <f t="shared" si="53"/>
        <v>1101751.5536431181</v>
      </c>
      <c r="Y171">
        <f t="shared" si="54"/>
        <v>0</v>
      </c>
    </row>
    <row r="172" spans="1:25" x14ac:dyDescent="0.25">
      <c r="A172" s="4" t="s">
        <v>993</v>
      </c>
      <c r="B172" s="7" t="s">
        <v>509</v>
      </c>
      <c r="C172" s="2" t="s">
        <v>994</v>
      </c>
      <c r="D172">
        <f>VLOOKUP(B172,'Model allocations'!$A$1:$L$319,6,FALSE)</f>
        <v>50543.520988006043</v>
      </c>
      <c r="E172" s="32">
        <f>VLOOKUP(B172,'Initial adjusted formula count'!$A$1:$P$319,12,FALSE)</f>
        <v>0.32444444444444398</v>
      </c>
      <c r="F172">
        <f>VLOOKUP(B172,'Model allocations'!$A$1:$L$319,11,FALSE)</f>
        <v>69678.726643442191</v>
      </c>
      <c r="G172" s="31">
        <f t="shared" si="55"/>
        <v>0.95</v>
      </c>
      <c r="H172">
        <f t="shared" si="56"/>
        <v>48016.34493860574</v>
      </c>
      <c r="I172">
        <f t="shared" si="38"/>
        <v>0</v>
      </c>
      <c r="J172">
        <f t="shared" si="39"/>
        <v>69678.726643442191</v>
      </c>
      <c r="K172">
        <f t="shared" si="40"/>
        <v>69664.591874817197</v>
      </c>
      <c r="L172">
        <f t="shared" si="41"/>
        <v>69664.591874817197</v>
      </c>
      <c r="M172">
        <f t="shared" si="42"/>
        <v>0</v>
      </c>
      <c r="N172" s="30">
        <f t="shared" si="43"/>
        <v>69664.591874817197</v>
      </c>
      <c r="O172" s="30">
        <f t="shared" si="44"/>
        <v>69662.817421223779</v>
      </c>
      <c r="P172" s="30">
        <f t="shared" si="45"/>
        <v>69662.817421223779</v>
      </c>
      <c r="Q172">
        <f t="shared" si="46"/>
        <v>0</v>
      </c>
      <c r="R172" s="30">
        <f t="shared" si="47"/>
        <v>69662.817421223779</v>
      </c>
      <c r="S172" s="30">
        <f t="shared" si="48"/>
        <v>69662.817421223823</v>
      </c>
      <c r="T172" s="30">
        <f t="shared" si="49"/>
        <v>69662.817421223823</v>
      </c>
      <c r="U172">
        <f t="shared" si="50"/>
        <v>0</v>
      </c>
      <c r="V172" s="30">
        <f t="shared" si="51"/>
        <v>69662.817421223823</v>
      </c>
      <c r="W172" s="30">
        <f t="shared" si="52"/>
        <v>69662.817421223823</v>
      </c>
      <c r="X172" s="30">
        <f t="shared" si="53"/>
        <v>69662.817421223823</v>
      </c>
      <c r="Y172">
        <f t="shared" si="54"/>
        <v>0</v>
      </c>
    </row>
    <row r="173" spans="1:25" x14ac:dyDescent="0.25">
      <c r="A173" s="4" t="s">
        <v>995</v>
      </c>
      <c r="B173" s="7" t="s">
        <v>187</v>
      </c>
      <c r="C173" s="2" t="s">
        <v>996</v>
      </c>
      <c r="D173">
        <f>VLOOKUP(B173,'Model allocations'!$A$1:$L$319,6,FALSE)</f>
        <v>0</v>
      </c>
      <c r="E173" s="32">
        <f>VLOOKUP(B173,'Initial adjusted formula count'!$A$1:$P$319,12,FALSE)</f>
        <v>3.7772526299740802E-2</v>
      </c>
      <c r="F173">
        <f>VLOOKUP(B173,'Model allocations'!$A$1:$L$319,11,FALSE)</f>
        <v>0</v>
      </c>
      <c r="G173" s="31">
        <f t="shared" si="55"/>
        <v>0.85</v>
      </c>
      <c r="H173">
        <f t="shared" si="56"/>
        <v>0</v>
      </c>
      <c r="I173">
        <f t="shared" si="38"/>
        <v>0</v>
      </c>
      <c r="J173">
        <f t="shared" si="39"/>
        <v>0</v>
      </c>
      <c r="K173">
        <f t="shared" si="40"/>
        <v>0</v>
      </c>
      <c r="L173">
        <f t="shared" si="41"/>
        <v>0</v>
      </c>
      <c r="M173">
        <f t="shared" si="42"/>
        <v>0</v>
      </c>
      <c r="N173" s="30">
        <f t="shared" si="43"/>
        <v>0</v>
      </c>
      <c r="O173" s="30">
        <f t="shared" si="44"/>
        <v>0</v>
      </c>
      <c r="P173" s="30">
        <f t="shared" si="45"/>
        <v>0</v>
      </c>
      <c r="Q173">
        <f t="shared" si="46"/>
        <v>0</v>
      </c>
      <c r="R173" s="30">
        <f t="shared" si="47"/>
        <v>0</v>
      </c>
      <c r="S173" s="30">
        <f t="shared" si="48"/>
        <v>0</v>
      </c>
      <c r="T173" s="30">
        <f t="shared" si="49"/>
        <v>0</v>
      </c>
      <c r="U173">
        <f t="shared" si="50"/>
        <v>0</v>
      </c>
      <c r="V173" s="30">
        <f t="shared" si="51"/>
        <v>0</v>
      </c>
      <c r="W173" s="30">
        <f t="shared" si="52"/>
        <v>0</v>
      </c>
      <c r="X173" s="30">
        <f t="shared" si="53"/>
        <v>0</v>
      </c>
      <c r="Y173">
        <f t="shared" si="54"/>
        <v>0</v>
      </c>
    </row>
    <row r="174" spans="1:25" x14ac:dyDescent="0.25">
      <c r="A174" s="4" t="s">
        <v>997</v>
      </c>
      <c r="B174" s="7" t="s">
        <v>189</v>
      </c>
      <c r="C174" s="2" t="s">
        <v>998</v>
      </c>
      <c r="D174">
        <f>VLOOKUP(B174,'Model allocations'!$A$1:$L$319,6,FALSE)</f>
        <v>303262.94009026705</v>
      </c>
      <c r="E174" s="32">
        <f>VLOOKUP(B174,'Initial adjusted formula count'!$A$1:$P$319,12,FALSE)</f>
        <v>6.9097569097569103E-2</v>
      </c>
      <c r="F174">
        <f>VLOOKUP(B174,'Model allocations'!$A$1:$L$319,11,FALSE)</f>
        <v>257773.49907672699</v>
      </c>
      <c r="G174" s="31">
        <f t="shared" si="55"/>
        <v>0.85</v>
      </c>
      <c r="H174">
        <f t="shared" si="56"/>
        <v>257773.49907672699</v>
      </c>
      <c r="I174">
        <f t="shared" si="38"/>
        <v>0</v>
      </c>
      <c r="J174">
        <f t="shared" si="39"/>
        <v>257773.49907672699</v>
      </c>
      <c r="K174">
        <f t="shared" si="40"/>
        <v>257721.20809865344</v>
      </c>
      <c r="L174">
        <f t="shared" si="41"/>
        <v>257721.20809865344</v>
      </c>
      <c r="M174">
        <f t="shared" si="42"/>
        <v>257773.49907672699</v>
      </c>
      <c r="N174" s="30">
        <f t="shared" si="43"/>
        <v>0</v>
      </c>
      <c r="O174" s="30">
        <f t="shared" si="44"/>
        <v>0</v>
      </c>
      <c r="P174" s="30">
        <f t="shared" si="45"/>
        <v>257773.49907672699</v>
      </c>
      <c r="Q174">
        <f t="shared" si="46"/>
        <v>0</v>
      </c>
      <c r="R174" s="30">
        <f t="shared" si="47"/>
        <v>0</v>
      </c>
      <c r="S174" s="30">
        <f t="shared" si="48"/>
        <v>0</v>
      </c>
      <c r="T174" s="30">
        <f t="shared" si="49"/>
        <v>257773.49907672699</v>
      </c>
      <c r="U174">
        <f t="shared" si="50"/>
        <v>0</v>
      </c>
      <c r="V174" s="30">
        <f t="shared" si="51"/>
        <v>0</v>
      </c>
      <c r="W174" s="30">
        <f t="shared" si="52"/>
        <v>0</v>
      </c>
      <c r="X174" s="30">
        <f t="shared" si="53"/>
        <v>257773.49907672699</v>
      </c>
      <c r="Y174">
        <f t="shared" si="54"/>
        <v>0</v>
      </c>
    </row>
    <row r="175" spans="1:25" x14ac:dyDescent="0.25">
      <c r="A175" s="4" t="s">
        <v>999</v>
      </c>
      <c r="B175" s="7" t="s">
        <v>191</v>
      </c>
      <c r="C175" s="2" t="s">
        <v>1000</v>
      </c>
      <c r="D175">
        <f>VLOOKUP(B175,'Model allocations'!$A$1:$L$319,6,FALSE)</f>
        <v>6498.4915733628668</v>
      </c>
      <c r="E175" s="32">
        <f>VLOOKUP(B175,'Initial adjusted formula count'!$A$1:$P$319,12,FALSE)</f>
        <v>0.134920634920635</v>
      </c>
      <c r="F175">
        <f>VLOOKUP(B175,'Model allocations'!$A$1:$L$319,11,FALSE)</f>
        <v>9649.7612825621909</v>
      </c>
      <c r="G175" s="31">
        <f t="shared" si="55"/>
        <v>0.85</v>
      </c>
      <c r="H175">
        <f t="shared" si="56"/>
        <v>5523.7178373584366</v>
      </c>
      <c r="I175">
        <f t="shared" si="38"/>
        <v>0</v>
      </c>
      <c r="J175">
        <f t="shared" si="39"/>
        <v>9649.7612825621909</v>
      </c>
      <c r="K175">
        <f t="shared" si="40"/>
        <v>9647.8037676995355</v>
      </c>
      <c r="L175">
        <f t="shared" si="41"/>
        <v>9647.8037676995355</v>
      </c>
      <c r="M175">
        <f t="shared" si="42"/>
        <v>0</v>
      </c>
      <c r="N175" s="30">
        <f t="shared" si="43"/>
        <v>9647.8037676995355</v>
      </c>
      <c r="O175" s="30">
        <f t="shared" si="44"/>
        <v>9647.5580247818871</v>
      </c>
      <c r="P175" s="30">
        <f t="shared" si="45"/>
        <v>9647.5580247818871</v>
      </c>
      <c r="Q175">
        <f t="shared" si="46"/>
        <v>0</v>
      </c>
      <c r="R175" s="30">
        <f t="shared" si="47"/>
        <v>9647.5580247818871</v>
      </c>
      <c r="S175" s="30">
        <f t="shared" si="48"/>
        <v>9647.5580247818925</v>
      </c>
      <c r="T175" s="30">
        <f t="shared" si="49"/>
        <v>9647.5580247818925</v>
      </c>
      <c r="U175">
        <f t="shared" si="50"/>
        <v>0</v>
      </c>
      <c r="V175" s="30">
        <f t="shared" si="51"/>
        <v>9647.5580247818925</v>
      </c>
      <c r="W175" s="30">
        <f t="shared" si="52"/>
        <v>9647.5580247818925</v>
      </c>
      <c r="X175" s="30">
        <f t="shared" si="53"/>
        <v>9647.5580247818925</v>
      </c>
      <c r="Y175">
        <f t="shared" si="54"/>
        <v>0</v>
      </c>
    </row>
    <row r="176" spans="1:25" x14ac:dyDescent="0.25">
      <c r="A176" s="4" t="s">
        <v>1001</v>
      </c>
      <c r="B176" s="7" t="s">
        <v>511</v>
      </c>
      <c r="C176" s="2" t="s">
        <v>1002</v>
      </c>
      <c r="D176">
        <f>VLOOKUP(B176,'Model allocations'!$A$1:$L$319,6,FALSE)</f>
        <v>46564.993303371579</v>
      </c>
      <c r="E176" s="32">
        <f>VLOOKUP(B176,'Initial adjusted formula count'!$A$1:$P$319,12,FALSE)</f>
        <v>0.25333333333333302</v>
      </c>
      <c r="F176">
        <f>VLOOKUP(B176,'Model allocations'!$A$1:$L$319,11,FALSE)</f>
        <v>89570.361399029644</v>
      </c>
      <c r="G176" s="31">
        <f t="shared" si="55"/>
        <v>0.9</v>
      </c>
      <c r="H176">
        <f t="shared" si="56"/>
        <v>41908.493973034419</v>
      </c>
      <c r="I176">
        <f t="shared" si="38"/>
        <v>0</v>
      </c>
      <c r="J176">
        <f t="shared" si="39"/>
        <v>89570.361399029644</v>
      </c>
      <c r="K176">
        <f t="shared" si="40"/>
        <v>89552.191486991636</v>
      </c>
      <c r="L176">
        <f t="shared" si="41"/>
        <v>89552.191486991636</v>
      </c>
      <c r="M176">
        <f t="shared" si="42"/>
        <v>0</v>
      </c>
      <c r="N176" s="30">
        <f t="shared" si="43"/>
        <v>89552.191486991636</v>
      </c>
      <c r="O176" s="30">
        <f t="shared" si="44"/>
        <v>89549.910468705231</v>
      </c>
      <c r="P176" s="30">
        <f t="shared" si="45"/>
        <v>89549.910468705231</v>
      </c>
      <c r="Q176">
        <f t="shared" si="46"/>
        <v>0</v>
      </c>
      <c r="R176" s="30">
        <f t="shared" si="47"/>
        <v>89549.910468705231</v>
      </c>
      <c r="S176" s="30">
        <f t="shared" si="48"/>
        <v>89549.910468705304</v>
      </c>
      <c r="T176" s="30">
        <f t="shared" si="49"/>
        <v>89549.910468705304</v>
      </c>
      <c r="U176">
        <f t="shared" si="50"/>
        <v>0</v>
      </c>
      <c r="V176" s="30">
        <f t="shared" si="51"/>
        <v>89549.910468705304</v>
      </c>
      <c r="W176" s="30">
        <f t="shared" si="52"/>
        <v>89549.910468705304</v>
      </c>
      <c r="X176" s="30">
        <f t="shared" si="53"/>
        <v>89549.910468705304</v>
      </c>
      <c r="Y176">
        <f t="shared" si="54"/>
        <v>0</v>
      </c>
    </row>
    <row r="177" spans="1:25" x14ac:dyDescent="0.25">
      <c r="A177" s="4" t="s">
        <v>1003</v>
      </c>
      <c r="B177" s="7" t="s">
        <v>513</v>
      </c>
      <c r="C177" s="2" t="s">
        <v>1004</v>
      </c>
      <c r="D177">
        <f>VLOOKUP(B177,'Model allocations'!$A$1:$L$319,6,FALSE)</f>
        <v>133456.21804227008</v>
      </c>
      <c r="E177" s="32">
        <f>VLOOKUP(B177,'Initial adjusted formula count'!$A$1:$P$319,12,FALSE)</f>
        <v>0.182425978987584</v>
      </c>
      <c r="F177">
        <f>VLOOKUP(B177,'Model allocations'!$A$1:$L$319,11,FALSE)</f>
        <v>120286.00566783841</v>
      </c>
      <c r="G177" s="31">
        <f t="shared" si="55"/>
        <v>0.9</v>
      </c>
      <c r="H177">
        <f t="shared" si="56"/>
        <v>120110.59623804307</v>
      </c>
      <c r="I177">
        <f t="shared" si="38"/>
        <v>0</v>
      </c>
      <c r="J177">
        <f t="shared" si="39"/>
        <v>120286.00566783841</v>
      </c>
      <c r="K177">
        <f t="shared" si="40"/>
        <v>120261.60489387423</v>
      </c>
      <c r="L177">
        <f t="shared" si="41"/>
        <v>120261.60489387423</v>
      </c>
      <c r="M177">
        <f t="shared" si="42"/>
        <v>0</v>
      </c>
      <c r="N177" s="30">
        <f t="shared" si="43"/>
        <v>120261.60489387423</v>
      </c>
      <c r="O177" s="30">
        <f t="shared" si="44"/>
        <v>120258.54166431657</v>
      </c>
      <c r="P177" s="30">
        <f t="shared" si="45"/>
        <v>120258.54166431657</v>
      </c>
      <c r="Q177">
        <f t="shared" si="46"/>
        <v>0</v>
      </c>
      <c r="R177" s="30">
        <f t="shared" si="47"/>
        <v>120258.54166431657</v>
      </c>
      <c r="S177" s="30">
        <f t="shared" si="48"/>
        <v>120258.54166431664</v>
      </c>
      <c r="T177" s="30">
        <f t="shared" si="49"/>
        <v>120258.54166431664</v>
      </c>
      <c r="U177">
        <f t="shared" si="50"/>
        <v>0</v>
      </c>
      <c r="V177" s="30">
        <f t="shared" si="51"/>
        <v>120258.54166431664</v>
      </c>
      <c r="W177" s="30">
        <f t="shared" si="52"/>
        <v>120258.54166431664</v>
      </c>
      <c r="X177" s="30">
        <f t="shared" si="53"/>
        <v>120258.54166431664</v>
      </c>
      <c r="Y177">
        <f t="shared" si="54"/>
        <v>0</v>
      </c>
    </row>
    <row r="178" spans="1:25" x14ac:dyDescent="0.25">
      <c r="A178" s="4" t="s">
        <v>1005</v>
      </c>
      <c r="B178" s="7" t="s">
        <v>515</v>
      </c>
      <c r="C178" s="2" t="s">
        <v>1006</v>
      </c>
      <c r="D178">
        <f>VLOOKUP(B178,'Model allocations'!$A$1:$L$319,6,FALSE)</f>
        <v>162944.49094733928</v>
      </c>
      <c r="E178" s="32">
        <f>VLOOKUP(B178,'Initial adjusted formula count'!$A$1:$P$319,12,FALSE)</f>
        <v>0.30151515151515201</v>
      </c>
      <c r="F178">
        <f>VLOOKUP(B178,'Model allocations'!$A$1:$L$319,11,FALSE)</f>
        <v>176496.68820663722</v>
      </c>
      <c r="G178" s="31">
        <f t="shared" si="55"/>
        <v>0.95</v>
      </c>
      <c r="H178">
        <f t="shared" si="56"/>
        <v>154797.26639997232</v>
      </c>
      <c r="I178">
        <f t="shared" si="38"/>
        <v>0</v>
      </c>
      <c r="J178">
        <f t="shared" si="39"/>
        <v>176496.68820663722</v>
      </c>
      <c r="K178">
        <f t="shared" si="40"/>
        <v>176460.88474163358</v>
      </c>
      <c r="L178">
        <f t="shared" si="41"/>
        <v>176460.88474163358</v>
      </c>
      <c r="M178">
        <f t="shared" si="42"/>
        <v>0</v>
      </c>
      <c r="N178" s="30">
        <f t="shared" si="43"/>
        <v>176460.88474163358</v>
      </c>
      <c r="O178" s="30">
        <f t="shared" si="44"/>
        <v>176456.39003862019</v>
      </c>
      <c r="P178" s="30">
        <f t="shared" si="45"/>
        <v>176456.39003862019</v>
      </c>
      <c r="Q178">
        <f t="shared" si="46"/>
        <v>0</v>
      </c>
      <c r="R178" s="30">
        <f t="shared" si="47"/>
        <v>176456.39003862019</v>
      </c>
      <c r="S178" s="30">
        <f t="shared" si="48"/>
        <v>176456.3900386203</v>
      </c>
      <c r="T178" s="30">
        <f t="shared" si="49"/>
        <v>176456.3900386203</v>
      </c>
      <c r="U178">
        <f t="shared" si="50"/>
        <v>0</v>
      </c>
      <c r="V178" s="30">
        <f t="shared" si="51"/>
        <v>176456.3900386203</v>
      </c>
      <c r="W178" s="30">
        <f t="shared" si="52"/>
        <v>176456.3900386203</v>
      </c>
      <c r="X178" s="30">
        <f t="shared" si="53"/>
        <v>176456.3900386203</v>
      </c>
      <c r="Y178">
        <f t="shared" si="54"/>
        <v>0</v>
      </c>
    </row>
    <row r="179" spans="1:25" x14ac:dyDescent="0.25">
      <c r="A179" s="4" t="s">
        <v>1007</v>
      </c>
      <c r="B179" s="7" t="s">
        <v>292</v>
      </c>
      <c r="C179" s="2" t="s">
        <v>1008</v>
      </c>
      <c r="D179">
        <f>VLOOKUP(B179,'Model allocations'!$A$1:$L$319,6,FALSE)</f>
        <v>22203.179542323138</v>
      </c>
      <c r="E179" s="32">
        <f>VLOOKUP(B179,'Initial adjusted formula count'!$A$1:$P$319,12,FALSE)</f>
        <v>0.106451612903226</v>
      </c>
      <c r="F179">
        <f>VLOOKUP(B179,'Model allocations'!$A$1:$L$319,11,FALSE)</f>
        <v>18872.702610974666</v>
      </c>
      <c r="G179" s="31">
        <f t="shared" si="55"/>
        <v>0.85</v>
      </c>
      <c r="H179">
        <f t="shared" si="56"/>
        <v>18872.702610974666</v>
      </c>
      <c r="I179">
        <f t="shared" si="38"/>
        <v>0</v>
      </c>
      <c r="J179">
        <f t="shared" si="39"/>
        <v>18872.702610974666</v>
      </c>
      <c r="K179">
        <f t="shared" si="40"/>
        <v>18868.874164365712</v>
      </c>
      <c r="L179">
        <f t="shared" si="41"/>
        <v>18868.874164365712</v>
      </c>
      <c r="M179">
        <f t="shared" si="42"/>
        <v>18872.702610974666</v>
      </c>
      <c r="N179" s="30">
        <f t="shared" si="43"/>
        <v>0</v>
      </c>
      <c r="O179" s="30">
        <f t="shared" si="44"/>
        <v>0</v>
      </c>
      <c r="P179" s="30">
        <f t="shared" si="45"/>
        <v>18872.702610974666</v>
      </c>
      <c r="Q179">
        <f t="shared" si="46"/>
        <v>0</v>
      </c>
      <c r="R179" s="30">
        <f t="shared" si="47"/>
        <v>0</v>
      </c>
      <c r="S179" s="30">
        <f t="shared" si="48"/>
        <v>0</v>
      </c>
      <c r="T179" s="30">
        <f t="shared" si="49"/>
        <v>18872.702610974666</v>
      </c>
      <c r="U179">
        <f t="shared" si="50"/>
        <v>0</v>
      </c>
      <c r="V179" s="30">
        <f t="shared" si="51"/>
        <v>0</v>
      </c>
      <c r="W179" s="30">
        <f t="shared" si="52"/>
        <v>0</v>
      </c>
      <c r="X179" s="30">
        <f t="shared" si="53"/>
        <v>18872.702610974666</v>
      </c>
      <c r="Y179">
        <f t="shared" si="54"/>
        <v>0</v>
      </c>
    </row>
    <row r="180" spans="1:25" x14ac:dyDescent="0.25">
      <c r="A180" s="4" t="s">
        <v>1009</v>
      </c>
      <c r="B180" s="7" t="s">
        <v>517</v>
      </c>
      <c r="C180" s="2" t="s">
        <v>1010</v>
      </c>
      <c r="D180">
        <f>VLOOKUP(B180,'Model allocations'!$A$1:$L$319,6,FALSE)</f>
        <v>180063.58241028996</v>
      </c>
      <c r="E180" s="32">
        <f>VLOOKUP(B180,'Initial adjusted formula count'!$A$1:$P$319,12,FALSE)</f>
        <v>0.18061224489795899</v>
      </c>
      <c r="F180">
        <f>VLOOKUP(B180,'Model allocations'!$A$1:$L$319,11,FALSE)</f>
        <v>162057.22416926097</v>
      </c>
      <c r="G180" s="31">
        <f t="shared" si="55"/>
        <v>0.9</v>
      </c>
      <c r="H180">
        <f t="shared" si="56"/>
        <v>162057.22416926097</v>
      </c>
      <c r="I180">
        <f t="shared" si="38"/>
        <v>0</v>
      </c>
      <c r="J180">
        <f t="shared" si="39"/>
        <v>162057.22416926097</v>
      </c>
      <c r="K180">
        <f t="shared" si="40"/>
        <v>162024.34984049542</v>
      </c>
      <c r="L180">
        <f t="shared" si="41"/>
        <v>162024.34984049542</v>
      </c>
      <c r="M180">
        <f t="shared" si="42"/>
        <v>162057.22416926097</v>
      </c>
      <c r="N180" s="30">
        <f t="shared" si="43"/>
        <v>0</v>
      </c>
      <c r="O180" s="30">
        <f t="shared" si="44"/>
        <v>0</v>
      </c>
      <c r="P180" s="30">
        <f t="shared" si="45"/>
        <v>162057.22416926097</v>
      </c>
      <c r="Q180">
        <f t="shared" si="46"/>
        <v>0</v>
      </c>
      <c r="R180" s="30">
        <f t="shared" si="47"/>
        <v>0</v>
      </c>
      <c r="S180" s="30">
        <f t="shared" si="48"/>
        <v>0</v>
      </c>
      <c r="T180" s="30">
        <f t="shared" si="49"/>
        <v>162057.22416926097</v>
      </c>
      <c r="U180">
        <f t="shared" si="50"/>
        <v>0</v>
      </c>
      <c r="V180" s="30">
        <f t="shared" si="51"/>
        <v>0</v>
      </c>
      <c r="W180" s="30">
        <f t="shared" si="52"/>
        <v>0</v>
      </c>
      <c r="X180" s="30">
        <f t="shared" si="53"/>
        <v>162057.22416926097</v>
      </c>
      <c r="Y180">
        <f t="shared" si="54"/>
        <v>0</v>
      </c>
    </row>
    <row r="181" spans="1:25" x14ac:dyDescent="0.25">
      <c r="A181" s="4" t="s">
        <v>1011</v>
      </c>
      <c r="B181" s="7" t="s">
        <v>193</v>
      </c>
      <c r="C181" s="2" t="s">
        <v>1012</v>
      </c>
      <c r="D181">
        <f>VLOOKUP(B181,'Model allocations'!$A$1:$L$319,6,FALSE)</f>
        <v>779548.21832132072</v>
      </c>
      <c r="E181" s="32">
        <f>VLOOKUP(B181,'Initial adjusted formula count'!$A$1:$P$319,12,FALSE)</f>
        <v>0.105926496055417</v>
      </c>
      <c r="F181">
        <f>VLOOKUP(B181,'Model allocations'!$A$1:$L$319,11,FALSE)</f>
        <v>741328.71970742487</v>
      </c>
      <c r="G181" s="31">
        <f t="shared" si="55"/>
        <v>0.85</v>
      </c>
      <c r="H181">
        <f t="shared" si="56"/>
        <v>662615.98557312263</v>
      </c>
      <c r="I181">
        <f t="shared" si="38"/>
        <v>0</v>
      </c>
      <c r="J181">
        <f t="shared" si="39"/>
        <v>741328.71970742487</v>
      </c>
      <c r="K181">
        <f t="shared" si="40"/>
        <v>741178.33650679979</v>
      </c>
      <c r="L181">
        <f t="shared" si="41"/>
        <v>741178.33650679979</v>
      </c>
      <c r="M181">
        <f t="shared" si="42"/>
        <v>0</v>
      </c>
      <c r="N181" s="30">
        <f t="shared" si="43"/>
        <v>741178.33650679979</v>
      </c>
      <c r="O181" s="30">
        <f t="shared" si="44"/>
        <v>741159.45766853797</v>
      </c>
      <c r="P181" s="30">
        <f t="shared" si="45"/>
        <v>741159.45766853797</v>
      </c>
      <c r="Q181">
        <f t="shared" si="46"/>
        <v>0</v>
      </c>
      <c r="R181" s="30">
        <f t="shared" si="47"/>
        <v>741159.45766853797</v>
      </c>
      <c r="S181" s="30">
        <f t="shared" si="48"/>
        <v>741159.45766853844</v>
      </c>
      <c r="T181" s="30">
        <f t="shared" si="49"/>
        <v>741159.45766853844</v>
      </c>
      <c r="U181">
        <f t="shared" si="50"/>
        <v>0</v>
      </c>
      <c r="V181" s="30">
        <f t="shared" si="51"/>
        <v>741159.45766853844</v>
      </c>
      <c r="W181" s="30">
        <f t="shared" si="52"/>
        <v>741159.45766853844</v>
      </c>
      <c r="X181" s="30">
        <f t="shared" si="53"/>
        <v>741159.45766853844</v>
      </c>
      <c r="Y181">
        <f t="shared" si="54"/>
        <v>0</v>
      </c>
    </row>
    <row r="182" spans="1:25" x14ac:dyDescent="0.25">
      <c r="A182" s="4" t="s">
        <v>1013</v>
      </c>
      <c r="B182" s="7" t="s">
        <v>519</v>
      </c>
      <c r="C182" s="2" t="s">
        <v>1014</v>
      </c>
      <c r="D182">
        <f>VLOOKUP(B182,'Model allocations'!$A$1:$L$319,6,FALSE)</f>
        <v>353418.54384952731</v>
      </c>
      <c r="E182" s="32">
        <f>VLOOKUP(B182,'Initial adjusted formula count'!$A$1:$P$319,12,FALSE)</f>
        <v>0.196373056994819</v>
      </c>
      <c r="F182">
        <f>VLOOKUP(B182,'Model allocations'!$A$1:$L$319,11,FALSE)</f>
        <v>318076.68946457456</v>
      </c>
      <c r="G182" s="31">
        <f t="shared" si="55"/>
        <v>0.9</v>
      </c>
      <c r="H182">
        <f t="shared" si="56"/>
        <v>318076.68946457456</v>
      </c>
      <c r="I182">
        <f t="shared" si="38"/>
        <v>0</v>
      </c>
      <c r="J182">
        <f t="shared" si="39"/>
        <v>318076.68946457456</v>
      </c>
      <c r="K182">
        <f t="shared" si="40"/>
        <v>318012.16560446454</v>
      </c>
      <c r="L182">
        <f t="shared" si="41"/>
        <v>318012.16560446454</v>
      </c>
      <c r="M182">
        <f t="shared" si="42"/>
        <v>318076.68946457456</v>
      </c>
      <c r="N182" s="30">
        <f t="shared" si="43"/>
        <v>0</v>
      </c>
      <c r="O182" s="30">
        <f t="shared" si="44"/>
        <v>0</v>
      </c>
      <c r="P182" s="30">
        <f t="shared" si="45"/>
        <v>318076.68946457456</v>
      </c>
      <c r="Q182">
        <f t="shared" si="46"/>
        <v>0</v>
      </c>
      <c r="R182" s="30">
        <f t="shared" si="47"/>
        <v>0</v>
      </c>
      <c r="S182" s="30">
        <f t="shared" si="48"/>
        <v>0</v>
      </c>
      <c r="T182" s="30">
        <f t="shared" si="49"/>
        <v>318076.68946457456</v>
      </c>
      <c r="U182">
        <f t="shared" si="50"/>
        <v>0</v>
      </c>
      <c r="V182" s="30">
        <f t="shared" si="51"/>
        <v>0</v>
      </c>
      <c r="W182" s="30">
        <f t="shared" si="52"/>
        <v>0</v>
      </c>
      <c r="X182" s="30">
        <f t="shared" si="53"/>
        <v>318076.68946457456</v>
      </c>
      <c r="Y182">
        <f t="shared" si="54"/>
        <v>0</v>
      </c>
    </row>
    <row r="183" spans="1:25" x14ac:dyDescent="0.25">
      <c r="A183" s="4" t="s">
        <v>1015</v>
      </c>
      <c r="B183" s="7" t="s">
        <v>521</v>
      </c>
      <c r="C183" s="2" t="s">
        <v>1016</v>
      </c>
      <c r="D183">
        <f>VLOOKUP(B183,'Model allocations'!$A$1:$L$319,6,FALSE)</f>
        <v>79387.63091586571</v>
      </c>
      <c r="E183" s="32">
        <f>VLOOKUP(B183,'Initial adjusted formula count'!$A$1:$P$319,12,FALSE)</f>
        <v>0.14040728831725599</v>
      </c>
      <c r="F183">
        <f>VLOOKUP(B183,'Model allocations'!$A$1:$L$319,11,FALSE)</f>
        <v>74359.925177390993</v>
      </c>
      <c r="G183" s="31">
        <f t="shared" si="55"/>
        <v>0.85</v>
      </c>
      <c r="H183">
        <f t="shared" si="56"/>
        <v>67479.486278485856</v>
      </c>
      <c r="I183">
        <f t="shared" si="38"/>
        <v>0</v>
      </c>
      <c r="J183">
        <f t="shared" si="39"/>
        <v>74359.925177390993</v>
      </c>
      <c r="K183">
        <f t="shared" si="40"/>
        <v>74344.84079815523</v>
      </c>
      <c r="L183">
        <f t="shared" si="41"/>
        <v>74344.84079815523</v>
      </c>
      <c r="M183">
        <f t="shared" si="42"/>
        <v>0</v>
      </c>
      <c r="N183" s="30">
        <f t="shared" si="43"/>
        <v>74344.84079815523</v>
      </c>
      <c r="O183" s="30">
        <f t="shared" si="44"/>
        <v>74342.947132142755</v>
      </c>
      <c r="P183" s="30">
        <f t="shared" si="45"/>
        <v>74342.947132142755</v>
      </c>
      <c r="Q183">
        <f t="shared" si="46"/>
        <v>0</v>
      </c>
      <c r="R183" s="30">
        <f t="shared" si="47"/>
        <v>74342.947132142755</v>
      </c>
      <c r="S183" s="30">
        <f t="shared" si="48"/>
        <v>74342.947132142799</v>
      </c>
      <c r="T183" s="30">
        <f t="shared" si="49"/>
        <v>74342.947132142799</v>
      </c>
      <c r="U183">
        <f t="shared" si="50"/>
        <v>0</v>
      </c>
      <c r="V183" s="30">
        <f t="shared" si="51"/>
        <v>74342.947132142799</v>
      </c>
      <c r="W183" s="30">
        <f t="shared" si="52"/>
        <v>74342.947132142799</v>
      </c>
      <c r="X183" s="30">
        <f t="shared" si="53"/>
        <v>74342.947132142799</v>
      </c>
      <c r="Y183">
        <f t="shared" si="54"/>
        <v>0</v>
      </c>
    </row>
    <row r="184" spans="1:25" x14ac:dyDescent="0.25">
      <c r="A184" s="4" t="s">
        <v>1017</v>
      </c>
      <c r="B184" s="7" t="s">
        <v>523</v>
      </c>
      <c r="C184" s="2" t="s">
        <v>1018</v>
      </c>
      <c r="D184">
        <f>VLOOKUP(B184,'Model allocations'!$A$1:$L$319,6,FALSE)</f>
        <v>15781.9173363892</v>
      </c>
      <c r="E184" s="32">
        <f>VLOOKUP(B184,'Initial adjusted formula count'!$A$1:$P$319,12,FALSE)</f>
        <v>0.30645161290322598</v>
      </c>
      <c r="F184">
        <f>VLOOKUP(B184,'Model allocations'!$A$1:$L$319,11,FALSE)</f>
        <v>17142.375193709267</v>
      </c>
      <c r="G184" s="31">
        <f t="shared" si="55"/>
        <v>0.95</v>
      </c>
      <c r="H184">
        <f t="shared" si="56"/>
        <v>14992.821469569741</v>
      </c>
      <c r="I184">
        <f t="shared" si="38"/>
        <v>0</v>
      </c>
      <c r="J184">
        <f t="shared" si="39"/>
        <v>17142.375193709267</v>
      </c>
      <c r="K184">
        <f t="shared" si="40"/>
        <v>17138.89775491671</v>
      </c>
      <c r="L184">
        <f t="shared" si="41"/>
        <v>17138.89775491671</v>
      </c>
      <c r="M184">
        <f t="shared" si="42"/>
        <v>0</v>
      </c>
      <c r="N184" s="30">
        <f t="shared" si="43"/>
        <v>17138.89775491671</v>
      </c>
      <c r="O184" s="30">
        <f t="shared" si="44"/>
        <v>17138.461203465107</v>
      </c>
      <c r="P184" s="30">
        <f t="shared" si="45"/>
        <v>17138.461203465107</v>
      </c>
      <c r="Q184">
        <f t="shared" si="46"/>
        <v>0</v>
      </c>
      <c r="R184" s="30">
        <f t="shared" si="47"/>
        <v>17138.461203465107</v>
      </c>
      <c r="S184" s="30">
        <f t="shared" si="48"/>
        <v>17138.461203465118</v>
      </c>
      <c r="T184" s="30">
        <f t="shared" si="49"/>
        <v>17138.461203465118</v>
      </c>
      <c r="U184">
        <f t="shared" si="50"/>
        <v>0</v>
      </c>
      <c r="V184" s="30">
        <f t="shared" si="51"/>
        <v>17138.461203465118</v>
      </c>
      <c r="W184" s="30">
        <f t="shared" si="52"/>
        <v>17138.461203465118</v>
      </c>
      <c r="X184" s="30">
        <f t="shared" si="53"/>
        <v>17138.461203465118</v>
      </c>
      <c r="Y184">
        <f t="shared" si="54"/>
        <v>0</v>
      </c>
    </row>
    <row r="185" spans="1:25" x14ac:dyDescent="0.25">
      <c r="A185" s="4" t="s">
        <v>1019</v>
      </c>
      <c r="B185" s="7" t="s">
        <v>525</v>
      </c>
      <c r="C185" s="2" t="s">
        <v>1020</v>
      </c>
      <c r="D185">
        <f>VLOOKUP(B185,'Model allocations'!$A$1:$L$319,6,FALSE)</f>
        <v>46030.981977986987</v>
      </c>
      <c r="E185" s="32">
        <f>VLOOKUP(B185,'Initial adjusted formula count'!$A$1:$P$319,12,FALSE)</f>
        <v>0.13458262350937</v>
      </c>
      <c r="F185">
        <f>VLOOKUP(B185,'Model allocations'!$A$1:$L$319,11,FALSE)</f>
        <v>44843.008313083112</v>
      </c>
      <c r="G185" s="31">
        <f t="shared" si="55"/>
        <v>0.85</v>
      </c>
      <c r="H185">
        <f t="shared" si="56"/>
        <v>39126.334681288936</v>
      </c>
      <c r="I185">
        <f t="shared" si="38"/>
        <v>0</v>
      </c>
      <c r="J185">
        <f t="shared" si="39"/>
        <v>44843.008313083112</v>
      </c>
      <c r="K185">
        <f t="shared" si="40"/>
        <v>44833.911626368426</v>
      </c>
      <c r="L185">
        <f t="shared" si="41"/>
        <v>44833.911626368426</v>
      </c>
      <c r="M185">
        <f t="shared" si="42"/>
        <v>0</v>
      </c>
      <c r="N185" s="30">
        <f t="shared" si="43"/>
        <v>44833.911626368426</v>
      </c>
      <c r="O185" s="30">
        <f t="shared" si="44"/>
        <v>44832.769644574641</v>
      </c>
      <c r="P185" s="30">
        <f t="shared" si="45"/>
        <v>44832.769644574641</v>
      </c>
      <c r="Q185">
        <f t="shared" si="46"/>
        <v>0</v>
      </c>
      <c r="R185" s="30">
        <f t="shared" si="47"/>
        <v>44832.769644574641</v>
      </c>
      <c r="S185" s="30">
        <f t="shared" si="48"/>
        <v>44832.76964457467</v>
      </c>
      <c r="T185" s="30">
        <f t="shared" si="49"/>
        <v>44832.76964457467</v>
      </c>
      <c r="U185">
        <f t="shared" si="50"/>
        <v>0</v>
      </c>
      <c r="V185" s="30">
        <f t="shared" si="51"/>
        <v>44832.76964457467</v>
      </c>
      <c r="W185" s="30">
        <f t="shared" si="52"/>
        <v>44832.76964457467</v>
      </c>
      <c r="X185" s="30">
        <f t="shared" si="53"/>
        <v>44832.76964457467</v>
      </c>
      <c r="Y185">
        <f t="shared" si="54"/>
        <v>0</v>
      </c>
    </row>
    <row r="186" spans="1:25" x14ac:dyDescent="0.25">
      <c r="A186" s="4" t="s">
        <v>1021</v>
      </c>
      <c r="B186" s="7" t="s">
        <v>294</v>
      </c>
      <c r="C186" s="2" t="s">
        <v>1022</v>
      </c>
      <c r="D186">
        <f>VLOOKUP(B186,'Model allocations'!$A$1:$L$319,6,FALSE)</f>
        <v>0</v>
      </c>
      <c r="E186" s="32">
        <f>VLOOKUP(B186,'Initial adjusted formula count'!$A$1:$P$319,12,FALSE)</f>
        <v>0.13559322033898299</v>
      </c>
      <c r="F186">
        <f>VLOOKUP(B186,'Model allocations'!$A$1:$L$319,11,FALSE)</f>
        <v>13623.192398911327</v>
      </c>
      <c r="G186" s="31">
        <f t="shared" si="55"/>
        <v>0.85</v>
      </c>
      <c r="H186">
        <f t="shared" si="56"/>
        <v>0</v>
      </c>
      <c r="I186">
        <f t="shared" si="38"/>
        <v>0</v>
      </c>
      <c r="J186">
        <f t="shared" si="39"/>
        <v>13623.192398911327</v>
      </c>
      <c r="K186">
        <f t="shared" si="40"/>
        <v>13620.428848516991</v>
      </c>
      <c r="L186">
        <f t="shared" si="41"/>
        <v>13620.428848516991</v>
      </c>
      <c r="M186">
        <f t="shared" si="42"/>
        <v>0</v>
      </c>
      <c r="N186" s="30">
        <f t="shared" si="43"/>
        <v>13620.428848516991</v>
      </c>
      <c r="O186" s="30">
        <f t="shared" si="44"/>
        <v>13620.081917339134</v>
      </c>
      <c r="P186" s="30">
        <f t="shared" si="45"/>
        <v>13620.081917339134</v>
      </c>
      <c r="Q186">
        <f t="shared" si="46"/>
        <v>0</v>
      </c>
      <c r="R186" s="30">
        <f t="shared" si="47"/>
        <v>13620.081917339134</v>
      </c>
      <c r="S186" s="30">
        <f t="shared" si="48"/>
        <v>13620.081917339143</v>
      </c>
      <c r="T186" s="30">
        <f t="shared" si="49"/>
        <v>13620.081917339143</v>
      </c>
      <c r="U186">
        <f t="shared" si="50"/>
        <v>0</v>
      </c>
      <c r="V186" s="30">
        <f t="shared" si="51"/>
        <v>13620.081917339143</v>
      </c>
      <c r="W186" s="30">
        <f t="shared" si="52"/>
        <v>13620.081917339143</v>
      </c>
      <c r="X186" s="30">
        <f t="shared" si="53"/>
        <v>13620.081917339143</v>
      </c>
      <c r="Y186">
        <f t="shared" si="54"/>
        <v>0</v>
      </c>
    </row>
    <row r="187" spans="1:25" x14ac:dyDescent="0.25">
      <c r="A187" s="4" t="s">
        <v>1023</v>
      </c>
      <c r="B187" s="7" t="s">
        <v>527</v>
      </c>
      <c r="C187" s="2" t="s">
        <v>1024</v>
      </c>
      <c r="D187">
        <f>VLOOKUP(B187,'Model allocations'!$A$1:$L$319,6,FALSE)</f>
        <v>22528.253044756493</v>
      </c>
      <c r="E187" s="32">
        <f>VLOOKUP(B187,'Initial adjusted formula count'!$A$1:$P$319,12,FALSE)</f>
        <v>0.28125</v>
      </c>
      <c r="F187">
        <f>VLOOKUP(B187,'Model allocations'!$A$1:$L$319,11,FALSE)</f>
        <v>30548.646635318761</v>
      </c>
      <c r="G187" s="31">
        <f t="shared" si="55"/>
        <v>0.9</v>
      </c>
      <c r="H187">
        <f t="shared" si="56"/>
        <v>20275.427740280844</v>
      </c>
      <c r="I187">
        <f t="shared" si="38"/>
        <v>0</v>
      </c>
      <c r="J187">
        <f t="shared" si="39"/>
        <v>30548.646635318761</v>
      </c>
      <c r="K187">
        <f t="shared" si="40"/>
        <v>30542.449649914503</v>
      </c>
      <c r="L187">
        <f t="shared" si="41"/>
        <v>30542.449649914503</v>
      </c>
      <c r="M187">
        <f t="shared" si="42"/>
        <v>0</v>
      </c>
      <c r="N187" s="30">
        <f t="shared" si="43"/>
        <v>30542.449649914503</v>
      </c>
      <c r="O187" s="30">
        <f t="shared" si="44"/>
        <v>30541.671691441272</v>
      </c>
      <c r="P187" s="30">
        <f t="shared" si="45"/>
        <v>30541.671691441272</v>
      </c>
      <c r="Q187">
        <f t="shared" si="46"/>
        <v>0</v>
      </c>
      <c r="R187" s="30">
        <f t="shared" si="47"/>
        <v>30541.671691441272</v>
      </c>
      <c r="S187" s="30">
        <f t="shared" si="48"/>
        <v>30541.67169144129</v>
      </c>
      <c r="T187" s="30">
        <f t="shared" si="49"/>
        <v>30541.67169144129</v>
      </c>
      <c r="U187">
        <f t="shared" si="50"/>
        <v>0</v>
      </c>
      <c r="V187" s="30">
        <f t="shared" si="51"/>
        <v>30541.67169144129</v>
      </c>
      <c r="W187" s="30">
        <f t="shared" si="52"/>
        <v>30541.67169144129</v>
      </c>
      <c r="X187" s="30">
        <f t="shared" si="53"/>
        <v>30541.67169144129</v>
      </c>
      <c r="Y187">
        <f t="shared" si="54"/>
        <v>0</v>
      </c>
    </row>
    <row r="188" spans="1:25" x14ac:dyDescent="0.25">
      <c r="A188" s="4" t="s">
        <v>1025</v>
      </c>
      <c r="B188" s="7" t="s">
        <v>529</v>
      </c>
      <c r="C188" s="2" t="s">
        <v>1026</v>
      </c>
      <c r="D188">
        <f>VLOOKUP(B188,'Model allocations'!$A$1:$L$319,6,FALSE)</f>
        <v>41015.478600657952</v>
      </c>
      <c r="E188" s="32">
        <f>VLOOKUP(B188,'Initial adjusted formula count'!$A$1:$P$319,12,FALSE)</f>
        <v>0.13026819923371599</v>
      </c>
      <c r="F188">
        <f>VLOOKUP(B188,'Model allocations'!$A$1:$L$319,11,FALSE)</f>
        <v>34863.15681055926</v>
      </c>
      <c r="G188" s="31">
        <f t="shared" si="55"/>
        <v>0.85</v>
      </c>
      <c r="H188">
        <f t="shared" si="56"/>
        <v>34863.15681055926</v>
      </c>
      <c r="I188">
        <f t="shared" si="38"/>
        <v>0</v>
      </c>
      <c r="J188">
        <f t="shared" si="39"/>
        <v>34863.15681055926</v>
      </c>
      <c r="K188">
        <f t="shared" si="40"/>
        <v>34856.084599587673</v>
      </c>
      <c r="L188">
        <f t="shared" si="41"/>
        <v>34856.084599587673</v>
      </c>
      <c r="M188">
        <f t="shared" si="42"/>
        <v>34863.15681055926</v>
      </c>
      <c r="N188" s="30">
        <f t="shared" si="43"/>
        <v>0</v>
      </c>
      <c r="O188" s="30">
        <f t="shared" si="44"/>
        <v>0</v>
      </c>
      <c r="P188" s="30">
        <f t="shared" si="45"/>
        <v>34863.15681055926</v>
      </c>
      <c r="Q188">
        <f t="shared" si="46"/>
        <v>0</v>
      </c>
      <c r="R188" s="30">
        <f t="shared" si="47"/>
        <v>0</v>
      </c>
      <c r="S188" s="30">
        <f t="shared" si="48"/>
        <v>0</v>
      </c>
      <c r="T188" s="30">
        <f t="shared" si="49"/>
        <v>34863.15681055926</v>
      </c>
      <c r="U188">
        <f t="shared" si="50"/>
        <v>0</v>
      </c>
      <c r="V188" s="30">
        <f t="shared" si="51"/>
        <v>0</v>
      </c>
      <c r="W188" s="30">
        <f t="shared" si="52"/>
        <v>0</v>
      </c>
      <c r="X188" s="30">
        <f t="shared" si="53"/>
        <v>34863.15681055926</v>
      </c>
      <c r="Y188">
        <f t="shared" si="54"/>
        <v>0</v>
      </c>
    </row>
    <row r="189" spans="1:25" x14ac:dyDescent="0.25">
      <c r="A189" s="4" t="s">
        <v>1027</v>
      </c>
      <c r="B189" s="7" t="s">
        <v>531</v>
      </c>
      <c r="C189" s="2" t="s">
        <v>1028</v>
      </c>
      <c r="D189">
        <f>VLOOKUP(B189,'Model allocations'!$A$1:$L$319,6,FALSE)</f>
        <v>293772.23658007465</v>
      </c>
      <c r="E189" s="32">
        <f>VLOOKUP(B189,'Initial adjusted formula count'!$A$1:$P$319,12,FALSE)</f>
        <v>0.26056338028169002</v>
      </c>
      <c r="F189">
        <f>VLOOKUP(B189,'Model allocations'!$A$1:$L$319,11,FALSE)</f>
        <v>264395.0129220672</v>
      </c>
      <c r="G189" s="31">
        <f t="shared" si="55"/>
        <v>0.9</v>
      </c>
      <c r="H189">
        <f t="shared" si="56"/>
        <v>264395.0129220672</v>
      </c>
      <c r="I189">
        <f t="shared" si="38"/>
        <v>0</v>
      </c>
      <c r="J189">
        <f t="shared" si="39"/>
        <v>264395.0129220672</v>
      </c>
      <c r="K189">
        <f t="shared" si="40"/>
        <v>264341.3787281994</v>
      </c>
      <c r="L189">
        <f t="shared" si="41"/>
        <v>264341.3787281994</v>
      </c>
      <c r="M189">
        <f t="shared" si="42"/>
        <v>264395.0129220672</v>
      </c>
      <c r="N189" s="30">
        <f t="shared" si="43"/>
        <v>0</v>
      </c>
      <c r="O189" s="30">
        <f t="shared" si="44"/>
        <v>0</v>
      </c>
      <c r="P189" s="30">
        <f t="shared" si="45"/>
        <v>264395.0129220672</v>
      </c>
      <c r="Q189">
        <f t="shared" si="46"/>
        <v>0</v>
      </c>
      <c r="R189" s="30">
        <f t="shared" si="47"/>
        <v>0</v>
      </c>
      <c r="S189" s="30">
        <f t="shared" si="48"/>
        <v>0</v>
      </c>
      <c r="T189" s="30">
        <f t="shared" si="49"/>
        <v>264395.0129220672</v>
      </c>
      <c r="U189">
        <f t="shared" si="50"/>
        <v>0</v>
      </c>
      <c r="V189" s="30">
        <f t="shared" si="51"/>
        <v>0</v>
      </c>
      <c r="W189" s="30">
        <f t="shared" si="52"/>
        <v>0</v>
      </c>
      <c r="X189" s="30">
        <f t="shared" si="53"/>
        <v>264395.0129220672</v>
      </c>
      <c r="Y189">
        <f t="shared" si="54"/>
        <v>0</v>
      </c>
    </row>
    <row r="190" spans="1:25" x14ac:dyDescent="0.25">
      <c r="A190" s="4" t="s">
        <v>1029</v>
      </c>
      <c r="B190" s="7" t="s">
        <v>296</v>
      </c>
      <c r="C190" s="2" t="s">
        <v>1030</v>
      </c>
      <c r="D190">
        <f>VLOOKUP(B190,'Model allocations'!$A$1:$L$319,6,FALSE)</f>
        <v>112098.97964050947</v>
      </c>
      <c r="E190" s="32">
        <f>VLOOKUP(B190,'Initial adjusted formula count'!$A$1:$P$319,12,FALSE)</f>
        <v>5.4478301015697103E-2</v>
      </c>
      <c r="F190">
        <f>VLOOKUP(B190,'Model allocations'!$A$1:$L$319,11,FALSE)</f>
        <v>100471.04394197105</v>
      </c>
      <c r="G190" s="31">
        <f t="shared" si="55"/>
        <v>0.85</v>
      </c>
      <c r="H190">
        <f t="shared" si="56"/>
        <v>95284.13269443305</v>
      </c>
      <c r="I190">
        <f t="shared" si="38"/>
        <v>0</v>
      </c>
      <c r="J190">
        <f t="shared" si="39"/>
        <v>100471.04394197105</v>
      </c>
      <c r="K190">
        <f t="shared" si="40"/>
        <v>100450.66275781281</v>
      </c>
      <c r="L190">
        <f t="shared" si="41"/>
        <v>100450.66275781281</v>
      </c>
      <c r="M190">
        <f t="shared" si="42"/>
        <v>0</v>
      </c>
      <c r="N190" s="30">
        <f t="shared" si="43"/>
        <v>100450.66275781281</v>
      </c>
      <c r="O190" s="30">
        <f t="shared" si="44"/>
        <v>100448.10414037612</v>
      </c>
      <c r="P190" s="30">
        <f t="shared" si="45"/>
        <v>100448.10414037612</v>
      </c>
      <c r="Q190">
        <f t="shared" si="46"/>
        <v>0</v>
      </c>
      <c r="R190" s="30">
        <f t="shared" si="47"/>
        <v>100448.10414037612</v>
      </c>
      <c r="S190" s="30">
        <f t="shared" si="48"/>
        <v>100448.10414037619</v>
      </c>
      <c r="T190" s="30">
        <f t="shared" si="49"/>
        <v>100448.10414037619</v>
      </c>
      <c r="U190">
        <f t="shared" si="50"/>
        <v>0</v>
      </c>
      <c r="V190" s="30">
        <f t="shared" si="51"/>
        <v>100448.10414037619</v>
      </c>
      <c r="W190" s="30">
        <f t="shared" si="52"/>
        <v>100448.10414037619</v>
      </c>
      <c r="X190" s="30">
        <f t="shared" si="53"/>
        <v>100448.10414037619</v>
      </c>
      <c r="Y190">
        <f t="shared" si="54"/>
        <v>0</v>
      </c>
    </row>
    <row r="191" spans="1:25" x14ac:dyDescent="0.25">
      <c r="A191" s="4" t="s">
        <v>1031</v>
      </c>
      <c r="B191" s="7" t="s">
        <v>533</v>
      </c>
      <c r="C191" s="2" t="s">
        <v>1032</v>
      </c>
      <c r="D191">
        <f>VLOOKUP(B191,'Model allocations'!$A$1:$L$319,6,FALSE)</f>
        <v>556087.91906502319</v>
      </c>
      <c r="E191" s="32">
        <f>VLOOKUP(B191,'Initial adjusted formula count'!$A$1:$P$319,12,FALSE)</f>
        <v>0.16240796881767</v>
      </c>
      <c r="F191">
        <f>VLOOKUP(B191,'Model allocations'!$A$1:$L$319,11,FALSE)</f>
        <v>500479.12715852086</v>
      </c>
      <c r="G191" s="31">
        <f t="shared" si="55"/>
        <v>0.9</v>
      </c>
      <c r="H191">
        <f t="shared" si="56"/>
        <v>500479.12715852086</v>
      </c>
      <c r="I191">
        <f t="shared" si="38"/>
        <v>0</v>
      </c>
      <c r="J191">
        <f t="shared" si="39"/>
        <v>500479.12715852086</v>
      </c>
      <c r="K191">
        <f t="shared" si="40"/>
        <v>500377.60181492177</v>
      </c>
      <c r="L191">
        <f t="shared" si="41"/>
        <v>500377.60181492177</v>
      </c>
      <c r="M191">
        <f t="shared" si="42"/>
        <v>500479.12715852086</v>
      </c>
      <c r="N191" s="30">
        <f t="shared" si="43"/>
        <v>0</v>
      </c>
      <c r="O191" s="30">
        <f t="shared" si="44"/>
        <v>0</v>
      </c>
      <c r="P191" s="30">
        <f t="shared" si="45"/>
        <v>500479.12715852086</v>
      </c>
      <c r="Q191">
        <f t="shared" si="46"/>
        <v>0</v>
      </c>
      <c r="R191" s="30">
        <f t="shared" si="47"/>
        <v>0</v>
      </c>
      <c r="S191" s="30">
        <f t="shared" si="48"/>
        <v>0</v>
      </c>
      <c r="T191" s="30">
        <f t="shared" si="49"/>
        <v>500479.12715852086</v>
      </c>
      <c r="U191">
        <f t="shared" si="50"/>
        <v>0</v>
      </c>
      <c r="V191" s="30">
        <f t="shared" si="51"/>
        <v>0</v>
      </c>
      <c r="W191" s="30">
        <f t="shared" si="52"/>
        <v>0</v>
      </c>
      <c r="X191" s="30">
        <f t="shared" si="53"/>
        <v>500479.12715852086</v>
      </c>
      <c r="Y191">
        <f t="shared" si="54"/>
        <v>0</v>
      </c>
    </row>
    <row r="192" spans="1:25" x14ac:dyDescent="0.25">
      <c r="A192" s="4" t="s">
        <v>1033</v>
      </c>
      <c r="B192" s="7" t="s">
        <v>535</v>
      </c>
      <c r="C192" s="2" t="s">
        <v>1034</v>
      </c>
      <c r="D192">
        <f>VLOOKUP(B192,'Model allocations'!$A$1:$L$319,6,FALSE)</f>
        <v>7644.0848501814171</v>
      </c>
      <c r="E192" s="32">
        <f>VLOOKUP(B192,'Initial adjusted formula count'!$A$1:$P$319,12,FALSE)</f>
        <v>0.217391304347826</v>
      </c>
      <c r="F192">
        <f>VLOOKUP(B192,'Model allocations'!$A$1:$L$319,11,FALSE)</f>
        <v>6882.4935632316647</v>
      </c>
      <c r="G192" s="31">
        <f t="shared" si="55"/>
        <v>0.9</v>
      </c>
      <c r="H192">
        <f t="shared" si="56"/>
        <v>6879.6763651632755</v>
      </c>
      <c r="I192">
        <f t="shared" si="38"/>
        <v>0</v>
      </c>
      <c r="J192">
        <f t="shared" si="39"/>
        <v>6882.4935632316647</v>
      </c>
      <c r="K192">
        <f t="shared" si="40"/>
        <v>6881.0974060576527</v>
      </c>
      <c r="L192">
        <f t="shared" si="41"/>
        <v>6881.0974060576527</v>
      </c>
      <c r="M192">
        <f t="shared" si="42"/>
        <v>0</v>
      </c>
      <c r="N192" s="30">
        <f t="shared" si="43"/>
        <v>6881.0974060576527</v>
      </c>
      <c r="O192" s="30">
        <f t="shared" si="44"/>
        <v>6880.9221349810523</v>
      </c>
      <c r="P192" s="30">
        <f t="shared" si="45"/>
        <v>6880.9221349810523</v>
      </c>
      <c r="Q192">
        <f t="shared" si="46"/>
        <v>0</v>
      </c>
      <c r="R192" s="30">
        <f t="shared" si="47"/>
        <v>6880.9221349810523</v>
      </c>
      <c r="S192" s="30">
        <f t="shared" si="48"/>
        <v>6880.9221349810578</v>
      </c>
      <c r="T192" s="30">
        <f t="shared" si="49"/>
        <v>6880.9221349810578</v>
      </c>
      <c r="U192">
        <f t="shared" si="50"/>
        <v>0</v>
      </c>
      <c r="V192" s="30">
        <f t="shared" si="51"/>
        <v>6880.9221349810578</v>
      </c>
      <c r="W192" s="30">
        <f t="shared" si="52"/>
        <v>6880.9221349810578</v>
      </c>
      <c r="X192" s="30">
        <f t="shared" si="53"/>
        <v>6880.9221349810578</v>
      </c>
      <c r="Y192">
        <f t="shared" si="54"/>
        <v>0</v>
      </c>
    </row>
    <row r="193" spans="1:25" x14ac:dyDescent="0.25">
      <c r="A193" s="4" t="s">
        <v>1035</v>
      </c>
      <c r="B193" s="7" t="s">
        <v>537</v>
      </c>
      <c r="C193" s="2" t="s">
        <v>1036</v>
      </c>
      <c r="D193">
        <f>VLOOKUP(B193,'Model allocations'!$A$1:$L$319,6,FALSE)</f>
        <v>12455.44218227883</v>
      </c>
      <c r="E193" s="32">
        <f>VLOOKUP(B193,'Initial adjusted formula count'!$A$1:$P$319,12,FALSE)</f>
        <v>4.6413502109704602E-2</v>
      </c>
      <c r="F193">
        <f>VLOOKUP(B193,'Model allocations'!$A$1:$L$319,11,FALSE)</f>
        <v>0</v>
      </c>
      <c r="G193" s="31">
        <f t="shared" si="55"/>
        <v>0.85</v>
      </c>
      <c r="H193">
        <f t="shared" si="56"/>
        <v>0</v>
      </c>
      <c r="I193">
        <f t="shared" si="38"/>
        <v>0</v>
      </c>
      <c r="J193">
        <f t="shared" si="39"/>
        <v>0</v>
      </c>
      <c r="K193">
        <f t="shared" si="40"/>
        <v>0</v>
      </c>
      <c r="L193">
        <f t="shared" si="41"/>
        <v>0</v>
      </c>
      <c r="M193">
        <f t="shared" si="42"/>
        <v>0</v>
      </c>
      <c r="N193" s="30">
        <f t="shared" si="43"/>
        <v>0</v>
      </c>
      <c r="O193" s="30">
        <f t="shared" si="44"/>
        <v>0</v>
      </c>
      <c r="P193" s="30">
        <f t="shared" si="45"/>
        <v>0</v>
      </c>
      <c r="Q193">
        <f t="shared" si="46"/>
        <v>0</v>
      </c>
      <c r="R193" s="30">
        <f t="shared" si="47"/>
        <v>0</v>
      </c>
      <c r="S193" s="30">
        <f t="shared" si="48"/>
        <v>0</v>
      </c>
      <c r="T193" s="30">
        <f t="shared" si="49"/>
        <v>0</v>
      </c>
      <c r="U193">
        <f t="shared" si="50"/>
        <v>0</v>
      </c>
      <c r="V193" s="30">
        <f t="shared" si="51"/>
        <v>0</v>
      </c>
      <c r="W193" s="30">
        <f t="shared" si="52"/>
        <v>0</v>
      </c>
      <c r="X193" s="30">
        <f t="shared" si="53"/>
        <v>0</v>
      </c>
      <c r="Y193">
        <f t="shared" si="54"/>
        <v>0</v>
      </c>
    </row>
    <row r="194" spans="1:25" x14ac:dyDescent="0.25">
      <c r="A194" s="4" t="s">
        <v>1037</v>
      </c>
      <c r="B194" s="7" t="s">
        <v>539</v>
      </c>
      <c r="C194" s="2" t="s">
        <v>1038</v>
      </c>
      <c r="D194">
        <f>VLOOKUP(B194,'Model allocations'!$A$1:$L$319,6,FALSE)</f>
        <v>2237376.4946123902</v>
      </c>
      <c r="E194" s="32">
        <f>VLOOKUP(B194,'Initial adjusted formula count'!$A$1:$P$319,12,FALSE)</f>
        <v>0.11864739034550401</v>
      </c>
      <c r="F194">
        <f>VLOOKUP(B194,'Model allocations'!$A$1:$L$319,11,FALSE)</f>
        <v>1910368.9174390032</v>
      </c>
      <c r="G194" s="31">
        <f t="shared" si="55"/>
        <v>0.85</v>
      </c>
      <c r="H194">
        <f t="shared" si="56"/>
        <v>1901770.0204205315</v>
      </c>
      <c r="I194">
        <f t="shared" si="38"/>
        <v>0</v>
      </c>
      <c r="J194">
        <f t="shared" si="39"/>
        <v>1910368.9174390032</v>
      </c>
      <c r="K194">
        <f t="shared" si="40"/>
        <v>1909981.3870701643</v>
      </c>
      <c r="L194">
        <f t="shared" si="41"/>
        <v>1909981.3870701643</v>
      </c>
      <c r="M194">
        <f t="shared" si="42"/>
        <v>0</v>
      </c>
      <c r="N194" s="30">
        <f t="shared" si="43"/>
        <v>1909981.3870701643</v>
      </c>
      <c r="O194" s="30">
        <f t="shared" si="44"/>
        <v>1909932.7372002029</v>
      </c>
      <c r="P194" s="30">
        <f t="shared" si="45"/>
        <v>1909932.7372002029</v>
      </c>
      <c r="Q194">
        <f t="shared" si="46"/>
        <v>0</v>
      </c>
      <c r="R194" s="30">
        <f t="shared" si="47"/>
        <v>1909932.7372002029</v>
      </c>
      <c r="S194" s="30">
        <f t="shared" si="48"/>
        <v>1909932.7372002043</v>
      </c>
      <c r="T194" s="30">
        <f t="shared" si="49"/>
        <v>1909932.7372002043</v>
      </c>
      <c r="U194">
        <f t="shared" si="50"/>
        <v>0</v>
      </c>
      <c r="V194" s="30">
        <f t="shared" si="51"/>
        <v>1909932.7372002043</v>
      </c>
      <c r="W194" s="30">
        <f t="shared" si="52"/>
        <v>1909932.7372002043</v>
      </c>
      <c r="X194" s="30">
        <f t="shared" si="53"/>
        <v>1909932.7372002043</v>
      </c>
      <c r="Y194">
        <f t="shared" si="54"/>
        <v>0</v>
      </c>
    </row>
    <row r="195" spans="1:25" x14ac:dyDescent="0.25">
      <c r="A195" s="4" t="s">
        <v>1039</v>
      </c>
      <c r="B195" s="7" t="s">
        <v>541</v>
      </c>
      <c r="C195" s="2" t="s">
        <v>1040</v>
      </c>
      <c r="D195">
        <f>VLOOKUP(B195,'Model allocations'!$A$1:$L$319,6,FALSE)</f>
        <v>44551.972652397075</v>
      </c>
      <c r="E195" s="32">
        <f>VLOOKUP(B195,'Initial adjusted formula count'!$A$1:$P$319,12,FALSE)</f>
        <v>0.13265306122449</v>
      </c>
      <c r="F195">
        <f>VLOOKUP(B195,'Model allocations'!$A$1:$L$319,11,FALSE)</f>
        <v>37869.176754537511</v>
      </c>
      <c r="G195" s="31">
        <f t="shared" si="55"/>
        <v>0.85</v>
      </c>
      <c r="H195">
        <f t="shared" si="56"/>
        <v>37869.176754537511</v>
      </c>
      <c r="I195">
        <f t="shared" si="38"/>
        <v>0</v>
      </c>
      <c r="J195">
        <f t="shared" si="39"/>
        <v>37869.176754537511</v>
      </c>
      <c r="K195">
        <f t="shared" si="40"/>
        <v>37861.494753484549</v>
      </c>
      <c r="L195">
        <f t="shared" si="41"/>
        <v>37861.494753484549</v>
      </c>
      <c r="M195">
        <f t="shared" si="42"/>
        <v>37869.176754537511</v>
      </c>
      <c r="N195" s="30">
        <f t="shared" si="43"/>
        <v>0</v>
      </c>
      <c r="O195" s="30">
        <f t="shared" si="44"/>
        <v>0</v>
      </c>
      <c r="P195" s="30">
        <f t="shared" si="45"/>
        <v>37869.176754537511</v>
      </c>
      <c r="Q195">
        <f t="shared" si="46"/>
        <v>0</v>
      </c>
      <c r="R195" s="30">
        <f t="shared" si="47"/>
        <v>0</v>
      </c>
      <c r="S195" s="30">
        <f t="shared" si="48"/>
        <v>0</v>
      </c>
      <c r="T195" s="30">
        <f t="shared" si="49"/>
        <v>37869.176754537511</v>
      </c>
      <c r="U195">
        <f t="shared" si="50"/>
        <v>0</v>
      </c>
      <c r="V195" s="30">
        <f t="shared" si="51"/>
        <v>0</v>
      </c>
      <c r="W195" s="30">
        <f t="shared" si="52"/>
        <v>0</v>
      </c>
      <c r="X195" s="30">
        <f t="shared" si="53"/>
        <v>37869.176754537511</v>
      </c>
      <c r="Y195">
        <f t="shared" si="54"/>
        <v>0</v>
      </c>
    </row>
    <row r="196" spans="1:25" x14ac:dyDescent="0.25">
      <c r="A196" s="4" t="s">
        <v>1041</v>
      </c>
      <c r="B196" s="7" t="s">
        <v>195</v>
      </c>
      <c r="C196" s="2" t="s">
        <v>1042</v>
      </c>
      <c r="D196">
        <f>VLOOKUP(B196,'Model allocations'!$A$1:$L$319,6,FALSE)</f>
        <v>5415.4096444690585</v>
      </c>
      <c r="E196" s="32">
        <f>VLOOKUP(B196,'Initial adjusted formula count'!$A$1:$P$319,12,FALSE)</f>
        <v>8.04597701149425E-2</v>
      </c>
      <c r="F196">
        <f>VLOOKUP(B196,'Model allocations'!$A$1:$L$319,11,FALSE)</f>
        <v>0</v>
      </c>
      <c r="G196" s="31">
        <f t="shared" si="55"/>
        <v>0.85</v>
      </c>
      <c r="H196">
        <f t="shared" si="56"/>
        <v>0</v>
      </c>
      <c r="I196">
        <f t="shared" ref="I196:I259" si="57">IF(F196&lt;H196,H196,0)</f>
        <v>0</v>
      </c>
      <c r="J196">
        <f t="shared" ref="J196:J259" si="58">IF(I196=0,F196,0)</f>
        <v>0</v>
      </c>
      <c r="K196">
        <f t="shared" ref="K196:K259" si="59">(J196/$J$3)*($F$3-$I$3)</f>
        <v>0</v>
      </c>
      <c r="L196">
        <f t="shared" ref="L196:L259" si="60">I196+K196</f>
        <v>0</v>
      </c>
      <c r="M196">
        <f t="shared" ref="M196:M259" si="61">IF(L196&lt;H196,H196,0)</f>
        <v>0</v>
      </c>
      <c r="N196" s="30">
        <f t="shared" ref="N196:N259" si="62">IF($I196+$M196=0,L196,0)</f>
        <v>0</v>
      </c>
      <c r="O196" s="30">
        <f t="shared" ref="O196:O259" si="63">((N196/$N$3)*($F$3-$I$3-$M$3))</f>
        <v>0</v>
      </c>
      <c r="P196" s="30">
        <f t="shared" ref="P196:P259" si="64">$I196+$M196+O196</f>
        <v>0</v>
      </c>
      <c r="Q196">
        <f t="shared" ref="Q196:Q259" si="65">IF(P196&lt;H196,H196,0)</f>
        <v>0</v>
      </c>
      <c r="R196" s="30">
        <f t="shared" ref="R196:R259" si="66">IF($I196+$M196+$Q196=0,P196,0)</f>
        <v>0</v>
      </c>
      <c r="S196" s="30">
        <f t="shared" ref="S196:S259" si="67">((R196/$R$3)*($F$3-$I$3-$M$3-$Q$3))</f>
        <v>0</v>
      </c>
      <c r="T196" s="30">
        <f t="shared" ref="T196:T259" si="68">$I196+$M196+$Q196+S196</f>
        <v>0</v>
      </c>
      <c r="U196">
        <f t="shared" ref="U196:U259" si="69">IF(T196&lt;H196,H196,0)</f>
        <v>0</v>
      </c>
      <c r="V196" s="30">
        <f t="shared" ref="V196:V259" si="70">IF($I196+$M196+$Q196+U196=0,T196,0)</f>
        <v>0</v>
      </c>
      <c r="W196" s="30">
        <f t="shared" ref="W196:W259" si="71">((V196/$V$3)*($F$3-$I$3-$M$3-$Q$3-$U$3))</f>
        <v>0</v>
      </c>
      <c r="X196" s="30">
        <f t="shared" ref="X196:X259" si="72">$I196+$M196+$Q196+$U196+W196</f>
        <v>0</v>
      </c>
      <c r="Y196">
        <f t="shared" ref="Y196:Y259" si="73">IF(X196&lt;H196,H196,0)</f>
        <v>0</v>
      </c>
    </row>
    <row r="197" spans="1:25" x14ac:dyDescent="0.25">
      <c r="A197" s="4" t="s">
        <v>1043</v>
      </c>
      <c r="B197" s="7" t="s">
        <v>298</v>
      </c>
      <c r="C197" s="2" t="s">
        <v>1044</v>
      </c>
      <c r="D197">
        <f>VLOOKUP(B197,'Model allocations'!$A$1:$L$319,6,FALSE)</f>
        <v>20327.587102430563</v>
      </c>
      <c r="E197" s="32">
        <f>VLOOKUP(B197,'Initial adjusted formula count'!$A$1:$P$319,12,FALSE)</f>
        <v>0.120481927710843</v>
      </c>
      <c r="F197">
        <f>VLOOKUP(B197,'Model allocations'!$A$1:$L$319,11,FALSE)</f>
        <v>17278.449037065977</v>
      </c>
      <c r="G197" s="31">
        <f t="shared" ref="G197:G260" si="74">IF(E197&lt;0.15,0.85,IF(AND(E197&gt;=0.15,E197&lt;0.3),0.9,0.95))</f>
        <v>0.85</v>
      </c>
      <c r="H197">
        <f t="shared" ref="H197:H260" si="75">IF(F197 = 0, 0, D197*G197)</f>
        <v>17278.449037065977</v>
      </c>
      <c r="I197">
        <f t="shared" si="57"/>
        <v>0</v>
      </c>
      <c r="J197">
        <f t="shared" si="58"/>
        <v>17278.449037065977</v>
      </c>
      <c r="K197">
        <f t="shared" si="59"/>
        <v>17274.943994837129</v>
      </c>
      <c r="L197">
        <f t="shared" si="60"/>
        <v>17274.943994837129</v>
      </c>
      <c r="M197">
        <f t="shared" si="61"/>
        <v>17278.449037065977</v>
      </c>
      <c r="N197" s="30">
        <f t="shared" si="62"/>
        <v>0</v>
      </c>
      <c r="O197" s="30">
        <f t="shared" si="63"/>
        <v>0</v>
      </c>
      <c r="P197" s="30">
        <f t="shared" si="64"/>
        <v>17278.449037065977</v>
      </c>
      <c r="Q197">
        <f t="shared" si="65"/>
        <v>0</v>
      </c>
      <c r="R197" s="30">
        <f t="shared" si="66"/>
        <v>0</v>
      </c>
      <c r="S197" s="30">
        <f t="shared" si="67"/>
        <v>0</v>
      </c>
      <c r="T197" s="30">
        <f t="shared" si="68"/>
        <v>17278.449037065977</v>
      </c>
      <c r="U197">
        <f t="shared" si="69"/>
        <v>0</v>
      </c>
      <c r="V197" s="30">
        <f t="shared" si="70"/>
        <v>0</v>
      </c>
      <c r="W197" s="30">
        <f t="shared" si="71"/>
        <v>0</v>
      </c>
      <c r="X197" s="30">
        <f t="shared" si="72"/>
        <v>17278.449037065977</v>
      </c>
      <c r="Y197">
        <f t="shared" si="73"/>
        <v>0</v>
      </c>
    </row>
    <row r="198" spans="1:25" x14ac:dyDescent="0.25">
      <c r="A198" s="4" t="s">
        <v>1045</v>
      </c>
      <c r="B198" s="7" t="s">
        <v>197</v>
      </c>
      <c r="C198" s="2" t="s">
        <v>1046</v>
      </c>
      <c r="D198">
        <f>VLOOKUP(B198,'Model allocations'!$A$1:$L$319,6,FALSE)</f>
        <v>345503.13531712582</v>
      </c>
      <c r="E198" s="32">
        <f>VLOOKUP(B198,'Initial adjusted formula count'!$A$1:$P$319,12,FALSE)</f>
        <v>4.5707438158007402E-2</v>
      </c>
      <c r="F198">
        <f>VLOOKUP(B198,'Model allocations'!$A$1:$L$319,11,FALSE)</f>
        <v>0</v>
      </c>
      <c r="G198" s="31">
        <f t="shared" si="74"/>
        <v>0.85</v>
      </c>
      <c r="H198">
        <f t="shared" si="75"/>
        <v>0</v>
      </c>
      <c r="I198">
        <f t="shared" si="57"/>
        <v>0</v>
      </c>
      <c r="J198">
        <f t="shared" si="58"/>
        <v>0</v>
      </c>
      <c r="K198">
        <f t="shared" si="59"/>
        <v>0</v>
      </c>
      <c r="L198">
        <f t="shared" si="60"/>
        <v>0</v>
      </c>
      <c r="M198">
        <f t="shared" si="61"/>
        <v>0</v>
      </c>
      <c r="N198" s="30">
        <f t="shared" si="62"/>
        <v>0</v>
      </c>
      <c r="O198" s="30">
        <f t="shared" si="63"/>
        <v>0</v>
      </c>
      <c r="P198" s="30">
        <f t="shared" si="64"/>
        <v>0</v>
      </c>
      <c r="Q198">
        <f t="shared" si="65"/>
        <v>0</v>
      </c>
      <c r="R198" s="30">
        <f t="shared" si="66"/>
        <v>0</v>
      </c>
      <c r="S198" s="30">
        <f t="shared" si="67"/>
        <v>0</v>
      </c>
      <c r="T198" s="30">
        <f t="shared" si="68"/>
        <v>0</v>
      </c>
      <c r="U198">
        <f t="shared" si="69"/>
        <v>0</v>
      </c>
      <c r="V198" s="30">
        <f t="shared" si="70"/>
        <v>0</v>
      </c>
      <c r="W198" s="30">
        <f t="shared" si="71"/>
        <v>0</v>
      </c>
      <c r="X198" s="30">
        <f t="shared" si="72"/>
        <v>0</v>
      </c>
      <c r="Y198">
        <f t="shared" si="73"/>
        <v>0</v>
      </c>
    </row>
    <row r="199" spans="1:25" x14ac:dyDescent="0.25">
      <c r="A199" s="4" t="s">
        <v>55</v>
      </c>
      <c r="B199" s="7" t="s">
        <v>87</v>
      </c>
      <c r="C199" s="2" t="s">
        <v>1047</v>
      </c>
      <c r="D199">
        <f>VLOOKUP(B199,'Model allocations'!$A$1:$L$319,6,FALSE)</f>
        <v>18007.853271084059</v>
      </c>
      <c r="E199" s="32">
        <f>VLOOKUP(B199,'Initial adjusted formula count'!$A$1:$P$319,12,FALSE)</f>
        <v>9.7774084557936902E-2</v>
      </c>
      <c r="F199">
        <f>VLOOKUP(B199,'Model allocations'!$A$1:$L$319,11,FALSE)</f>
        <v>18936.940297682413</v>
      </c>
      <c r="G199" s="31">
        <f t="shared" si="74"/>
        <v>0.85</v>
      </c>
      <c r="H199">
        <f t="shared" si="75"/>
        <v>15306.67528042145</v>
      </c>
      <c r="I199">
        <f t="shared" si="57"/>
        <v>0</v>
      </c>
      <c r="J199">
        <f t="shared" si="58"/>
        <v>18936.940297682413</v>
      </c>
      <c r="K199">
        <f t="shared" si="59"/>
        <v>18933.09882005406</v>
      </c>
      <c r="L199">
        <f t="shared" si="60"/>
        <v>18933.09882005406</v>
      </c>
      <c r="M199">
        <f t="shared" si="61"/>
        <v>0</v>
      </c>
      <c r="N199" s="30">
        <f t="shared" si="62"/>
        <v>18933.09882005406</v>
      </c>
      <c r="O199" s="30">
        <f t="shared" si="63"/>
        <v>18932.616567817571</v>
      </c>
      <c r="P199" s="30">
        <f t="shared" si="64"/>
        <v>18932.616567817571</v>
      </c>
      <c r="Q199">
        <f t="shared" si="65"/>
        <v>0</v>
      </c>
      <c r="R199" s="30">
        <f t="shared" si="66"/>
        <v>18932.616567817571</v>
      </c>
      <c r="S199" s="30">
        <f t="shared" si="67"/>
        <v>18932.616567817586</v>
      </c>
      <c r="T199" s="30">
        <f t="shared" si="68"/>
        <v>18932.616567817586</v>
      </c>
      <c r="U199">
        <f t="shared" si="69"/>
        <v>0</v>
      </c>
      <c r="V199" s="30">
        <f t="shared" si="70"/>
        <v>18932.616567817586</v>
      </c>
      <c r="W199" s="30">
        <f t="shared" si="71"/>
        <v>18932.616567817586</v>
      </c>
      <c r="X199" s="30">
        <f t="shared" si="72"/>
        <v>18932.616567817586</v>
      </c>
      <c r="Y199">
        <f t="shared" si="73"/>
        <v>0</v>
      </c>
    </row>
    <row r="200" spans="1:25" x14ac:dyDescent="0.25">
      <c r="A200" s="4" t="s">
        <v>1048</v>
      </c>
      <c r="B200" s="7" t="s">
        <v>543</v>
      </c>
      <c r="C200" s="2" t="s">
        <v>1049</v>
      </c>
      <c r="D200">
        <f>VLOOKUP(B200,'Model allocations'!$A$1:$L$319,6,FALSE)</f>
        <v>140804.76646752519</v>
      </c>
      <c r="E200" s="32">
        <f>VLOOKUP(B200,'Initial adjusted formula count'!$A$1:$P$319,12,FALSE)</f>
        <v>0.124748490945674</v>
      </c>
      <c r="F200">
        <f>VLOOKUP(B200,'Model allocations'!$A$1:$L$319,11,FALSE)</f>
        <v>119684.0514973964</v>
      </c>
      <c r="G200" s="31">
        <f t="shared" si="74"/>
        <v>0.85</v>
      </c>
      <c r="H200">
        <f t="shared" si="75"/>
        <v>119684.0514973964</v>
      </c>
      <c r="I200">
        <f t="shared" si="57"/>
        <v>0</v>
      </c>
      <c r="J200">
        <f t="shared" si="58"/>
        <v>119684.0514973964</v>
      </c>
      <c r="K200">
        <f t="shared" si="59"/>
        <v>119659.77283362756</v>
      </c>
      <c r="L200">
        <f t="shared" si="60"/>
        <v>119659.77283362756</v>
      </c>
      <c r="M200">
        <f t="shared" si="61"/>
        <v>119684.0514973964</v>
      </c>
      <c r="N200" s="30">
        <f t="shared" si="62"/>
        <v>0</v>
      </c>
      <c r="O200" s="30">
        <f t="shared" si="63"/>
        <v>0</v>
      </c>
      <c r="P200" s="30">
        <f t="shared" si="64"/>
        <v>119684.0514973964</v>
      </c>
      <c r="Q200">
        <f t="shared" si="65"/>
        <v>0</v>
      </c>
      <c r="R200" s="30">
        <f t="shared" si="66"/>
        <v>0</v>
      </c>
      <c r="S200" s="30">
        <f t="shared" si="67"/>
        <v>0</v>
      </c>
      <c r="T200" s="30">
        <f t="shared" si="68"/>
        <v>119684.0514973964</v>
      </c>
      <c r="U200">
        <f t="shared" si="69"/>
        <v>0</v>
      </c>
      <c r="V200" s="30">
        <f t="shared" si="70"/>
        <v>0</v>
      </c>
      <c r="W200" s="30">
        <f t="shared" si="71"/>
        <v>0</v>
      </c>
      <c r="X200" s="30">
        <f t="shared" si="72"/>
        <v>119684.0514973964</v>
      </c>
      <c r="Y200">
        <f t="shared" si="73"/>
        <v>0</v>
      </c>
    </row>
    <row r="201" spans="1:25" x14ac:dyDescent="0.25">
      <c r="A201" s="4" t="s">
        <v>1050</v>
      </c>
      <c r="B201" s="7" t="s">
        <v>545</v>
      </c>
      <c r="C201" s="2" t="s">
        <v>1051</v>
      </c>
      <c r="D201">
        <f>VLOOKUP(B201,'Model allocations'!$A$1:$L$319,6,FALSE)</f>
        <v>32943.805183632598</v>
      </c>
      <c r="E201" s="32">
        <f>VLOOKUP(B201,'Initial adjusted formula count'!$A$1:$P$319,12,FALSE)</f>
        <v>0.17241379310344801</v>
      </c>
      <c r="F201">
        <f>VLOOKUP(B201,'Model allocations'!$A$1:$L$319,11,FALSE)</f>
        <v>39562.630557614262</v>
      </c>
      <c r="G201" s="31">
        <f t="shared" si="74"/>
        <v>0.9</v>
      </c>
      <c r="H201">
        <f t="shared" si="75"/>
        <v>29649.42466526934</v>
      </c>
      <c r="I201">
        <f t="shared" si="57"/>
        <v>0</v>
      </c>
      <c r="J201">
        <f t="shared" si="58"/>
        <v>39562.630557614262</v>
      </c>
      <c r="K201">
        <f t="shared" si="59"/>
        <v>39554.605028789818</v>
      </c>
      <c r="L201">
        <f t="shared" si="60"/>
        <v>39554.605028789818</v>
      </c>
      <c r="M201">
        <f t="shared" si="61"/>
        <v>0</v>
      </c>
      <c r="N201" s="30">
        <f t="shared" si="62"/>
        <v>39554.605028789818</v>
      </c>
      <c r="O201" s="30">
        <f t="shared" si="63"/>
        <v>39553.597518243347</v>
      </c>
      <c r="P201" s="30">
        <f t="shared" si="64"/>
        <v>39553.597518243347</v>
      </c>
      <c r="Q201">
        <f t="shared" si="65"/>
        <v>0</v>
      </c>
      <c r="R201" s="30">
        <f t="shared" si="66"/>
        <v>39553.597518243347</v>
      </c>
      <c r="S201" s="30">
        <f t="shared" si="67"/>
        <v>39553.597518243376</v>
      </c>
      <c r="T201" s="30">
        <f t="shared" si="68"/>
        <v>39553.597518243376</v>
      </c>
      <c r="U201">
        <f t="shared" si="69"/>
        <v>0</v>
      </c>
      <c r="V201" s="30">
        <f t="shared" si="70"/>
        <v>39553.597518243376</v>
      </c>
      <c r="W201" s="30">
        <f t="shared" si="71"/>
        <v>39553.597518243376</v>
      </c>
      <c r="X201" s="30">
        <f t="shared" si="72"/>
        <v>39553.597518243376</v>
      </c>
      <c r="Y201">
        <f t="shared" si="73"/>
        <v>0</v>
      </c>
    </row>
    <row r="202" spans="1:25" x14ac:dyDescent="0.25">
      <c r="A202" s="4" t="s">
        <v>1052</v>
      </c>
      <c r="B202" s="7" t="s">
        <v>547</v>
      </c>
      <c r="C202" s="2" t="s">
        <v>1053</v>
      </c>
      <c r="D202">
        <f>VLOOKUP(B202,'Model allocations'!$A$1:$L$319,6,FALSE)</f>
        <v>373663.26546836493</v>
      </c>
      <c r="E202" s="32">
        <f>VLOOKUP(B202,'Initial adjusted formula count'!$A$1:$P$319,12,FALSE)</f>
        <v>0.140625</v>
      </c>
      <c r="F202">
        <f>VLOOKUP(B202,'Model allocations'!$A$1:$L$319,11,FALSE)</f>
        <v>342282.70902264712</v>
      </c>
      <c r="G202" s="31">
        <f t="shared" si="74"/>
        <v>0.85</v>
      </c>
      <c r="H202">
        <f t="shared" si="75"/>
        <v>317613.7756481102</v>
      </c>
      <c r="I202">
        <f t="shared" si="57"/>
        <v>0</v>
      </c>
      <c r="J202">
        <f t="shared" si="58"/>
        <v>342282.70902264712</v>
      </c>
      <c r="K202">
        <f t="shared" si="59"/>
        <v>342213.27481898939</v>
      </c>
      <c r="L202">
        <f t="shared" si="60"/>
        <v>342213.27481898939</v>
      </c>
      <c r="M202">
        <f t="shared" si="61"/>
        <v>0</v>
      </c>
      <c r="N202" s="30">
        <f t="shared" si="62"/>
        <v>342213.27481898939</v>
      </c>
      <c r="O202" s="30">
        <f t="shared" si="63"/>
        <v>342204.55817314575</v>
      </c>
      <c r="P202" s="30">
        <f t="shared" si="64"/>
        <v>342204.55817314575</v>
      </c>
      <c r="Q202">
        <f t="shared" si="65"/>
        <v>0</v>
      </c>
      <c r="R202" s="30">
        <f t="shared" si="66"/>
        <v>342204.55817314575</v>
      </c>
      <c r="S202" s="30">
        <f t="shared" si="67"/>
        <v>342204.55817314598</v>
      </c>
      <c r="T202" s="30">
        <f t="shared" si="68"/>
        <v>342204.55817314598</v>
      </c>
      <c r="U202">
        <f t="shared" si="69"/>
        <v>0</v>
      </c>
      <c r="V202" s="30">
        <f t="shared" si="70"/>
        <v>342204.55817314598</v>
      </c>
      <c r="W202" s="30">
        <f t="shared" si="71"/>
        <v>342204.55817314598</v>
      </c>
      <c r="X202" s="30">
        <f t="shared" si="72"/>
        <v>342204.55817314598</v>
      </c>
      <c r="Y202">
        <f t="shared" si="73"/>
        <v>0</v>
      </c>
    </row>
    <row r="203" spans="1:25" x14ac:dyDescent="0.25">
      <c r="A203" s="4" t="s">
        <v>1054</v>
      </c>
      <c r="B203" s="7" t="s">
        <v>549</v>
      </c>
      <c r="C203" s="2" t="s">
        <v>1055</v>
      </c>
      <c r="D203">
        <f>VLOOKUP(B203,'Model allocations'!$A$1:$L$319,6,FALSE)</f>
        <v>167795.14105851075</v>
      </c>
      <c r="E203" s="32">
        <f>VLOOKUP(B203,'Initial adjusted formula count'!$A$1:$P$319,12,FALSE)</f>
        <v>0.13839285714285701</v>
      </c>
      <c r="F203">
        <f>VLOOKUP(B203,'Model allocations'!$A$1:$L$319,11,FALSE)</f>
        <v>142625.86989973413</v>
      </c>
      <c r="G203" s="31">
        <f t="shared" si="74"/>
        <v>0.85</v>
      </c>
      <c r="H203">
        <f t="shared" si="75"/>
        <v>142625.86989973413</v>
      </c>
      <c r="I203">
        <f t="shared" si="57"/>
        <v>0</v>
      </c>
      <c r="J203">
        <f t="shared" si="58"/>
        <v>142625.86989973413</v>
      </c>
      <c r="K203">
        <f t="shared" si="59"/>
        <v>142596.93734358557</v>
      </c>
      <c r="L203">
        <f t="shared" si="60"/>
        <v>142596.93734358557</v>
      </c>
      <c r="M203">
        <f t="shared" si="61"/>
        <v>142625.86989973413</v>
      </c>
      <c r="N203" s="30">
        <f t="shared" si="62"/>
        <v>0</v>
      </c>
      <c r="O203" s="30">
        <f t="shared" si="63"/>
        <v>0</v>
      </c>
      <c r="P203" s="30">
        <f t="shared" si="64"/>
        <v>142625.86989973413</v>
      </c>
      <c r="Q203">
        <f t="shared" si="65"/>
        <v>0</v>
      </c>
      <c r="R203" s="30">
        <f t="shared" si="66"/>
        <v>0</v>
      </c>
      <c r="S203" s="30">
        <f t="shared" si="67"/>
        <v>0</v>
      </c>
      <c r="T203" s="30">
        <f t="shared" si="68"/>
        <v>142625.86989973413</v>
      </c>
      <c r="U203">
        <f t="shared" si="69"/>
        <v>0</v>
      </c>
      <c r="V203" s="30">
        <f t="shared" si="70"/>
        <v>0</v>
      </c>
      <c r="W203" s="30">
        <f t="shared" si="71"/>
        <v>0</v>
      </c>
      <c r="X203" s="30">
        <f t="shared" si="72"/>
        <v>142625.86989973413</v>
      </c>
      <c r="Y203">
        <f t="shared" si="73"/>
        <v>0</v>
      </c>
    </row>
    <row r="204" spans="1:25" x14ac:dyDescent="0.25">
      <c r="A204" s="4" t="s">
        <v>1056</v>
      </c>
      <c r="B204" s="7" t="s">
        <v>551</v>
      </c>
      <c r="C204" s="2" t="s">
        <v>1057</v>
      </c>
      <c r="D204">
        <f>VLOOKUP(B204,'Model allocations'!$A$1:$L$319,6,FALSE)</f>
        <v>26535.507257898378</v>
      </c>
      <c r="E204" s="32">
        <f>VLOOKUP(B204,'Initial adjusted formula count'!$A$1:$P$319,12,FALSE)</f>
        <v>0.14202898550724599</v>
      </c>
      <c r="F204">
        <f>VLOOKUP(B204,'Model allocations'!$A$1:$L$319,11,FALSE)</f>
        <v>27814.017814443967</v>
      </c>
      <c r="G204" s="31">
        <f t="shared" si="74"/>
        <v>0.85</v>
      </c>
      <c r="H204">
        <f t="shared" si="75"/>
        <v>22555.181169213622</v>
      </c>
      <c r="I204">
        <f t="shared" si="57"/>
        <v>0</v>
      </c>
      <c r="J204">
        <f t="shared" si="58"/>
        <v>27814.017814443967</v>
      </c>
      <c r="K204">
        <f t="shared" si="59"/>
        <v>27808.375565722195</v>
      </c>
      <c r="L204">
        <f t="shared" si="60"/>
        <v>27808.375565722195</v>
      </c>
      <c r="M204">
        <f t="shared" si="61"/>
        <v>0</v>
      </c>
      <c r="N204" s="30">
        <f t="shared" si="62"/>
        <v>27808.375565722195</v>
      </c>
      <c r="O204" s="30">
        <f t="shared" si="63"/>
        <v>27807.667247900736</v>
      </c>
      <c r="P204" s="30">
        <f t="shared" si="64"/>
        <v>27807.667247900736</v>
      </c>
      <c r="Q204">
        <f t="shared" si="65"/>
        <v>0</v>
      </c>
      <c r="R204" s="30">
        <f t="shared" si="66"/>
        <v>27807.667247900736</v>
      </c>
      <c r="S204" s="30">
        <f t="shared" si="67"/>
        <v>27807.667247900754</v>
      </c>
      <c r="T204" s="30">
        <f t="shared" si="68"/>
        <v>27807.667247900754</v>
      </c>
      <c r="U204">
        <f t="shared" si="69"/>
        <v>0</v>
      </c>
      <c r="V204" s="30">
        <f t="shared" si="70"/>
        <v>27807.667247900754</v>
      </c>
      <c r="W204" s="30">
        <f t="shared" si="71"/>
        <v>27807.667247900754</v>
      </c>
      <c r="X204" s="30">
        <f t="shared" si="72"/>
        <v>27807.667247900754</v>
      </c>
      <c r="Y204">
        <f t="shared" si="73"/>
        <v>0</v>
      </c>
    </row>
    <row r="205" spans="1:25" x14ac:dyDescent="0.25">
      <c r="A205" s="4" t="s">
        <v>34</v>
      </c>
      <c r="B205" s="7" t="s">
        <v>81</v>
      </c>
      <c r="C205" s="2" t="s">
        <v>1058</v>
      </c>
      <c r="D205">
        <f>VLOOKUP(B205,'Model allocations'!$A$1:$L$319,6,FALSE)</f>
        <v>77081.254328656403</v>
      </c>
      <c r="E205" s="32">
        <f>VLOOKUP(B205,'Initial adjusted formula count'!$A$1:$P$319,12,FALSE)</f>
        <v>0.123366242058152</v>
      </c>
      <c r="F205">
        <f>VLOOKUP(B205,'Model allocations'!$A$1:$L$319,11,FALSE)</f>
        <v>63854.91239566492</v>
      </c>
      <c r="G205" s="31">
        <f t="shared" si="74"/>
        <v>0.85</v>
      </c>
      <c r="H205">
        <f t="shared" si="75"/>
        <v>65519.066179357942</v>
      </c>
      <c r="I205">
        <f t="shared" si="57"/>
        <v>65519.066179357942</v>
      </c>
      <c r="J205">
        <f t="shared" si="58"/>
        <v>0</v>
      </c>
      <c r="K205">
        <f t="shared" si="59"/>
        <v>0</v>
      </c>
      <c r="L205">
        <f t="shared" si="60"/>
        <v>65519.066179357942</v>
      </c>
      <c r="M205">
        <f t="shared" si="61"/>
        <v>0</v>
      </c>
      <c r="N205" s="30">
        <f t="shared" si="62"/>
        <v>0</v>
      </c>
      <c r="O205" s="30">
        <f t="shared" si="63"/>
        <v>0</v>
      </c>
      <c r="P205" s="30">
        <f t="shared" si="64"/>
        <v>65519.066179357942</v>
      </c>
      <c r="Q205">
        <f t="shared" si="65"/>
        <v>0</v>
      </c>
      <c r="R205" s="30">
        <f t="shared" si="66"/>
        <v>0</v>
      </c>
      <c r="S205" s="30">
        <f t="shared" si="67"/>
        <v>0</v>
      </c>
      <c r="T205" s="30">
        <f t="shared" si="68"/>
        <v>65519.066179357942</v>
      </c>
      <c r="U205">
        <f t="shared" si="69"/>
        <v>0</v>
      </c>
      <c r="V205" s="30">
        <f t="shared" si="70"/>
        <v>0</v>
      </c>
      <c r="W205" s="30">
        <f t="shared" si="71"/>
        <v>0</v>
      </c>
      <c r="X205" s="30">
        <f t="shared" si="72"/>
        <v>65519.066179357942</v>
      </c>
      <c r="Y205">
        <f t="shared" si="73"/>
        <v>0</v>
      </c>
    </row>
    <row r="206" spans="1:25" x14ac:dyDescent="0.25">
      <c r="A206" s="4" t="s">
        <v>1059</v>
      </c>
      <c r="B206" s="7" t="s">
        <v>553</v>
      </c>
      <c r="C206" s="2" t="s">
        <v>1060</v>
      </c>
      <c r="D206">
        <f>VLOOKUP(B206,'Model allocations'!$A$1:$L$319,6,FALSE)</f>
        <v>203057.83115178166</v>
      </c>
      <c r="E206" s="32">
        <f>VLOOKUP(B206,'Initial adjusted formula count'!$A$1:$P$319,12,FALSE)</f>
        <v>0.11789038262668</v>
      </c>
      <c r="F206">
        <f>VLOOKUP(B206,'Model allocations'!$A$1:$L$319,11,FALSE)</f>
        <v>194130.49168448642</v>
      </c>
      <c r="G206" s="31">
        <f t="shared" si="74"/>
        <v>0.85</v>
      </c>
      <c r="H206">
        <f t="shared" si="75"/>
        <v>172599.1564790144</v>
      </c>
      <c r="I206">
        <f t="shared" si="57"/>
        <v>0</v>
      </c>
      <c r="J206">
        <f t="shared" si="58"/>
        <v>194130.49168448642</v>
      </c>
      <c r="K206">
        <f t="shared" si="59"/>
        <v>194091.11109136714</v>
      </c>
      <c r="L206">
        <f t="shared" si="60"/>
        <v>194091.11109136714</v>
      </c>
      <c r="M206">
        <f t="shared" si="61"/>
        <v>0</v>
      </c>
      <c r="N206" s="30">
        <f t="shared" si="62"/>
        <v>194091.11109136714</v>
      </c>
      <c r="O206" s="30">
        <f t="shared" si="63"/>
        <v>194086.16732208268</v>
      </c>
      <c r="P206" s="30">
        <f t="shared" si="64"/>
        <v>194086.16732208268</v>
      </c>
      <c r="Q206">
        <f t="shared" si="65"/>
        <v>0</v>
      </c>
      <c r="R206" s="30">
        <f t="shared" si="66"/>
        <v>194086.16732208268</v>
      </c>
      <c r="S206" s="30">
        <f t="shared" si="67"/>
        <v>194086.16732208282</v>
      </c>
      <c r="T206" s="30">
        <f t="shared" si="68"/>
        <v>194086.16732208282</v>
      </c>
      <c r="U206">
        <f t="shared" si="69"/>
        <v>0</v>
      </c>
      <c r="V206" s="30">
        <f t="shared" si="70"/>
        <v>194086.16732208282</v>
      </c>
      <c r="W206" s="30">
        <f t="shared" si="71"/>
        <v>194086.16732208282</v>
      </c>
      <c r="X206" s="30">
        <f t="shared" si="72"/>
        <v>194086.16732208282</v>
      </c>
      <c r="Y206">
        <f t="shared" si="73"/>
        <v>0</v>
      </c>
    </row>
    <row r="207" spans="1:25" x14ac:dyDescent="0.25">
      <c r="A207" s="4" t="s">
        <v>21</v>
      </c>
      <c r="B207" s="7" t="s">
        <v>61</v>
      </c>
      <c r="C207" s="2" t="s">
        <v>1061</v>
      </c>
      <c r="D207">
        <f>VLOOKUP(B207,'Model allocations'!$A$1:$L$319,6,FALSE)</f>
        <v>191501.11674519046</v>
      </c>
      <c r="E207" s="32">
        <f>VLOOKUP(B207,'Initial adjusted formula count'!$A$1:$P$319,12,FALSE)</f>
        <v>0.10242579001174899</v>
      </c>
      <c r="F207">
        <f>VLOOKUP(B207,'Model allocations'!$A$1:$L$319,11,FALSE)</f>
        <v>178824.63269966983</v>
      </c>
      <c r="G207" s="31">
        <f t="shared" si="74"/>
        <v>0.85</v>
      </c>
      <c r="H207">
        <f t="shared" si="75"/>
        <v>162775.9492334119</v>
      </c>
      <c r="I207">
        <f t="shared" si="57"/>
        <v>0</v>
      </c>
      <c r="J207">
        <f t="shared" si="58"/>
        <v>178824.63269966983</v>
      </c>
      <c r="K207">
        <f t="shared" si="59"/>
        <v>178788.35699646143</v>
      </c>
      <c r="L207">
        <f t="shared" si="60"/>
        <v>178788.35699646143</v>
      </c>
      <c r="M207">
        <f t="shared" si="61"/>
        <v>0</v>
      </c>
      <c r="N207" s="30">
        <f t="shared" si="62"/>
        <v>178788.35699646143</v>
      </c>
      <c r="O207" s="30">
        <f t="shared" si="63"/>
        <v>178783.80300950774</v>
      </c>
      <c r="P207" s="30">
        <f t="shared" si="64"/>
        <v>178783.80300950774</v>
      </c>
      <c r="Q207">
        <f t="shared" si="65"/>
        <v>0</v>
      </c>
      <c r="R207" s="30">
        <f t="shared" si="66"/>
        <v>178783.80300950774</v>
      </c>
      <c r="S207" s="30">
        <f t="shared" si="67"/>
        <v>178783.80300950786</v>
      </c>
      <c r="T207" s="30">
        <f t="shared" si="68"/>
        <v>178783.80300950786</v>
      </c>
      <c r="U207">
        <f t="shared" si="69"/>
        <v>0</v>
      </c>
      <c r="V207" s="30">
        <f t="shared" si="70"/>
        <v>178783.80300950786</v>
      </c>
      <c r="W207" s="30">
        <f t="shared" si="71"/>
        <v>178783.80300950786</v>
      </c>
      <c r="X207" s="30">
        <f t="shared" si="72"/>
        <v>178783.80300950786</v>
      </c>
      <c r="Y207">
        <f t="shared" si="73"/>
        <v>0</v>
      </c>
    </row>
    <row r="208" spans="1:25" x14ac:dyDescent="0.25">
      <c r="A208" s="4" t="s">
        <v>20</v>
      </c>
      <c r="B208" s="7" t="s">
        <v>74</v>
      </c>
      <c r="C208" s="2" t="s">
        <v>1062</v>
      </c>
      <c r="D208">
        <f>VLOOKUP(B208,'Model allocations'!$A$1:$L$319,6,FALSE)</f>
        <v>9957.9123500859296</v>
      </c>
      <c r="E208" s="32">
        <f>VLOOKUP(B208,'Initial adjusted formula count'!$A$1:$P$319,12,FALSE)</f>
        <v>0.11209878960701999</v>
      </c>
      <c r="F208">
        <f>VLOOKUP(B208,'Model allocations'!$A$1:$L$319,11,FALSE)</f>
        <v>10197.161835224706</v>
      </c>
      <c r="G208" s="31">
        <f t="shared" si="74"/>
        <v>0.85</v>
      </c>
      <c r="H208">
        <f t="shared" si="75"/>
        <v>8464.2254975730393</v>
      </c>
      <c r="I208">
        <f t="shared" si="57"/>
        <v>0</v>
      </c>
      <c r="J208">
        <f t="shared" si="58"/>
        <v>10197.161835224706</v>
      </c>
      <c r="K208">
        <f t="shared" si="59"/>
        <v>10195.093276711717</v>
      </c>
      <c r="L208">
        <f t="shared" si="60"/>
        <v>10195.093276711717</v>
      </c>
      <c r="M208">
        <f t="shared" si="61"/>
        <v>0</v>
      </c>
      <c r="N208" s="30">
        <f t="shared" si="62"/>
        <v>10195.093276711717</v>
      </c>
      <c r="O208" s="30">
        <f t="shared" si="63"/>
        <v>10194.833593572648</v>
      </c>
      <c r="P208" s="30">
        <f t="shared" si="64"/>
        <v>10194.833593572648</v>
      </c>
      <c r="Q208">
        <f t="shared" si="65"/>
        <v>0</v>
      </c>
      <c r="R208" s="30">
        <f t="shared" si="66"/>
        <v>10194.833593572648</v>
      </c>
      <c r="S208" s="30">
        <f t="shared" si="67"/>
        <v>10194.833593572655</v>
      </c>
      <c r="T208" s="30">
        <f t="shared" si="68"/>
        <v>10194.833593572655</v>
      </c>
      <c r="U208">
        <f t="shared" si="69"/>
        <v>0</v>
      </c>
      <c r="V208" s="30">
        <f t="shared" si="70"/>
        <v>10194.833593572655</v>
      </c>
      <c r="W208" s="30">
        <f t="shared" si="71"/>
        <v>10194.833593572655</v>
      </c>
      <c r="X208" s="30">
        <f t="shared" si="72"/>
        <v>10194.833593572655</v>
      </c>
      <c r="Y208">
        <f t="shared" si="73"/>
        <v>0</v>
      </c>
    </row>
    <row r="209" spans="1:25" x14ac:dyDescent="0.25">
      <c r="A209" s="4" t="s">
        <v>1063</v>
      </c>
      <c r="B209" s="7" t="s">
        <v>199</v>
      </c>
      <c r="C209" s="2" t="s">
        <v>1064</v>
      </c>
      <c r="D209">
        <f>VLOOKUP(B209,'Model allocations'!$A$1:$L$319,6,FALSE)</f>
        <v>1350603.1653305825</v>
      </c>
      <c r="E209" s="32">
        <f>VLOOKUP(B209,'Initial adjusted formula count'!$A$1:$P$319,12,FALSE)</f>
        <v>7.2384904478546799E-2</v>
      </c>
      <c r="F209">
        <f>VLOOKUP(B209,'Model allocations'!$A$1:$L$319,11,FALSE)</f>
        <v>1378212.9643565291</v>
      </c>
      <c r="G209" s="31">
        <f t="shared" si="74"/>
        <v>0.85</v>
      </c>
      <c r="H209">
        <f t="shared" si="75"/>
        <v>1148012.6905309951</v>
      </c>
      <c r="I209">
        <f t="shared" si="57"/>
        <v>0</v>
      </c>
      <c r="J209">
        <f t="shared" si="58"/>
        <v>1378212.9643565291</v>
      </c>
      <c r="K209">
        <f t="shared" si="59"/>
        <v>1377933.3851749687</v>
      </c>
      <c r="L209">
        <f t="shared" si="60"/>
        <v>1377933.3851749687</v>
      </c>
      <c r="M209">
        <f t="shared" si="61"/>
        <v>0</v>
      </c>
      <c r="N209" s="30">
        <f t="shared" si="62"/>
        <v>1377933.3851749687</v>
      </c>
      <c r="O209" s="30">
        <f t="shared" si="63"/>
        <v>1377898.2873041423</v>
      </c>
      <c r="P209" s="30">
        <f t="shared" si="64"/>
        <v>1377898.2873041423</v>
      </c>
      <c r="Q209">
        <f t="shared" si="65"/>
        <v>0</v>
      </c>
      <c r="R209" s="30">
        <f t="shared" si="66"/>
        <v>1377898.2873041423</v>
      </c>
      <c r="S209" s="30">
        <f t="shared" si="67"/>
        <v>1377898.2873041432</v>
      </c>
      <c r="T209" s="30">
        <f t="shared" si="68"/>
        <v>1377898.2873041432</v>
      </c>
      <c r="U209">
        <f t="shared" si="69"/>
        <v>0</v>
      </c>
      <c r="V209" s="30">
        <f t="shared" si="70"/>
        <v>1377898.2873041432</v>
      </c>
      <c r="W209" s="30">
        <f t="shared" si="71"/>
        <v>1377898.2873041432</v>
      </c>
      <c r="X209" s="30">
        <f t="shared" si="72"/>
        <v>1377898.2873041432</v>
      </c>
      <c r="Y209">
        <f t="shared" si="73"/>
        <v>0</v>
      </c>
    </row>
    <row r="210" spans="1:25" x14ac:dyDescent="0.25">
      <c r="A210" s="4" t="s">
        <v>1065</v>
      </c>
      <c r="B210" s="7" t="s">
        <v>555</v>
      </c>
      <c r="C210" s="2" t="s">
        <v>1066</v>
      </c>
      <c r="D210">
        <f>VLOOKUP(B210,'Model allocations'!$A$1:$L$319,6,FALSE)</f>
        <v>0</v>
      </c>
      <c r="E210" s="32">
        <f>VLOOKUP(B210,'Initial adjusted formula count'!$A$1:$P$319,12,FALSE)</f>
        <v>0.34375</v>
      </c>
      <c r="F210">
        <f>VLOOKUP(B210,'Model allocations'!$A$1:$L$319,11,FALSE)</f>
        <v>11049.54430155033</v>
      </c>
      <c r="G210" s="31">
        <f t="shared" si="74"/>
        <v>0.95</v>
      </c>
      <c r="H210">
        <f t="shared" si="75"/>
        <v>0</v>
      </c>
      <c r="I210">
        <f t="shared" si="57"/>
        <v>0</v>
      </c>
      <c r="J210">
        <f t="shared" si="58"/>
        <v>11049.54430155033</v>
      </c>
      <c r="K210">
        <f t="shared" si="59"/>
        <v>11047.302831884657</v>
      </c>
      <c r="L210">
        <f t="shared" si="60"/>
        <v>11047.302831884657</v>
      </c>
      <c r="M210">
        <f t="shared" si="61"/>
        <v>0</v>
      </c>
      <c r="N210" s="30">
        <f t="shared" si="62"/>
        <v>11047.302831884657</v>
      </c>
      <c r="O210" s="30">
        <f t="shared" si="63"/>
        <v>11047.021441788484</v>
      </c>
      <c r="P210" s="30">
        <f t="shared" si="64"/>
        <v>11047.021441788484</v>
      </c>
      <c r="Q210">
        <f t="shared" si="65"/>
        <v>0</v>
      </c>
      <c r="R210" s="30">
        <f t="shared" si="66"/>
        <v>11047.021441788484</v>
      </c>
      <c r="S210" s="30">
        <f t="shared" si="67"/>
        <v>11047.021441788491</v>
      </c>
      <c r="T210" s="30">
        <f t="shared" si="68"/>
        <v>11047.021441788491</v>
      </c>
      <c r="U210">
        <f t="shared" si="69"/>
        <v>0</v>
      </c>
      <c r="V210" s="30">
        <f t="shared" si="70"/>
        <v>11047.021441788491</v>
      </c>
      <c r="W210" s="30">
        <f t="shared" si="71"/>
        <v>11047.021441788491</v>
      </c>
      <c r="X210" s="30">
        <f t="shared" si="72"/>
        <v>11047.021441788491</v>
      </c>
      <c r="Y210">
        <f t="shared" si="73"/>
        <v>0</v>
      </c>
    </row>
    <row r="211" spans="1:25" x14ac:dyDescent="0.25">
      <c r="A211" s="4" t="s">
        <v>1067</v>
      </c>
      <c r="B211" s="7" t="s">
        <v>557</v>
      </c>
      <c r="C211" s="2" t="s">
        <v>1068</v>
      </c>
      <c r="D211">
        <f>VLOOKUP(B211,'Model allocations'!$A$1:$L$319,6,FALSE)</f>
        <v>15163.147004513359</v>
      </c>
      <c r="E211" s="32">
        <f>VLOOKUP(B211,'Initial adjusted formula count'!$A$1:$P$319,12,FALSE)</f>
        <v>0.14572864321608001</v>
      </c>
      <c r="F211">
        <f>VLOOKUP(B211,'Model allocations'!$A$1:$L$319,11,FALSE)</f>
        <v>16461.357482017851</v>
      </c>
      <c r="G211" s="31">
        <f t="shared" si="74"/>
        <v>0.85</v>
      </c>
      <c r="H211">
        <f t="shared" si="75"/>
        <v>12888.674953836355</v>
      </c>
      <c r="I211">
        <f t="shared" si="57"/>
        <v>0</v>
      </c>
      <c r="J211">
        <f t="shared" si="58"/>
        <v>16461.357482017851</v>
      </c>
      <c r="K211">
        <f t="shared" si="59"/>
        <v>16458.018191958028</v>
      </c>
      <c r="L211">
        <f t="shared" si="60"/>
        <v>16458.018191958028</v>
      </c>
      <c r="M211">
        <f t="shared" si="61"/>
        <v>0</v>
      </c>
      <c r="N211" s="30">
        <f t="shared" si="62"/>
        <v>16458.018191958028</v>
      </c>
      <c r="O211" s="30">
        <f t="shared" si="63"/>
        <v>16457.598983451451</v>
      </c>
      <c r="P211" s="30">
        <f t="shared" si="64"/>
        <v>16457.598983451451</v>
      </c>
      <c r="Q211">
        <f t="shared" si="65"/>
        <v>0</v>
      </c>
      <c r="R211" s="30">
        <f t="shared" si="66"/>
        <v>16457.598983451451</v>
      </c>
      <c r="S211" s="30">
        <f t="shared" si="67"/>
        <v>16457.598983451462</v>
      </c>
      <c r="T211" s="30">
        <f t="shared" si="68"/>
        <v>16457.598983451462</v>
      </c>
      <c r="U211">
        <f t="shared" si="69"/>
        <v>0</v>
      </c>
      <c r="V211" s="30">
        <f t="shared" si="70"/>
        <v>16457.598983451462</v>
      </c>
      <c r="W211" s="30">
        <f t="shared" si="71"/>
        <v>16457.598983451462</v>
      </c>
      <c r="X211" s="30">
        <f t="shared" si="72"/>
        <v>16457.598983451462</v>
      </c>
      <c r="Y211">
        <f t="shared" si="73"/>
        <v>0</v>
      </c>
    </row>
    <row r="212" spans="1:25" x14ac:dyDescent="0.25">
      <c r="A212" s="4" t="s">
        <v>1069</v>
      </c>
      <c r="B212" s="7" t="s">
        <v>559</v>
      </c>
      <c r="C212" s="2" t="s">
        <v>1070</v>
      </c>
      <c r="D212">
        <f>VLOOKUP(B212,'Model allocations'!$A$1:$L$319,6,FALSE)</f>
        <v>240598.76695603624</v>
      </c>
      <c r="E212" s="32">
        <f>VLOOKUP(B212,'Initial adjusted formula count'!$A$1:$P$319,12,FALSE)</f>
        <v>0.23464163822525599</v>
      </c>
      <c r="F212">
        <f>VLOOKUP(B212,'Model allocations'!$A$1:$L$319,11,FALSE)</f>
        <v>216538.89026043261</v>
      </c>
      <c r="G212" s="31">
        <f t="shared" si="74"/>
        <v>0.9</v>
      </c>
      <c r="H212">
        <f t="shared" si="75"/>
        <v>216538.89026043261</v>
      </c>
      <c r="I212">
        <f t="shared" si="57"/>
        <v>0</v>
      </c>
      <c r="J212">
        <f t="shared" si="58"/>
        <v>216538.89026043261</v>
      </c>
      <c r="K212">
        <f t="shared" si="59"/>
        <v>216494.96398250555</v>
      </c>
      <c r="L212">
        <f t="shared" si="60"/>
        <v>216494.96398250555</v>
      </c>
      <c r="M212">
        <f t="shared" si="61"/>
        <v>216538.89026043261</v>
      </c>
      <c r="N212" s="30">
        <f t="shared" si="62"/>
        <v>0</v>
      </c>
      <c r="O212" s="30">
        <f t="shared" si="63"/>
        <v>0</v>
      </c>
      <c r="P212" s="30">
        <f t="shared" si="64"/>
        <v>216538.89026043261</v>
      </c>
      <c r="Q212">
        <f t="shared" si="65"/>
        <v>0</v>
      </c>
      <c r="R212" s="30">
        <f t="shared" si="66"/>
        <v>0</v>
      </c>
      <c r="S212" s="30">
        <f t="shared" si="67"/>
        <v>0</v>
      </c>
      <c r="T212" s="30">
        <f t="shared" si="68"/>
        <v>216538.89026043261</v>
      </c>
      <c r="U212">
        <f t="shared" si="69"/>
        <v>0</v>
      </c>
      <c r="V212" s="30">
        <f t="shared" si="70"/>
        <v>0</v>
      </c>
      <c r="W212" s="30">
        <f t="shared" si="71"/>
        <v>0</v>
      </c>
      <c r="X212" s="30">
        <f t="shared" si="72"/>
        <v>216538.89026043261</v>
      </c>
      <c r="Y212">
        <f t="shared" si="73"/>
        <v>0</v>
      </c>
    </row>
    <row r="213" spans="1:25" x14ac:dyDescent="0.25">
      <c r="A213" s="4" t="s">
        <v>1071</v>
      </c>
      <c r="B213" s="7" t="s">
        <v>449</v>
      </c>
      <c r="C213" s="2" t="s">
        <v>1072</v>
      </c>
      <c r="D213">
        <f>VLOOKUP(B213,'Model allocations'!$A$1:$L$319,6,FALSE)</f>
        <v>28565.852641802703</v>
      </c>
      <c r="E213" s="32">
        <f>VLOOKUP(B213,'Initial adjusted formula count'!$A$1:$P$319,12,FALSE)</f>
        <v>0.229885057471264</v>
      </c>
      <c r="F213">
        <f>VLOOKUP(B213,'Model allocations'!$A$1:$L$319,11,FALSE)</f>
        <v>28844.01630475415</v>
      </c>
      <c r="G213" s="31">
        <f t="shared" si="74"/>
        <v>0.9</v>
      </c>
      <c r="H213">
        <f t="shared" si="75"/>
        <v>25709.267377622433</v>
      </c>
      <c r="I213">
        <f t="shared" si="57"/>
        <v>0</v>
      </c>
      <c r="J213">
        <f t="shared" si="58"/>
        <v>28844.01630475415</v>
      </c>
      <c r="K213">
        <f t="shared" si="59"/>
        <v>28838.165114350377</v>
      </c>
      <c r="L213">
        <f t="shared" si="60"/>
        <v>28838.165114350377</v>
      </c>
      <c r="M213">
        <f t="shared" si="61"/>
        <v>0</v>
      </c>
      <c r="N213" s="30">
        <f t="shared" si="62"/>
        <v>28838.165114350377</v>
      </c>
      <c r="O213" s="30">
        <f t="shared" si="63"/>
        <v>28837.430566363553</v>
      </c>
      <c r="P213" s="30">
        <f t="shared" si="64"/>
        <v>28837.430566363553</v>
      </c>
      <c r="Q213">
        <f t="shared" si="65"/>
        <v>0</v>
      </c>
      <c r="R213" s="30">
        <f t="shared" si="66"/>
        <v>28837.430566363553</v>
      </c>
      <c r="S213" s="30">
        <f t="shared" si="67"/>
        <v>28837.430566363571</v>
      </c>
      <c r="T213" s="30">
        <f t="shared" si="68"/>
        <v>28837.430566363571</v>
      </c>
      <c r="U213">
        <f t="shared" si="69"/>
        <v>0</v>
      </c>
      <c r="V213" s="30">
        <f t="shared" si="70"/>
        <v>28837.430566363571</v>
      </c>
      <c r="W213" s="30">
        <f t="shared" si="71"/>
        <v>28837.430566363571</v>
      </c>
      <c r="X213" s="30">
        <f t="shared" si="72"/>
        <v>28837.430566363571</v>
      </c>
      <c r="Y213">
        <f t="shared" si="73"/>
        <v>0</v>
      </c>
    </row>
    <row r="214" spans="1:25" x14ac:dyDescent="0.25">
      <c r="A214" s="4" t="s">
        <v>1073</v>
      </c>
      <c r="B214" s="7" t="s">
        <v>561</v>
      </c>
      <c r="C214" s="2" t="s">
        <v>1074</v>
      </c>
      <c r="D214">
        <f>VLOOKUP(B214,'Model allocations'!$A$1:$L$319,6,FALSE)</f>
        <v>292812.22665288101</v>
      </c>
      <c r="E214" s="32">
        <f>VLOOKUP(B214,'Initial adjusted formula count'!$A$1:$P$319,12,FALSE)</f>
        <v>0.152104591836735</v>
      </c>
      <c r="F214">
        <f>VLOOKUP(B214,'Model allocations'!$A$1:$L$319,11,FALSE)</f>
        <v>270760.94892836263</v>
      </c>
      <c r="G214" s="31">
        <f t="shared" si="74"/>
        <v>0.9</v>
      </c>
      <c r="H214">
        <f t="shared" si="75"/>
        <v>263531.00398759294</v>
      </c>
      <c r="I214">
        <f t="shared" si="57"/>
        <v>0</v>
      </c>
      <c r="J214">
        <f t="shared" si="58"/>
        <v>270760.94892836263</v>
      </c>
      <c r="K214">
        <f t="shared" si="59"/>
        <v>270706.02336427523</v>
      </c>
      <c r="L214">
        <f t="shared" si="60"/>
        <v>270706.02336427523</v>
      </c>
      <c r="M214">
        <f t="shared" si="61"/>
        <v>0</v>
      </c>
      <c r="N214" s="30">
        <f t="shared" si="62"/>
        <v>270706.02336427523</v>
      </c>
      <c r="O214" s="30">
        <f t="shared" si="63"/>
        <v>270699.12810711534</v>
      </c>
      <c r="P214" s="30">
        <f t="shared" si="64"/>
        <v>270699.12810711534</v>
      </c>
      <c r="Q214">
        <f t="shared" si="65"/>
        <v>0</v>
      </c>
      <c r="R214" s="30">
        <f t="shared" si="66"/>
        <v>270699.12810711534</v>
      </c>
      <c r="S214" s="30">
        <f t="shared" si="67"/>
        <v>270699.12810711551</v>
      </c>
      <c r="T214" s="30">
        <f t="shared" si="68"/>
        <v>270699.12810711551</v>
      </c>
      <c r="U214">
        <f t="shared" si="69"/>
        <v>0</v>
      </c>
      <c r="V214" s="30">
        <f t="shared" si="70"/>
        <v>270699.12810711551</v>
      </c>
      <c r="W214" s="30">
        <f t="shared" si="71"/>
        <v>270699.12810711551</v>
      </c>
      <c r="X214" s="30">
        <f t="shared" si="72"/>
        <v>270699.12810711551</v>
      </c>
      <c r="Y214">
        <f t="shared" si="73"/>
        <v>0</v>
      </c>
    </row>
    <row r="215" spans="1:25" x14ac:dyDescent="0.25">
      <c r="A215" s="4" t="s">
        <v>1075</v>
      </c>
      <c r="B215" s="7" t="s">
        <v>201</v>
      </c>
      <c r="C215" s="2" t="s">
        <v>1076</v>
      </c>
      <c r="D215">
        <f>VLOOKUP(B215,'Model allocations'!$A$1:$L$319,6,FALSE)</f>
        <v>87188.095275951782</v>
      </c>
      <c r="E215" s="32">
        <f>VLOOKUP(B215,'Initial adjusted formula count'!$A$1:$P$319,12,FALSE)</f>
        <v>0.106341463414634</v>
      </c>
      <c r="F215">
        <f>VLOOKUP(B215,'Model allocations'!$A$1:$L$319,11,FALSE)</f>
        <v>74109.880984559015</v>
      </c>
      <c r="G215" s="31">
        <f t="shared" si="74"/>
        <v>0.85</v>
      </c>
      <c r="H215">
        <f t="shared" si="75"/>
        <v>74109.880984559015</v>
      </c>
      <c r="I215">
        <f t="shared" si="57"/>
        <v>0</v>
      </c>
      <c r="J215">
        <f t="shared" si="58"/>
        <v>74109.880984559015</v>
      </c>
      <c r="K215">
        <f t="shared" si="59"/>
        <v>74094.84732836287</v>
      </c>
      <c r="L215">
        <f t="shared" si="60"/>
        <v>74094.84732836287</v>
      </c>
      <c r="M215">
        <f t="shared" si="61"/>
        <v>74109.880984559015</v>
      </c>
      <c r="N215" s="30">
        <f t="shared" si="62"/>
        <v>0</v>
      </c>
      <c r="O215" s="30">
        <f t="shared" si="63"/>
        <v>0</v>
      </c>
      <c r="P215" s="30">
        <f t="shared" si="64"/>
        <v>74109.880984559015</v>
      </c>
      <c r="Q215">
        <f t="shared" si="65"/>
        <v>0</v>
      </c>
      <c r="R215" s="30">
        <f t="shared" si="66"/>
        <v>0</v>
      </c>
      <c r="S215" s="30">
        <f t="shared" si="67"/>
        <v>0</v>
      </c>
      <c r="T215" s="30">
        <f t="shared" si="68"/>
        <v>74109.880984559015</v>
      </c>
      <c r="U215">
        <f t="shared" si="69"/>
        <v>0</v>
      </c>
      <c r="V215" s="30">
        <f t="shared" si="70"/>
        <v>0</v>
      </c>
      <c r="W215" s="30">
        <f t="shared" si="71"/>
        <v>0</v>
      </c>
      <c r="X215" s="30">
        <f t="shared" si="72"/>
        <v>74109.880984559015</v>
      </c>
      <c r="Y215">
        <f t="shared" si="73"/>
        <v>0</v>
      </c>
    </row>
    <row r="216" spans="1:25" x14ac:dyDescent="0.25">
      <c r="A216" s="4" t="s">
        <v>15</v>
      </c>
      <c r="B216" s="7" t="s">
        <v>72</v>
      </c>
      <c r="C216" s="2" t="s">
        <v>1077</v>
      </c>
      <c r="D216">
        <f>VLOOKUP(B216,'Model allocations'!$A$1:$L$319,6,FALSE)</f>
        <v>48033.312929047759</v>
      </c>
      <c r="E216" s="32">
        <f>VLOOKUP(B216,'Initial adjusted formula count'!$A$1:$P$319,12,FALSE)</f>
        <v>0.154542884503613</v>
      </c>
      <c r="F216">
        <f>VLOOKUP(B216,'Model allocations'!$A$1:$L$319,11,FALSE)</f>
        <v>49639.503248402958</v>
      </c>
      <c r="G216" s="31">
        <f t="shared" si="74"/>
        <v>0.9</v>
      </c>
      <c r="H216">
        <f t="shared" si="75"/>
        <v>43229.981636142984</v>
      </c>
      <c r="I216">
        <f t="shared" si="57"/>
        <v>0</v>
      </c>
      <c r="J216">
        <f t="shared" si="58"/>
        <v>49639.503248402958</v>
      </c>
      <c r="K216">
        <f t="shared" si="59"/>
        <v>49629.433562476202</v>
      </c>
      <c r="L216">
        <f t="shared" si="60"/>
        <v>49629.433562476202</v>
      </c>
      <c r="M216">
        <f t="shared" si="61"/>
        <v>0</v>
      </c>
      <c r="N216" s="30">
        <f t="shared" si="62"/>
        <v>49629.433562476202</v>
      </c>
      <c r="O216" s="30">
        <f t="shared" si="63"/>
        <v>49628.169432100149</v>
      </c>
      <c r="P216" s="30">
        <f t="shared" si="64"/>
        <v>49628.169432100149</v>
      </c>
      <c r="Q216">
        <f t="shared" si="65"/>
        <v>0</v>
      </c>
      <c r="R216" s="30">
        <f t="shared" si="66"/>
        <v>49628.169432100149</v>
      </c>
      <c r="S216" s="30">
        <f t="shared" si="67"/>
        <v>49628.169432100185</v>
      </c>
      <c r="T216" s="30">
        <f t="shared" si="68"/>
        <v>49628.169432100185</v>
      </c>
      <c r="U216">
        <f t="shared" si="69"/>
        <v>0</v>
      </c>
      <c r="V216" s="30">
        <f t="shared" si="70"/>
        <v>49628.169432100185</v>
      </c>
      <c r="W216" s="30">
        <f t="shared" si="71"/>
        <v>49628.169432100185</v>
      </c>
      <c r="X216" s="30">
        <f t="shared" si="72"/>
        <v>49628.169432100185</v>
      </c>
      <c r="Y216">
        <f t="shared" si="73"/>
        <v>0</v>
      </c>
    </row>
    <row r="217" spans="1:25" x14ac:dyDescent="0.25">
      <c r="A217" s="4" t="s">
        <v>22</v>
      </c>
      <c r="B217" s="7" t="s">
        <v>75</v>
      </c>
      <c r="C217" s="2" t="s">
        <v>1078</v>
      </c>
      <c r="D217">
        <f>VLOOKUP(B217,'Model allocations'!$A$1:$L$319,6,FALSE)</f>
        <v>74292.018211358038</v>
      </c>
      <c r="E217" s="32">
        <f>VLOOKUP(B217,'Initial adjusted formula count'!$A$1:$P$319,12,FALSE)</f>
        <v>0.24748669826425601</v>
      </c>
      <c r="F217">
        <f>VLOOKUP(B217,'Model allocations'!$A$1:$L$319,11,FALSE)</f>
        <v>75941.126988511227</v>
      </c>
      <c r="G217" s="31">
        <f t="shared" si="74"/>
        <v>0.9</v>
      </c>
      <c r="H217">
        <f t="shared" si="75"/>
        <v>66862.81639022223</v>
      </c>
      <c r="I217">
        <f t="shared" si="57"/>
        <v>0</v>
      </c>
      <c r="J217">
        <f t="shared" si="58"/>
        <v>75941.126988511227</v>
      </c>
      <c r="K217">
        <f t="shared" si="59"/>
        <v>75925.721852527669</v>
      </c>
      <c r="L217">
        <f t="shared" si="60"/>
        <v>75925.721852527669</v>
      </c>
      <c r="M217">
        <f t="shared" si="61"/>
        <v>0</v>
      </c>
      <c r="N217" s="30">
        <f t="shared" si="62"/>
        <v>75925.721852527669</v>
      </c>
      <c r="O217" s="30">
        <f t="shared" si="63"/>
        <v>75923.787919286289</v>
      </c>
      <c r="P217" s="30">
        <f t="shared" si="64"/>
        <v>75923.787919286289</v>
      </c>
      <c r="Q217">
        <f t="shared" si="65"/>
        <v>0</v>
      </c>
      <c r="R217" s="30">
        <f t="shared" si="66"/>
        <v>75923.787919286289</v>
      </c>
      <c r="S217" s="30">
        <f t="shared" si="67"/>
        <v>75923.787919286333</v>
      </c>
      <c r="T217" s="30">
        <f t="shared" si="68"/>
        <v>75923.787919286333</v>
      </c>
      <c r="U217">
        <f t="shared" si="69"/>
        <v>0</v>
      </c>
      <c r="V217" s="30">
        <f t="shared" si="70"/>
        <v>75923.787919286333</v>
      </c>
      <c r="W217" s="30">
        <f t="shared" si="71"/>
        <v>75923.787919286333</v>
      </c>
      <c r="X217" s="30">
        <f t="shared" si="72"/>
        <v>75923.787919286333</v>
      </c>
      <c r="Y217">
        <f t="shared" si="73"/>
        <v>0</v>
      </c>
    </row>
    <row r="218" spans="1:25" x14ac:dyDescent="0.25">
      <c r="A218" s="4" t="s">
        <v>1079</v>
      </c>
      <c r="B218" s="7" t="s">
        <v>563</v>
      </c>
      <c r="C218" s="2" t="s">
        <v>1080</v>
      </c>
      <c r="D218">
        <f>VLOOKUP(B218,'Model allocations'!$A$1:$L$319,6,FALSE)</f>
        <v>63684.757109136328</v>
      </c>
      <c r="E218" s="32">
        <f>VLOOKUP(B218,'Initial adjusted formula count'!$A$1:$P$319,12,FALSE)</f>
        <v>0.17965023847376799</v>
      </c>
      <c r="F218">
        <f>VLOOKUP(B218,'Model allocations'!$A$1:$L$319,11,FALSE)</f>
        <v>70529.168619769625</v>
      </c>
      <c r="G218" s="31">
        <f t="shared" si="74"/>
        <v>0.9</v>
      </c>
      <c r="H218">
        <f t="shared" si="75"/>
        <v>57316.281398222694</v>
      </c>
      <c r="I218">
        <f t="shared" si="57"/>
        <v>0</v>
      </c>
      <c r="J218">
        <f t="shared" si="58"/>
        <v>70529.168619769625</v>
      </c>
      <c r="K218">
        <f t="shared" si="59"/>
        <v>70514.861333632565</v>
      </c>
      <c r="L218">
        <f t="shared" si="60"/>
        <v>70514.861333632565</v>
      </c>
      <c r="M218">
        <f t="shared" si="61"/>
        <v>0</v>
      </c>
      <c r="N218" s="30">
        <f t="shared" si="62"/>
        <v>70514.861333632565</v>
      </c>
      <c r="O218" s="30">
        <f t="shared" si="63"/>
        <v>70513.06522249899</v>
      </c>
      <c r="P218" s="30">
        <f t="shared" si="64"/>
        <v>70513.06522249899</v>
      </c>
      <c r="Q218">
        <f t="shared" si="65"/>
        <v>0</v>
      </c>
      <c r="R218" s="30">
        <f t="shared" si="66"/>
        <v>70513.06522249899</v>
      </c>
      <c r="S218" s="30">
        <f t="shared" si="67"/>
        <v>70513.065222499048</v>
      </c>
      <c r="T218" s="30">
        <f t="shared" si="68"/>
        <v>70513.065222499048</v>
      </c>
      <c r="U218">
        <f t="shared" si="69"/>
        <v>0</v>
      </c>
      <c r="V218" s="30">
        <f t="shared" si="70"/>
        <v>70513.065222499048</v>
      </c>
      <c r="W218" s="30">
        <f t="shared" si="71"/>
        <v>70513.065222499048</v>
      </c>
      <c r="X218" s="30">
        <f t="shared" si="72"/>
        <v>70513.065222499048</v>
      </c>
      <c r="Y218">
        <f t="shared" si="73"/>
        <v>0</v>
      </c>
    </row>
    <row r="219" spans="1:25" x14ac:dyDescent="0.25">
      <c r="A219" s="4" t="s">
        <v>1081</v>
      </c>
      <c r="B219" s="7" t="s">
        <v>565</v>
      </c>
      <c r="C219" s="2" t="s">
        <v>1082</v>
      </c>
      <c r="D219">
        <f>VLOOKUP(B219,'Model allocations'!$A$1:$L$319,6,FALSE)</f>
        <v>63360.292840287955</v>
      </c>
      <c r="E219" s="32">
        <f>VLOOKUP(B219,'Initial adjusted formula count'!$A$1:$P$319,12,FALSE)</f>
        <v>0.12676056338028199</v>
      </c>
      <c r="F219">
        <f>VLOOKUP(B219,'Model allocations'!$A$1:$L$319,11,FALSE)</f>
        <v>71521.760094284487</v>
      </c>
      <c r="G219" s="31">
        <f t="shared" si="74"/>
        <v>0.85</v>
      </c>
      <c r="H219">
        <f t="shared" si="75"/>
        <v>53856.248914244759</v>
      </c>
      <c r="I219">
        <f t="shared" si="57"/>
        <v>0</v>
      </c>
      <c r="J219">
        <f t="shared" si="58"/>
        <v>71521.760094284487</v>
      </c>
      <c r="K219">
        <f t="shared" si="59"/>
        <v>71507.25145471422</v>
      </c>
      <c r="L219">
        <f t="shared" si="60"/>
        <v>71507.25145471422</v>
      </c>
      <c r="M219">
        <f t="shared" si="61"/>
        <v>0</v>
      </c>
      <c r="N219" s="30">
        <f t="shared" si="62"/>
        <v>71507.25145471422</v>
      </c>
      <c r="O219" s="30">
        <f t="shared" si="63"/>
        <v>71505.430066030458</v>
      </c>
      <c r="P219" s="30">
        <f t="shared" si="64"/>
        <v>71505.430066030458</v>
      </c>
      <c r="Q219">
        <f t="shared" si="65"/>
        <v>0</v>
      </c>
      <c r="R219" s="30">
        <f t="shared" si="66"/>
        <v>71505.430066030458</v>
      </c>
      <c r="S219" s="30">
        <f t="shared" si="67"/>
        <v>71505.430066030516</v>
      </c>
      <c r="T219" s="30">
        <f t="shared" si="68"/>
        <v>71505.430066030516</v>
      </c>
      <c r="U219">
        <f t="shared" si="69"/>
        <v>0</v>
      </c>
      <c r="V219" s="30">
        <f t="shared" si="70"/>
        <v>71505.430066030516</v>
      </c>
      <c r="W219" s="30">
        <f t="shared" si="71"/>
        <v>71505.430066030516</v>
      </c>
      <c r="X219" s="30">
        <f t="shared" si="72"/>
        <v>71505.430066030516</v>
      </c>
      <c r="Y219">
        <f t="shared" si="73"/>
        <v>0</v>
      </c>
    </row>
    <row r="220" spans="1:25" x14ac:dyDescent="0.25">
      <c r="A220" s="4" t="s">
        <v>1083</v>
      </c>
      <c r="B220" s="7" t="s">
        <v>567</v>
      </c>
      <c r="C220" s="2" t="s">
        <v>1084</v>
      </c>
      <c r="D220">
        <f>VLOOKUP(B220,'Model allocations'!$A$1:$L$319,6,FALSE)</f>
        <v>1837135.8872284263</v>
      </c>
      <c r="E220" s="32">
        <f>VLOOKUP(B220,'Initial adjusted formula count'!$A$1:$P$319,12,FALSE)</f>
        <v>0.13021053749922801</v>
      </c>
      <c r="F220">
        <f>VLOOKUP(B220,'Model allocations'!$A$1:$L$319,11,FALSE)</f>
        <v>1752731.0727777588</v>
      </c>
      <c r="G220" s="31">
        <f t="shared" si="74"/>
        <v>0.85</v>
      </c>
      <c r="H220">
        <f t="shared" si="75"/>
        <v>1561565.5041441624</v>
      </c>
      <c r="I220">
        <f t="shared" si="57"/>
        <v>0</v>
      </c>
      <c r="J220">
        <f t="shared" si="58"/>
        <v>1752731.0727777588</v>
      </c>
      <c r="K220">
        <f t="shared" si="59"/>
        <v>1752375.5202387131</v>
      </c>
      <c r="L220">
        <f t="shared" si="60"/>
        <v>1752375.5202387131</v>
      </c>
      <c r="M220">
        <f t="shared" si="61"/>
        <v>0</v>
      </c>
      <c r="N220" s="30">
        <f t="shared" si="62"/>
        <v>1752375.5202387131</v>
      </c>
      <c r="O220" s="30">
        <f t="shared" si="63"/>
        <v>1752330.8848083571</v>
      </c>
      <c r="P220" s="30">
        <f t="shared" si="64"/>
        <v>1752330.8848083571</v>
      </c>
      <c r="Q220">
        <f t="shared" si="65"/>
        <v>0</v>
      </c>
      <c r="R220" s="30">
        <f t="shared" si="66"/>
        <v>1752330.8848083571</v>
      </c>
      <c r="S220" s="30">
        <f t="shared" si="67"/>
        <v>1752330.8848083585</v>
      </c>
      <c r="T220" s="30">
        <f t="shared" si="68"/>
        <v>1752330.8848083585</v>
      </c>
      <c r="U220">
        <f t="shared" si="69"/>
        <v>0</v>
      </c>
      <c r="V220" s="30">
        <f t="shared" si="70"/>
        <v>1752330.8848083585</v>
      </c>
      <c r="W220" s="30">
        <f t="shared" si="71"/>
        <v>1752330.8848083585</v>
      </c>
      <c r="X220" s="30">
        <f t="shared" si="72"/>
        <v>1752330.8848083585</v>
      </c>
      <c r="Y220">
        <f t="shared" si="73"/>
        <v>0</v>
      </c>
    </row>
    <row r="221" spans="1:25" x14ac:dyDescent="0.25">
      <c r="A221" s="4" t="s">
        <v>1085</v>
      </c>
      <c r="B221" s="7" t="s">
        <v>568</v>
      </c>
      <c r="C221" s="2" t="s">
        <v>1086</v>
      </c>
      <c r="D221">
        <f>VLOOKUP(B221,'Model allocations'!$A$1:$L$319,6,FALSE)</f>
        <v>61958.662977582375</v>
      </c>
      <c r="E221" s="32">
        <f>VLOOKUP(B221,'Initial adjusted formula count'!$A$1:$P$319,12,FALSE)</f>
        <v>0.247910863509749</v>
      </c>
      <c r="F221">
        <f>VLOOKUP(B221,'Model allocations'!$A$1:$L$319,11,FALSE)</f>
        <v>68694.763190779966</v>
      </c>
      <c r="G221" s="31">
        <f t="shared" si="74"/>
        <v>0.9</v>
      </c>
      <c r="H221">
        <f t="shared" si="75"/>
        <v>55762.79667982414</v>
      </c>
      <c r="I221">
        <f t="shared" si="57"/>
        <v>0</v>
      </c>
      <c r="J221">
        <f t="shared" si="58"/>
        <v>68694.763190779966</v>
      </c>
      <c r="K221">
        <f t="shared" si="59"/>
        <v>68680.828025339608</v>
      </c>
      <c r="L221">
        <f t="shared" si="60"/>
        <v>68680.828025339608</v>
      </c>
      <c r="M221">
        <f t="shared" si="61"/>
        <v>0</v>
      </c>
      <c r="N221" s="30">
        <f t="shared" si="62"/>
        <v>68680.828025339608</v>
      </c>
      <c r="O221" s="30">
        <f t="shared" si="63"/>
        <v>68679.078629573283</v>
      </c>
      <c r="P221" s="30">
        <f t="shared" si="64"/>
        <v>68679.078629573283</v>
      </c>
      <c r="Q221">
        <f t="shared" si="65"/>
        <v>0</v>
      </c>
      <c r="R221" s="30">
        <f t="shared" si="66"/>
        <v>68679.078629573283</v>
      </c>
      <c r="S221" s="30">
        <f t="shared" si="67"/>
        <v>68679.078629573327</v>
      </c>
      <c r="T221" s="30">
        <f t="shared" si="68"/>
        <v>68679.078629573327</v>
      </c>
      <c r="U221">
        <f t="shared" si="69"/>
        <v>0</v>
      </c>
      <c r="V221" s="30">
        <f t="shared" si="70"/>
        <v>68679.078629573327</v>
      </c>
      <c r="W221" s="30">
        <f t="shared" si="71"/>
        <v>68679.078629573327</v>
      </c>
      <c r="X221" s="30">
        <f t="shared" si="72"/>
        <v>68679.078629573327</v>
      </c>
      <c r="Y221">
        <f t="shared" si="73"/>
        <v>0</v>
      </c>
    </row>
    <row r="222" spans="1:25" x14ac:dyDescent="0.25">
      <c r="A222" s="4" t="s">
        <v>1087</v>
      </c>
      <c r="B222" s="7" t="s">
        <v>203</v>
      </c>
      <c r="C222" s="2" t="s">
        <v>1088</v>
      </c>
      <c r="D222">
        <f>VLOOKUP(B222,'Model allocations'!$A$1:$L$319,6,FALSE)</f>
        <v>1044361.7499358575</v>
      </c>
      <c r="E222" s="32">
        <f>VLOOKUP(B222,'Initial adjusted formula count'!$A$1:$P$319,12,FALSE)</f>
        <v>8.6653322141150596E-2</v>
      </c>
      <c r="F222">
        <f>VLOOKUP(B222,'Model allocations'!$A$1:$L$319,11,FALSE)</f>
        <v>946528.05521602673</v>
      </c>
      <c r="G222" s="31">
        <f t="shared" si="74"/>
        <v>0.85</v>
      </c>
      <c r="H222">
        <f t="shared" si="75"/>
        <v>887707.48744547879</v>
      </c>
      <c r="I222">
        <f t="shared" si="57"/>
        <v>0</v>
      </c>
      <c r="J222">
        <f t="shared" si="58"/>
        <v>946528.05521602673</v>
      </c>
      <c r="K222">
        <f t="shared" si="59"/>
        <v>946336.04603758699</v>
      </c>
      <c r="L222">
        <f t="shared" si="60"/>
        <v>946336.04603758699</v>
      </c>
      <c r="M222">
        <f t="shared" si="61"/>
        <v>0</v>
      </c>
      <c r="N222" s="30">
        <f t="shared" si="62"/>
        <v>946336.04603758699</v>
      </c>
      <c r="O222" s="30">
        <f t="shared" si="63"/>
        <v>946311.94154845877</v>
      </c>
      <c r="P222" s="30">
        <f t="shared" si="64"/>
        <v>946311.94154845877</v>
      </c>
      <c r="Q222">
        <f t="shared" si="65"/>
        <v>0</v>
      </c>
      <c r="R222" s="30">
        <f t="shared" si="66"/>
        <v>946311.94154845877</v>
      </c>
      <c r="S222" s="30">
        <f t="shared" si="67"/>
        <v>946311.94154845935</v>
      </c>
      <c r="T222" s="30">
        <f t="shared" si="68"/>
        <v>946311.94154845935</v>
      </c>
      <c r="U222">
        <f t="shared" si="69"/>
        <v>0</v>
      </c>
      <c r="V222" s="30">
        <f t="shared" si="70"/>
        <v>946311.94154845935</v>
      </c>
      <c r="W222" s="30">
        <f t="shared" si="71"/>
        <v>946311.94154845935</v>
      </c>
      <c r="X222" s="30">
        <f t="shared" si="72"/>
        <v>946311.94154845935</v>
      </c>
      <c r="Y222">
        <f t="shared" si="73"/>
        <v>0</v>
      </c>
    </row>
    <row r="223" spans="1:25" x14ac:dyDescent="0.25">
      <c r="A223" s="4" t="s">
        <v>1089</v>
      </c>
      <c r="B223" s="7" t="s">
        <v>205</v>
      </c>
      <c r="C223" s="2" t="s">
        <v>1090</v>
      </c>
      <c r="D223">
        <f>VLOOKUP(B223,'Model allocations'!$A$1:$L$319,6,FALSE)</f>
        <v>143508.35557842994</v>
      </c>
      <c r="E223" s="32">
        <f>VLOOKUP(B223,'Initial adjusted formula count'!$A$1:$P$319,12,FALSE)</f>
        <v>4.3057571359458202E-2</v>
      </c>
      <c r="F223">
        <f>VLOOKUP(B223,'Model allocations'!$A$1:$L$319,11,FALSE)</f>
        <v>0</v>
      </c>
      <c r="G223" s="31">
        <f t="shared" si="74"/>
        <v>0.85</v>
      </c>
      <c r="H223">
        <f t="shared" si="75"/>
        <v>0</v>
      </c>
      <c r="I223">
        <f t="shared" si="57"/>
        <v>0</v>
      </c>
      <c r="J223">
        <f t="shared" si="58"/>
        <v>0</v>
      </c>
      <c r="K223">
        <f t="shared" si="59"/>
        <v>0</v>
      </c>
      <c r="L223">
        <f t="shared" si="60"/>
        <v>0</v>
      </c>
      <c r="M223">
        <f t="shared" si="61"/>
        <v>0</v>
      </c>
      <c r="N223" s="30">
        <f t="shared" si="62"/>
        <v>0</v>
      </c>
      <c r="O223" s="30">
        <f t="shared" si="63"/>
        <v>0</v>
      </c>
      <c r="P223" s="30">
        <f t="shared" si="64"/>
        <v>0</v>
      </c>
      <c r="Q223">
        <f t="shared" si="65"/>
        <v>0</v>
      </c>
      <c r="R223" s="30">
        <f t="shared" si="66"/>
        <v>0</v>
      </c>
      <c r="S223" s="30">
        <f t="shared" si="67"/>
        <v>0</v>
      </c>
      <c r="T223" s="30">
        <f t="shared" si="68"/>
        <v>0</v>
      </c>
      <c r="U223">
        <f t="shared" si="69"/>
        <v>0</v>
      </c>
      <c r="V223" s="30">
        <f t="shared" si="70"/>
        <v>0</v>
      </c>
      <c r="W223" s="30">
        <f t="shared" si="71"/>
        <v>0</v>
      </c>
      <c r="X223" s="30">
        <f t="shared" si="72"/>
        <v>0</v>
      </c>
      <c r="Y223">
        <f t="shared" si="73"/>
        <v>0</v>
      </c>
    </row>
    <row r="224" spans="1:25" x14ac:dyDescent="0.25">
      <c r="A224" s="4" t="s">
        <v>1091</v>
      </c>
      <c r="B224" s="7" t="s">
        <v>207</v>
      </c>
      <c r="C224" s="2" t="s">
        <v>1092</v>
      </c>
      <c r="D224">
        <f>VLOOKUP(B224,'Model allocations'!$A$1:$L$319,6,FALSE)</f>
        <v>30867.834973473622</v>
      </c>
      <c r="E224" s="32">
        <f>VLOOKUP(B224,'Initial adjusted formula count'!$A$1:$P$319,12,FALSE)</f>
        <v>0.142517814726841</v>
      </c>
      <c r="F224">
        <f>VLOOKUP(B224,'Model allocations'!$A$1:$L$319,11,FALSE)</f>
        <v>34057.980997278333</v>
      </c>
      <c r="G224" s="31">
        <f t="shared" si="74"/>
        <v>0.85</v>
      </c>
      <c r="H224">
        <f t="shared" si="75"/>
        <v>26237.659727452577</v>
      </c>
      <c r="I224">
        <f t="shared" si="57"/>
        <v>0</v>
      </c>
      <c r="J224">
        <f t="shared" si="58"/>
        <v>34057.980997278333</v>
      </c>
      <c r="K224">
        <f t="shared" si="59"/>
        <v>34051.072121292491</v>
      </c>
      <c r="L224">
        <f t="shared" si="60"/>
        <v>34051.072121292491</v>
      </c>
      <c r="M224">
        <f t="shared" si="61"/>
        <v>0</v>
      </c>
      <c r="N224" s="30">
        <f t="shared" si="62"/>
        <v>34051.072121292491</v>
      </c>
      <c r="O224" s="30">
        <f t="shared" si="63"/>
        <v>34050.204793347846</v>
      </c>
      <c r="P224" s="30">
        <f t="shared" si="64"/>
        <v>34050.204793347846</v>
      </c>
      <c r="Q224">
        <f t="shared" si="65"/>
        <v>0</v>
      </c>
      <c r="R224" s="30">
        <f t="shared" si="66"/>
        <v>34050.204793347846</v>
      </c>
      <c r="S224" s="30">
        <f t="shared" si="67"/>
        <v>34050.204793347868</v>
      </c>
      <c r="T224" s="30">
        <f t="shared" si="68"/>
        <v>34050.204793347868</v>
      </c>
      <c r="U224">
        <f t="shared" si="69"/>
        <v>0</v>
      </c>
      <c r="V224" s="30">
        <f t="shared" si="70"/>
        <v>34050.204793347868</v>
      </c>
      <c r="W224" s="30">
        <f t="shared" si="71"/>
        <v>34050.204793347868</v>
      </c>
      <c r="X224" s="30">
        <f t="shared" si="72"/>
        <v>34050.204793347868</v>
      </c>
      <c r="Y224">
        <f t="shared" si="73"/>
        <v>0</v>
      </c>
    </row>
    <row r="225" spans="1:25" x14ac:dyDescent="0.25">
      <c r="A225" s="4" t="s">
        <v>1093</v>
      </c>
      <c r="B225" s="7" t="s">
        <v>300</v>
      </c>
      <c r="C225" s="2" t="s">
        <v>1094</v>
      </c>
      <c r="D225">
        <f>VLOOKUP(B225,'Model allocations'!$A$1:$L$319,6,FALSE)</f>
        <v>146757.60136511145</v>
      </c>
      <c r="E225" s="32">
        <f>VLOOKUP(B225,'Initial adjusted formula count'!$A$1:$P$319,12,FALSE)</f>
        <v>0.131862745098039</v>
      </c>
      <c r="F225">
        <f>VLOOKUP(B225,'Model allocations'!$A$1:$L$319,11,FALSE)</f>
        <v>152693.28147113114</v>
      </c>
      <c r="G225" s="31">
        <f t="shared" si="74"/>
        <v>0.85</v>
      </c>
      <c r="H225">
        <f t="shared" si="75"/>
        <v>124743.96116034473</v>
      </c>
      <c r="I225">
        <f t="shared" si="57"/>
        <v>0</v>
      </c>
      <c r="J225">
        <f t="shared" si="58"/>
        <v>152693.28147113114</v>
      </c>
      <c r="K225">
        <f t="shared" si="59"/>
        <v>152662.30667712796</v>
      </c>
      <c r="L225">
        <f t="shared" si="60"/>
        <v>152662.30667712796</v>
      </c>
      <c r="M225">
        <f t="shared" si="61"/>
        <v>0</v>
      </c>
      <c r="N225" s="30">
        <f t="shared" si="62"/>
        <v>152662.30667712796</v>
      </c>
      <c r="O225" s="30">
        <f t="shared" si="63"/>
        <v>152658.41815684282</v>
      </c>
      <c r="P225" s="30">
        <f t="shared" si="64"/>
        <v>152658.41815684282</v>
      </c>
      <c r="Q225">
        <f t="shared" si="65"/>
        <v>0</v>
      </c>
      <c r="R225" s="30">
        <f t="shared" si="66"/>
        <v>152658.41815684282</v>
      </c>
      <c r="S225" s="30">
        <f t="shared" si="67"/>
        <v>152658.41815684293</v>
      </c>
      <c r="T225" s="30">
        <f t="shared" si="68"/>
        <v>152658.41815684293</v>
      </c>
      <c r="U225">
        <f t="shared" si="69"/>
        <v>0</v>
      </c>
      <c r="V225" s="30">
        <f t="shared" si="70"/>
        <v>152658.41815684293</v>
      </c>
      <c r="W225" s="30">
        <f t="shared" si="71"/>
        <v>152658.41815684293</v>
      </c>
      <c r="X225" s="30">
        <f t="shared" si="72"/>
        <v>152658.41815684293</v>
      </c>
      <c r="Y225">
        <f t="shared" si="73"/>
        <v>0</v>
      </c>
    </row>
    <row r="226" spans="1:25" x14ac:dyDescent="0.25">
      <c r="A226" s="4" t="s">
        <v>1095</v>
      </c>
      <c r="B226" s="7" t="s">
        <v>209</v>
      </c>
      <c r="C226" s="2" t="s">
        <v>1096</v>
      </c>
      <c r="D226">
        <f>VLOOKUP(B226,'Model allocations'!$A$1:$L$319,6,FALSE)</f>
        <v>113182.06156940326</v>
      </c>
      <c r="E226" s="32">
        <f>VLOOKUP(B226,'Initial adjusted formula count'!$A$1:$P$319,12,FALSE)</f>
        <v>3.4935644864722899E-2</v>
      </c>
      <c r="F226">
        <f>VLOOKUP(B226,'Model allocations'!$A$1:$L$319,11,FALSE)</f>
        <v>0</v>
      </c>
      <c r="G226" s="31">
        <f t="shared" si="74"/>
        <v>0.85</v>
      </c>
      <c r="H226">
        <f t="shared" si="75"/>
        <v>0</v>
      </c>
      <c r="I226">
        <f t="shared" si="57"/>
        <v>0</v>
      </c>
      <c r="J226">
        <f t="shared" si="58"/>
        <v>0</v>
      </c>
      <c r="K226">
        <f t="shared" si="59"/>
        <v>0</v>
      </c>
      <c r="L226">
        <f t="shared" si="60"/>
        <v>0</v>
      </c>
      <c r="M226">
        <f t="shared" si="61"/>
        <v>0</v>
      </c>
      <c r="N226" s="30">
        <f t="shared" si="62"/>
        <v>0</v>
      </c>
      <c r="O226" s="30">
        <f t="shared" si="63"/>
        <v>0</v>
      </c>
      <c r="P226" s="30">
        <f t="shared" si="64"/>
        <v>0</v>
      </c>
      <c r="Q226">
        <f t="shared" si="65"/>
        <v>0</v>
      </c>
      <c r="R226" s="30">
        <f t="shared" si="66"/>
        <v>0</v>
      </c>
      <c r="S226" s="30">
        <f t="shared" si="67"/>
        <v>0</v>
      </c>
      <c r="T226" s="30">
        <f t="shared" si="68"/>
        <v>0</v>
      </c>
      <c r="U226">
        <f t="shared" si="69"/>
        <v>0</v>
      </c>
      <c r="V226" s="30">
        <f t="shared" si="70"/>
        <v>0</v>
      </c>
      <c r="W226" s="30">
        <f t="shared" si="71"/>
        <v>0</v>
      </c>
      <c r="X226" s="30">
        <f t="shared" si="72"/>
        <v>0</v>
      </c>
      <c r="Y226">
        <f t="shared" si="73"/>
        <v>0</v>
      </c>
    </row>
    <row r="227" spans="1:25" x14ac:dyDescent="0.25">
      <c r="A227" s="4" t="s">
        <v>1097</v>
      </c>
      <c r="B227" s="7" t="s">
        <v>570</v>
      </c>
      <c r="C227" s="2" t="s">
        <v>1098</v>
      </c>
      <c r="D227">
        <f>VLOOKUP(B227,'Model allocations'!$A$1:$L$319,6,FALSE)</f>
        <v>197120.91105867364</v>
      </c>
      <c r="E227" s="32">
        <f>VLOOKUP(B227,'Initial adjusted formula count'!$A$1:$P$319,12,FALSE)</f>
        <v>0.104561970125151</v>
      </c>
      <c r="F227">
        <f>VLOOKUP(B227,'Model allocations'!$A$1:$L$319,11,FALSE)</f>
        <v>167552.77439987258</v>
      </c>
      <c r="G227" s="31">
        <f t="shared" si="74"/>
        <v>0.85</v>
      </c>
      <c r="H227">
        <f t="shared" si="75"/>
        <v>167552.77439987258</v>
      </c>
      <c r="I227">
        <f t="shared" si="57"/>
        <v>0</v>
      </c>
      <c r="J227">
        <f t="shared" si="58"/>
        <v>167552.77439987258</v>
      </c>
      <c r="K227">
        <f t="shared" si="59"/>
        <v>167518.78526412477</v>
      </c>
      <c r="L227">
        <f t="shared" si="60"/>
        <v>167518.78526412477</v>
      </c>
      <c r="M227">
        <f t="shared" si="61"/>
        <v>167552.77439987258</v>
      </c>
      <c r="N227" s="30">
        <f t="shared" si="62"/>
        <v>0</v>
      </c>
      <c r="O227" s="30">
        <f t="shared" si="63"/>
        <v>0</v>
      </c>
      <c r="P227" s="30">
        <f t="shared" si="64"/>
        <v>167552.77439987258</v>
      </c>
      <c r="Q227">
        <f t="shared" si="65"/>
        <v>0</v>
      </c>
      <c r="R227" s="30">
        <f t="shared" si="66"/>
        <v>0</v>
      </c>
      <c r="S227" s="30">
        <f t="shared" si="67"/>
        <v>0</v>
      </c>
      <c r="T227" s="30">
        <f t="shared" si="68"/>
        <v>167552.77439987258</v>
      </c>
      <c r="U227">
        <f t="shared" si="69"/>
        <v>0</v>
      </c>
      <c r="V227" s="30">
        <f t="shared" si="70"/>
        <v>0</v>
      </c>
      <c r="W227" s="30">
        <f t="shared" si="71"/>
        <v>0</v>
      </c>
      <c r="X227" s="30">
        <f t="shared" si="72"/>
        <v>167552.77439987258</v>
      </c>
      <c r="Y227">
        <f t="shared" si="73"/>
        <v>0</v>
      </c>
    </row>
    <row r="228" spans="1:25" x14ac:dyDescent="0.25">
      <c r="A228" s="4" t="s">
        <v>1099</v>
      </c>
      <c r="B228" s="7" t="s">
        <v>302</v>
      </c>
      <c r="C228" s="2" t="s">
        <v>1100</v>
      </c>
      <c r="D228">
        <f>VLOOKUP(B228,'Model allocations'!$A$1:$L$319,6,FALSE)</f>
        <v>6956.0801497963921</v>
      </c>
      <c r="E228" s="32">
        <f>VLOOKUP(B228,'Initial adjusted formula count'!$A$1:$P$319,12,FALSE)</f>
        <v>0.119047619047619</v>
      </c>
      <c r="F228">
        <f>VLOOKUP(B228,'Model allocations'!$A$1:$L$319,11,FALSE)</f>
        <v>0</v>
      </c>
      <c r="G228" s="31">
        <f t="shared" si="74"/>
        <v>0.85</v>
      </c>
      <c r="H228">
        <f t="shared" si="75"/>
        <v>0</v>
      </c>
      <c r="I228">
        <f t="shared" si="57"/>
        <v>0</v>
      </c>
      <c r="J228">
        <f t="shared" si="58"/>
        <v>0</v>
      </c>
      <c r="K228">
        <f t="shared" si="59"/>
        <v>0</v>
      </c>
      <c r="L228">
        <f t="shared" si="60"/>
        <v>0</v>
      </c>
      <c r="M228">
        <f t="shared" si="61"/>
        <v>0</v>
      </c>
      <c r="N228" s="30">
        <f t="shared" si="62"/>
        <v>0</v>
      </c>
      <c r="O228" s="30">
        <f t="shared" si="63"/>
        <v>0</v>
      </c>
      <c r="P228" s="30">
        <f t="shared" si="64"/>
        <v>0</v>
      </c>
      <c r="Q228">
        <f t="shared" si="65"/>
        <v>0</v>
      </c>
      <c r="R228" s="30">
        <f t="shared" si="66"/>
        <v>0</v>
      </c>
      <c r="S228" s="30">
        <f t="shared" si="67"/>
        <v>0</v>
      </c>
      <c r="T228" s="30">
        <f t="shared" si="68"/>
        <v>0</v>
      </c>
      <c r="U228">
        <f t="shared" si="69"/>
        <v>0</v>
      </c>
      <c r="V228" s="30">
        <f t="shared" si="70"/>
        <v>0</v>
      </c>
      <c r="W228" s="30">
        <f t="shared" si="71"/>
        <v>0</v>
      </c>
      <c r="X228" s="30">
        <f t="shared" si="72"/>
        <v>0</v>
      </c>
      <c r="Y228">
        <f t="shared" si="73"/>
        <v>0</v>
      </c>
    </row>
    <row r="229" spans="1:25" x14ac:dyDescent="0.25">
      <c r="A229" s="4" t="s">
        <v>1101</v>
      </c>
      <c r="B229" s="7" t="s">
        <v>572</v>
      </c>
      <c r="C229" s="2" t="s">
        <v>1102</v>
      </c>
      <c r="D229">
        <f>VLOOKUP(B229,'Model allocations'!$A$1:$L$319,6,FALSE)</f>
        <v>20825.499328770202</v>
      </c>
      <c r="E229" s="32">
        <f>VLOOKUP(B229,'Initial adjusted formula count'!$A$1:$P$319,12,FALSE)</f>
        <v>0.139240506329114</v>
      </c>
      <c r="F229">
        <f>VLOOKUP(B229,'Model allocations'!$A$1:$L$319,11,FALSE)</f>
        <v>18731.889548503073</v>
      </c>
      <c r="G229" s="31">
        <f t="shared" si="74"/>
        <v>0.85</v>
      </c>
      <c r="H229">
        <f t="shared" si="75"/>
        <v>17701.67442945467</v>
      </c>
      <c r="I229">
        <f t="shared" si="57"/>
        <v>0</v>
      </c>
      <c r="J229">
        <f t="shared" si="58"/>
        <v>18731.889548503073</v>
      </c>
      <c r="K229">
        <f t="shared" si="59"/>
        <v>18728.089666710861</v>
      </c>
      <c r="L229">
        <f t="shared" si="60"/>
        <v>18728.089666710861</v>
      </c>
      <c r="M229">
        <f t="shared" si="61"/>
        <v>0</v>
      </c>
      <c r="N229" s="30">
        <f t="shared" si="62"/>
        <v>18728.089666710861</v>
      </c>
      <c r="O229" s="30">
        <f t="shared" si="63"/>
        <v>18727.612636341306</v>
      </c>
      <c r="P229" s="30">
        <f t="shared" si="64"/>
        <v>18727.612636341306</v>
      </c>
      <c r="Q229">
        <f t="shared" si="65"/>
        <v>0</v>
      </c>
      <c r="R229" s="30">
        <f t="shared" si="66"/>
        <v>18727.612636341306</v>
      </c>
      <c r="S229" s="30">
        <f t="shared" si="67"/>
        <v>18727.612636341317</v>
      </c>
      <c r="T229" s="30">
        <f t="shared" si="68"/>
        <v>18727.612636341317</v>
      </c>
      <c r="U229">
        <f t="shared" si="69"/>
        <v>0</v>
      </c>
      <c r="V229" s="30">
        <f t="shared" si="70"/>
        <v>18727.612636341317</v>
      </c>
      <c r="W229" s="30">
        <f t="shared" si="71"/>
        <v>18727.612636341317</v>
      </c>
      <c r="X229" s="30">
        <f t="shared" si="72"/>
        <v>18727.612636341317</v>
      </c>
      <c r="Y229">
        <f t="shared" si="73"/>
        <v>0</v>
      </c>
    </row>
    <row r="230" spans="1:25" x14ac:dyDescent="0.25">
      <c r="A230" s="4" t="s">
        <v>1103</v>
      </c>
      <c r="B230" s="7" t="s">
        <v>574</v>
      </c>
      <c r="C230" s="2" t="s">
        <v>1104</v>
      </c>
      <c r="D230">
        <f>VLOOKUP(B230,'Model allocations'!$A$1:$L$319,6,FALSE)</f>
        <v>180093.62442456346</v>
      </c>
      <c r="E230" s="32">
        <f>VLOOKUP(B230,'Initial adjusted formula count'!$A$1:$P$319,12,FALSE)</f>
        <v>0.16048632218844999</v>
      </c>
      <c r="F230">
        <f>VLOOKUP(B230,'Model allocations'!$A$1:$L$319,11,FALSE)</f>
        <v>162084.26198210713</v>
      </c>
      <c r="G230" s="31">
        <f t="shared" si="74"/>
        <v>0.9</v>
      </c>
      <c r="H230">
        <f t="shared" si="75"/>
        <v>162084.26198210713</v>
      </c>
      <c r="I230">
        <f t="shared" si="57"/>
        <v>0</v>
      </c>
      <c r="J230">
        <f t="shared" si="58"/>
        <v>162084.26198210713</v>
      </c>
      <c r="K230">
        <f t="shared" si="59"/>
        <v>162051.38216855095</v>
      </c>
      <c r="L230">
        <f t="shared" si="60"/>
        <v>162051.38216855095</v>
      </c>
      <c r="M230">
        <f t="shared" si="61"/>
        <v>162084.26198210713</v>
      </c>
      <c r="N230" s="30">
        <f t="shared" si="62"/>
        <v>0</v>
      </c>
      <c r="O230" s="30">
        <f t="shared" si="63"/>
        <v>0</v>
      </c>
      <c r="P230" s="30">
        <f t="shared" si="64"/>
        <v>162084.26198210713</v>
      </c>
      <c r="Q230">
        <f t="shared" si="65"/>
        <v>0</v>
      </c>
      <c r="R230" s="30">
        <f t="shared" si="66"/>
        <v>0</v>
      </c>
      <c r="S230" s="30">
        <f t="shared" si="67"/>
        <v>0</v>
      </c>
      <c r="T230" s="30">
        <f t="shared" si="68"/>
        <v>162084.26198210713</v>
      </c>
      <c r="U230">
        <f t="shared" si="69"/>
        <v>0</v>
      </c>
      <c r="V230" s="30">
        <f t="shared" si="70"/>
        <v>0</v>
      </c>
      <c r="W230" s="30">
        <f t="shared" si="71"/>
        <v>0</v>
      </c>
      <c r="X230" s="30">
        <f t="shared" si="72"/>
        <v>162084.26198210713</v>
      </c>
      <c r="Y230">
        <f t="shared" si="73"/>
        <v>0</v>
      </c>
    </row>
    <row r="231" spans="1:25" x14ac:dyDescent="0.25">
      <c r="A231" s="4" t="s">
        <v>1105</v>
      </c>
      <c r="B231" s="7" t="s">
        <v>211</v>
      </c>
      <c r="C231" s="2" t="s">
        <v>1106</v>
      </c>
      <c r="D231">
        <f>VLOOKUP(B231,'Model allocations'!$A$1:$L$319,6,FALSE)</f>
        <v>64984.915733628666</v>
      </c>
      <c r="E231" s="32">
        <f>VLOOKUP(B231,'Initial adjusted formula count'!$A$1:$P$319,12,FALSE)</f>
        <v>8.8764044943820203E-2</v>
      </c>
      <c r="F231">
        <f>VLOOKUP(B231,'Model allocations'!$A$1:$L$319,11,FALSE)</f>
        <v>55237.178373584364</v>
      </c>
      <c r="G231" s="31">
        <f t="shared" si="74"/>
        <v>0.85</v>
      </c>
      <c r="H231">
        <f t="shared" si="75"/>
        <v>55237.178373584364</v>
      </c>
      <c r="I231">
        <f t="shared" si="57"/>
        <v>0</v>
      </c>
      <c r="J231">
        <f t="shared" si="58"/>
        <v>55237.178373584364</v>
      </c>
      <c r="K231">
        <f t="shared" si="59"/>
        <v>55225.973163997172</v>
      </c>
      <c r="L231">
        <f t="shared" si="60"/>
        <v>55225.973163997172</v>
      </c>
      <c r="M231">
        <f t="shared" si="61"/>
        <v>55237.178373584364</v>
      </c>
      <c r="N231" s="30">
        <f t="shared" si="62"/>
        <v>0</v>
      </c>
      <c r="O231" s="30">
        <f t="shared" si="63"/>
        <v>0</v>
      </c>
      <c r="P231" s="30">
        <f t="shared" si="64"/>
        <v>55237.178373584364</v>
      </c>
      <c r="Q231">
        <f t="shared" si="65"/>
        <v>0</v>
      </c>
      <c r="R231" s="30">
        <f t="shared" si="66"/>
        <v>0</v>
      </c>
      <c r="S231" s="30">
        <f t="shared" si="67"/>
        <v>0</v>
      </c>
      <c r="T231" s="30">
        <f t="shared" si="68"/>
        <v>55237.178373584364</v>
      </c>
      <c r="U231">
        <f t="shared" si="69"/>
        <v>0</v>
      </c>
      <c r="V231" s="30">
        <f t="shared" si="70"/>
        <v>0</v>
      </c>
      <c r="W231" s="30">
        <f t="shared" si="71"/>
        <v>0</v>
      </c>
      <c r="X231" s="30">
        <f t="shared" si="72"/>
        <v>55237.178373584364</v>
      </c>
      <c r="Y231">
        <f t="shared" si="73"/>
        <v>0</v>
      </c>
    </row>
    <row r="232" spans="1:25" x14ac:dyDescent="0.25">
      <c r="A232" s="4" t="s">
        <v>1107</v>
      </c>
      <c r="B232" s="7" t="s">
        <v>576</v>
      </c>
      <c r="C232" s="2" t="s">
        <v>1108</v>
      </c>
      <c r="D232">
        <f>VLOOKUP(B232,'Model allocations'!$A$1:$L$319,6,FALSE)</f>
        <v>13762.072221296325</v>
      </c>
      <c r="E232" s="32">
        <f>VLOOKUP(B232,'Initial adjusted formula count'!$A$1:$P$319,12,FALSE)</f>
        <v>0.163636363636364</v>
      </c>
      <c r="F232">
        <f>VLOOKUP(B232,'Model allocations'!$A$1:$L$319,11,FALSE)</f>
        <v>12385.864999166692</v>
      </c>
      <c r="G232" s="31">
        <f t="shared" si="74"/>
        <v>0.9</v>
      </c>
      <c r="H232">
        <f t="shared" si="75"/>
        <v>12385.864999166692</v>
      </c>
      <c r="I232">
        <f t="shared" si="57"/>
        <v>0</v>
      </c>
      <c r="J232">
        <f t="shared" si="58"/>
        <v>12385.864999166692</v>
      </c>
      <c r="K232">
        <f t="shared" si="59"/>
        <v>12383.352448429659</v>
      </c>
      <c r="L232">
        <f t="shared" si="60"/>
        <v>12383.352448429659</v>
      </c>
      <c r="M232">
        <f t="shared" si="61"/>
        <v>12385.864999166692</v>
      </c>
      <c r="N232" s="30">
        <f t="shared" si="62"/>
        <v>0</v>
      </c>
      <c r="O232" s="30">
        <f t="shared" si="63"/>
        <v>0</v>
      </c>
      <c r="P232" s="30">
        <f t="shared" si="64"/>
        <v>12385.864999166692</v>
      </c>
      <c r="Q232">
        <f t="shared" si="65"/>
        <v>0</v>
      </c>
      <c r="R232" s="30">
        <f t="shared" si="66"/>
        <v>0</v>
      </c>
      <c r="S232" s="30">
        <f t="shared" si="67"/>
        <v>0</v>
      </c>
      <c r="T232" s="30">
        <f t="shared" si="68"/>
        <v>12385.864999166692</v>
      </c>
      <c r="U232">
        <f t="shared" si="69"/>
        <v>0</v>
      </c>
      <c r="V232" s="30">
        <f t="shared" si="70"/>
        <v>0</v>
      </c>
      <c r="W232" s="30">
        <f t="shared" si="71"/>
        <v>0</v>
      </c>
      <c r="X232" s="30">
        <f t="shared" si="72"/>
        <v>12385.864999166692</v>
      </c>
      <c r="Y232">
        <f t="shared" si="73"/>
        <v>0</v>
      </c>
    </row>
    <row r="233" spans="1:25" x14ac:dyDescent="0.25">
      <c r="A233" s="8" t="s">
        <v>53</v>
      </c>
      <c r="B233" s="7" t="s">
        <v>86</v>
      </c>
      <c r="C233" s="2" t="s">
        <v>1109</v>
      </c>
      <c r="D233">
        <f>VLOOKUP(B233,'Model allocations'!$A$1:$L$319,6,FALSE)</f>
        <v>16419.682131284098</v>
      </c>
      <c r="E233" s="32">
        <f>VLOOKUP(B233,'Initial adjusted formula count'!$A$1:$P$319,12,FALSE)</f>
        <v>0.161881229070443</v>
      </c>
      <c r="F233">
        <f>VLOOKUP(B233,'Model allocations'!$A$1:$L$319,11,FALSE)</f>
        <v>18419.222518593659</v>
      </c>
      <c r="G233" s="31">
        <f t="shared" si="74"/>
        <v>0.9</v>
      </c>
      <c r="H233">
        <f t="shared" si="75"/>
        <v>14777.713918155689</v>
      </c>
      <c r="I233">
        <f t="shared" si="57"/>
        <v>0</v>
      </c>
      <c r="J233">
        <f t="shared" si="58"/>
        <v>18419.222518593659</v>
      </c>
      <c r="K233">
        <f t="shared" si="59"/>
        <v>18415.486063278036</v>
      </c>
      <c r="L233">
        <f t="shared" si="60"/>
        <v>18415.486063278036</v>
      </c>
      <c r="M233">
        <f t="shared" si="61"/>
        <v>0</v>
      </c>
      <c r="N233" s="30">
        <f t="shared" si="62"/>
        <v>18415.486063278036</v>
      </c>
      <c r="O233" s="30">
        <f t="shared" si="63"/>
        <v>18415.016995355007</v>
      </c>
      <c r="P233" s="30">
        <f t="shared" si="64"/>
        <v>18415.016995355007</v>
      </c>
      <c r="Q233">
        <f t="shared" si="65"/>
        <v>0</v>
      </c>
      <c r="R233" s="30">
        <f t="shared" si="66"/>
        <v>18415.016995355007</v>
      </c>
      <c r="S233" s="30">
        <f t="shared" si="67"/>
        <v>18415.016995355018</v>
      </c>
      <c r="T233" s="30">
        <f t="shared" si="68"/>
        <v>18415.016995355018</v>
      </c>
      <c r="U233">
        <f t="shared" si="69"/>
        <v>0</v>
      </c>
      <c r="V233" s="30">
        <f t="shared" si="70"/>
        <v>18415.016995355018</v>
      </c>
      <c r="W233" s="30">
        <f t="shared" si="71"/>
        <v>18415.016995355018</v>
      </c>
      <c r="X233" s="30">
        <f t="shared" si="72"/>
        <v>18415.016995355018</v>
      </c>
      <c r="Y233">
        <f t="shared" si="73"/>
        <v>0</v>
      </c>
    </row>
    <row r="234" spans="1:25" x14ac:dyDescent="0.25">
      <c r="A234" s="4" t="s">
        <v>49</v>
      </c>
      <c r="B234" s="7" t="s">
        <v>85</v>
      </c>
      <c r="C234" s="2" t="s">
        <v>1110</v>
      </c>
      <c r="D234">
        <f>VLOOKUP(B234,'Model allocations'!$A$1:$L$319,6,FALSE)</f>
        <v>0</v>
      </c>
      <c r="E234" s="32">
        <f>VLOOKUP(B234,'Initial adjusted formula count'!$A$1:$P$319,12,FALSE)</f>
        <v>6.2873869957482995E-2</v>
      </c>
      <c r="F234">
        <f>VLOOKUP(B234,'Model allocations'!$A$1:$L$319,11,FALSE)</f>
        <v>0</v>
      </c>
      <c r="G234" s="31">
        <f t="shared" si="74"/>
        <v>0.85</v>
      </c>
      <c r="H234">
        <f t="shared" si="75"/>
        <v>0</v>
      </c>
      <c r="I234">
        <f t="shared" si="57"/>
        <v>0</v>
      </c>
      <c r="J234">
        <f t="shared" si="58"/>
        <v>0</v>
      </c>
      <c r="K234">
        <f t="shared" si="59"/>
        <v>0</v>
      </c>
      <c r="L234">
        <f t="shared" si="60"/>
        <v>0</v>
      </c>
      <c r="M234">
        <f t="shared" si="61"/>
        <v>0</v>
      </c>
      <c r="N234" s="30">
        <f t="shared" si="62"/>
        <v>0</v>
      </c>
      <c r="O234" s="30">
        <f t="shared" si="63"/>
        <v>0</v>
      </c>
      <c r="P234" s="30">
        <f t="shared" si="64"/>
        <v>0</v>
      </c>
      <c r="Q234">
        <f t="shared" si="65"/>
        <v>0</v>
      </c>
      <c r="R234" s="30">
        <f t="shared" si="66"/>
        <v>0</v>
      </c>
      <c r="S234" s="30">
        <f t="shared" si="67"/>
        <v>0</v>
      </c>
      <c r="T234" s="30">
        <f t="shared" si="68"/>
        <v>0</v>
      </c>
      <c r="U234">
        <f t="shared" si="69"/>
        <v>0</v>
      </c>
      <c r="V234" s="30">
        <f t="shared" si="70"/>
        <v>0</v>
      </c>
      <c r="W234" s="30">
        <f t="shared" si="71"/>
        <v>0</v>
      </c>
      <c r="X234" s="30">
        <f t="shared" si="72"/>
        <v>0</v>
      </c>
      <c r="Y234">
        <f t="shared" si="73"/>
        <v>0</v>
      </c>
    </row>
    <row r="235" spans="1:25" x14ac:dyDescent="0.25">
      <c r="A235" s="4" t="s">
        <v>25</v>
      </c>
      <c r="B235" s="7" t="s">
        <v>62</v>
      </c>
      <c r="C235" s="2" t="s">
        <v>1111</v>
      </c>
      <c r="D235">
        <f>VLOOKUP(B235,'Model allocations'!$A$1:$L$319,6,FALSE)</f>
        <v>6715976.2331416188</v>
      </c>
      <c r="E235" s="32">
        <f>VLOOKUP(B235,'Initial adjusted formula count'!$A$1:$P$319,12,FALSE)</f>
        <v>8.5160606529718103E-2</v>
      </c>
      <c r="F235">
        <f>VLOOKUP(B235,'Model allocations'!$A$1:$L$319,11,FALSE)</f>
        <v>5767491.5706637297</v>
      </c>
      <c r="G235" s="31">
        <f t="shared" si="74"/>
        <v>0.85</v>
      </c>
      <c r="H235">
        <f t="shared" si="75"/>
        <v>5708579.7981703756</v>
      </c>
      <c r="I235">
        <f t="shared" si="57"/>
        <v>0</v>
      </c>
      <c r="J235">
        <f t="shared" si="58"/>
        <v>5767491.5706637297</v>
      </c>
      <c r="K235">
        <f t="shared" si="59"/>
        <v>5766321.5986676123</v>
      </c>
      <c r="L235">
        <f t="shared" si="60"/>
        <v>5766321.5986676123</v>
      </c>
      <c r="M235">
        <f t="shared" si="61"/>
        <v>0</v>
      </c>
      <c r="N235" s="30">
        <f t="shared" si="62"/>
        <v>5766321.5986676123</v>
      </c>
      <c r="O235" s="30">
        <f t="shared" si="63"/>
        <v>5766174.7224740367</v>
      </c>
      <c r="P235" s="30">
        <f t="shared" si="64"/>
        <v>5766174.7224740367</v>
      </c>
      <c r="Q235">
        <f t="shared" si="65"/>
        <v>0</v>
      </c>
      <c r="R235" s="30">
        <f t="shared" si="66"/>
        <v>5766174.7224740367</v>
      </c>
      <c r="S235" s="30">
        <f t="shared" si="67"/>
        <v>5766174.7224740405</v>
      </c>
      <c r="T235" s="30">
        <f t="shared" si="68"/>
        <v>5766174.7224740405</v>
      </c>
      <c r="U235">
        <f t="shared" si="69"/>
        <v>0</v>
      </c>
      <c r="V235" s="30">
        <f t="shared" si="70"/>
        <v>5766174.7224740405</v>
      </c>
      <c r="W235" s="30">
        <f t="shared" si="71"/>
        <v>5766174.7224740405</v>
      </c>
      <c r="X235" s="30">
        <f t="shared" si="72"/>
        <v>5766174.7224740405</v>
      </c>
      <c r="Y235">
        <f t="shared" si="73"/>
        <v>0</v>
      </c>
    </row>
    <row r="236" spans="1:25" x14ac:dyDescent="0.25">
      <c r="A236" s="4" t="s">
        <v>1112</v>
      </c>
      <c r="B236" s="7" t="s">
        <v>304</v>
      </c>
      <c r="C236" s="2" t="s">
        <v>1113</v>
      </c>
      <c r="D236">
        <f>VLOOKUP(B236,'Model allocations'!$A$1:$L$319,6,FALSE)</f>
        <v>352543.16785493563</v>
      </c>
      <c r="E236" s="32">
        <f>VLOOKUP(B236,'Initial adjusted formula count'!$A$1:$P$319,12,FALSE)</f>
        <v>0.1206762534007</v>
      </c>
      <c r="F236">
        <f>VLOOKUP(B236,'Model allocations'!$A$1:$L$319,11,FALSE)</f>
        <v>352500.10332183063</v>
      </c>
      <c r="G236" s="31">
        <f t="shared" si="74"/>
        <v>0.85</v>
      </c>
      <c r="H236">
        <f t="shared" si="75"/>
        <v>299661.6926766953</v>
      </c>
      <c r="I236">
        <f t="shared" si="57"/>
        <v>0</v>
      </c>
      <c r="J236">
        <f t="shared" si="58"/>
        <v>352500.10332183063</v>
      </c>
      <c r="K236">
        <f t="shared" si="59"/>
        <v>352428.59645537718</v>
      </c>
      <c r="L236">
        <f t="shared" si="60"/>
        <v>352428.59645537718</v>
      </c>
      <c r="M236">
        <f t="shared" si="61"/>
        <v>0</v>
      </c>
      <c r="N236" s="30">
        <f t="shared" si="62"/>
        <v>352428.59645537718</v>
      </c>
      <c r="O236" s="30">
        <f t="shared" si="63"/>
        <v>352419.61961115006</v>
      </c>
      <c r="P236" s="30">
        <f t="shared" si="64"/>
        <v>352419.61961115006</v>
      </c>
      <c r="Q236">
        <f t="shared" si="65"/>
        <v>0</v>
      </c>
      <c r="R236" s="30">
        <f t="shared" si="66"/>
        <v>352419.61961115006</v>
      </c>
      <c r="S236" s="30">
        <f t="shared" si="67"/>
        <v>352419.61961115029</v>
      </c>
      <c r="T236" s="30">
        <f t="shared" si="68"/>
        <v>352419.61961115029</v>
      </c>
      <c r="U236">
        <f t="shared" si="69"/>
        <v>0</v>
      </c>
      <c r="V236" s="30">
        <f t="shared" si="70"/>
        <v>352419.61961115029</v>
      </c>
      <c r="W236" s="30">
        <f t="shared" si="71"/>
        <v>352419.61961115029</v>
      </c>
      <c r="X236" s="30">
        <f t="shared" si="72"/>
        <v>352419.61961115029</v>
      </c>
      <c r="Y236">
        <f t="shared" si="73"/>
        <v>0</v>
      </c>
    </row>
    <row r="237" spans="1:25" x14ac:dyDescent="0.25">
      <c r="A237" s="4" t="s">
        <v>1114</v>
      </c>
      <c r="B237" s="7" t="s">
        <v>578</v>
      </c>
      <c r="C237" s="2" t="s">
        <v>1115</v>
      </c>
      <c r="D237">
        <f>VLOOKUP(B237,'Model allocations'!$A$1:$L$319,6,FALSE)</f>
        <v>251816.54846781114</v>
      </c>
      <c r="E237" s="32">
        <f>VLOOKUP(B237,'Initial adjusted formula count'!$A$1:$P$319,12,FALSE)</f>
        <v>0.11419679195594901</v>
      </c>
      <c r="F237">
        <f>VLOOKUP(B237,'Model allocations'!$A$1:$L$319,11,FALSE)</f>
        <v>270760.94892836263</v>
      </c>
      <c r="G237" s="31">
        <f t="shared" si="74"/>
        <v>0.85</v>
      </c>
      <c r="H237">
        <f t="shared" si="75"/>
        <v>214044.06619763948</v>
      </c>
      <c r="I237">
        <f t="shared" si="57"/>
        <v>0</v>
      </c>
      <c r="J237">
        <f t="shared" si="58"/>
        <v>270760.94892836263</v>
      </c>
      <c r="K237">
        <f t="shared" si="59"/>
        <v>270706.02336427523</v>
      </c>
      <c r="L237">
        <f t="shared" si="60"/>
        <v>270706.02336427523</v>
      </c>
      <c r="M237">
        <f t="shared" si="61"/>
        <v>0</v>
      </c>
      <c r="N237" s="30">
        <f t="shared" si="62"/>
        <v>270706.02336427523</v>
      </c>
      <c r="O237" s="30">
        <f t="shared" si="63"/>
        <v>270699.12810711534</v>
      </c>
      <c r="P237" s="30">
        <f t="shared" si="64"/>
        <v>270699.12810711534</v>
      </c>
      <c r="Q237">
        <f t="shared" si="65"/>
        <v>0</v>
      </c>
      <c r="R237" s="30">
        <f t="shared" si="66"/>
        <v>270699.12810711534</v>
      </c>
      <c r="S237" s="30">
        <f t="shared" si="67"/>
        <v>270699.12810711551</v>
      </c>
      <c r="T237" s="30">
        <f t="shared" si="68"/>
        <v>270699.12810711551</v>
      </c>
      <c r="U237">
        <f t="shared" si="69"/>
        <v>0</v>
      </c>
      <c r="V237" s="30">
        <f t="shared" si="70"/>
        <v>270699.12810711551</v>
      </c>
      <c r="W237" s="30">
        <f t="shared" si="71"/>
        <v>270699.12810711551</v>
      </c>
      <c r="X237" s="30">
        <f t="shared" si="72"/>
        <v>270699.12810711551</v>
      </c>
      <c r="Y237">
        <f t="shared" si="73"/>
        <v>0</v>
      </c>
    </row>
    <row r="238" spans="1:25" x14ac:dyDescent="0.25">
      <c r="A238" s="4" t="s">
        <v>1116</v>
      </c>
      <c r="B238" s="7" t="s">
        <v>580</v>
      </c>
      <c r="C238" s="2" t="s">
        <v>1117</v>
      </c>
      <c r="D238">
        <f>VLOOKUP(B238,'Model allocations'!$A$1:$L$319,6,FALSE)</f>
        <v>59829.540521762916</v>
      </c>
      <c r="E238" s="32">
        <f>VLOOKUP(B238,'Initial adjusted formula count'!$A$1:$P$319,12,FALSE)</f>
        <v>0.27564102564102599</v>
      </c>
      <c r="F238">
        <f>VLOOKUP(B238,'Model allocations'!$A$1:$L$319,11,FALSE)</f>
        <v>71978.931725871269</v>
      </c>
      <c r="G238" s="31">
        <f t="shared" si="74"/>
        <v>0.9</v>
      </c>
      <c r="H238">
        <f t="shared" si="75"/>
        <v>53846.586469586626</v>
      </c>
      <c r="I238">
        <f t="shared" si="57"/>
        <v>0</v>
      </c>
      <c r="J238">
        <f t="shared" si="58"/>
        <v>71978.931725871269</v>
      </c>
      <c r="K238">
        <f t="shared" si="59"/>
        <v>71964.330346155693</v>
      </c>
      <c r="L238">
        <f t="shared" si="60"/>
        <v>71964.330346155693</v>
      </c>
      <c r="M238">
        <f t="shared" si="61"/>
        <v>0</v>
      </c>
      <c r="N238" s="30">
        <f t="shared" si="62"/>
        <v>71964.330346155693</v>
      </c>
      <c r="O238" s="30">
        <f t="shared" si="63"/>
        <v>71962.497315039829</v>
      </c>
      <c r="P238" s="30">
        <f t="shared" si="64"/>
        <v>71962.497315039829</v>
      </c>
      <c r="Q238">
        <f t="shared" si="65"/>
        <v>0</v>
      </c>
      <c r="R238" s="30">
        <f t="shared" si="66"/>
        <v>71962.497315039829</v>
      </c>
      <c r="S238" s="30">
        <f t="shared" si="67"/>
        <v>71962.497315039873</v>
      </c>
      <c r="T238" s="30">
        <f t="shared" si="68"/>
        <v>71962.497315039873</v>
      </c>
      <c r="U238">
        <f t="shared" si="69"/>
        <v>0</v>
      </c>
      <c r="V238" s="30">
        <f t="shared" si="70"/>
        <v>71962.497315039873</v>
      </c>
      <c r="W238" s="30">
        <f t="shared" si="71"/>
        <v>71962.497315039873</v>
      </c>
      <c r="X238" s="30">
        <f t="shared" si="72"/>
        <v>71962.497315039873</v>
      </c>
      <c r="Y238">
        <f t="shared" si="73"/>
        <v>0</v>
      </c>
    </row>
    <row r="239" spans="1:25" x14ac:dyDescent="0.25">
      <c r="A239" s="4" t="s">
        <v>1118</v>
      </c>
      <c r="B239" s="7" t="s">
        <v>582</v>
      </c>
      <c r="C239" s="2" t="s">
        <v>1119</v>
      </c>
      <c r="D239">
        <f>VLOOKUP(B239,'Model allocations'!$A$1:$L$319,6,FALSE)</f>
        <v>270228.94125900586</v>
      </c>
      <c r="E239" s="32">
        <f>VLOOKUP(B239,'Initial adjusted formula count'!$A$1:$P$319,12,FALSE)</f>
        <v>0.13420050761421301</v>
      </c>
      <c r="F239">
        <f>VLOOKUP(B239,'Model allocations'!$A$1:$L$319,11,FALSE)</f>
        <v>240108.76603081211</v>
      </c>
      <c r="G239" s="31">
        <f t="shared" si="74"/>
        <v>0.85</v>
      </c>
      <c r="H239">
        <f t="shared" si="75"/>
        <v>229694.60007015496</v>
      </c>
      <c r="I239">
        <f t="shared" si="57"/>
        <v>0</v>
      </c>
      <c r="J239">
        <f t="shared" si="58"/>
        <v>240108.76603081211</v>
      </c>
      <c r="K239">
        <f t="shared" si="59"/>
        <v>240060.05845511195</v>
      </c>
      <c r="L239">
        <f t="shared" si="60"/>
        <v>240060.05845511195</v>
      </c>
      <c r="M239">
        <f t="shared" si="61"/>
        <v>0</v>
      </c>
      <c r="N239" s="30">
        <f t="shared" si="62"/>
        <v>240060.05845511195</v>
      </c>
      <c r="O239" s="30">
        <f t="shared" si="63"/>
        <v>240053.94379310223</v>
      </c>
      <c r="P239" s="30">
        <f t="shared" si="64"/>
        <v>240053.94379310223</v>
      </c>
      <c r="Q239">
        <f t="shared" si="65"/>
        <v>0</v>
      </c>
      <c r="R239" s="30">
        <f t="shared" si="66"/>
        <v>240053.94379310223</v>
      </c>
      <c r="S239" s="30">
        <f t="shared" si="67"/>
        <v>240053.94379310237</v>
      </c>
      <c r="T239" s="30">
        <f t="shared" si="68"/>
        <v>240053.94379310237</v>
      </c>
      <c r="U239">
        <f t="shared" si="69"/>
        <v>0</v>
      </c>
      <c r="V239" s="30">
        <f t="shared" si="70"/>
        <v>240053.94379310237</v>
      </c>
      <c r="W239" s="30">
        <f t="shared" si="71"/>
        <v>240053.94379310237</v>
      </c>
      <c r="X239" s="30">
        <f t="shared" si="72"/>
        <v>240053.94379310237</v>
      </c>
      <c r="Y239">
        <f t="shared" si="73"/>
        <v>0</v>
      </c>
    </row>
    <row r="240" spans="1:25" x14ac:dyDescent="0.25">
      <c r="A240" s="4" t="s">
        <v>1120</v>
      </c>
      <c r="B240" s="7" t="s">
        <v>213</v>
      </c>
      <c r="C240" s="2" t="s">
        <v>1121</v>
      </c>
      <c r="D240">
        <f>VLOOKUP(B240,'Model allocations'!$A$1:$L$319,6,FALSE)</f>
        <v>0</v>
      </c>
      <c r="E240" s="32">
        <f>VLOOKUP(B240,'Initial adjusted formula count'!$A$1:$P$319,12,FALSE)</f>
        <v>4.5454545454545497E-2</v>
      </c>
      <c r="F240">
        <f>VLOOKUP(B240,'Model allocations'!$A$1:$L$319,11,FALSE)</f>
        <v>0</v>
      </c>
      <c r="G240" s="31">
        <f t="shared" si="74"/>
        <v>0.85</v>
      </c>
      <c r="H240">
        <f t="shared" si="75"/>
        <v>0</v>
      </c>
      <c r="I240">
        <f t="shared" si="57"/>
        <v>0</v>
      </c>
      <c r="J240">
        <f t="shared" si="58"/>
        <v>0</v>
      </c>
      <c r="K240">
        <f t="shared" si="59"/>
        <v>0</v>
      </c>
      <c r="L240">
        <f t="shared" si="60"/>
        <v>0</v>
      </c>
      <c r="M240">
        <f t="shared" si="61"/>
        <v>0</v>
      </c>
      <c r="N240" s="30">
        <f t="shared" si="62"/>
        <v>0</v>
      </c>
      <c r="O240" s="30">
        <f t="shared" si="63"/>
        <v>0</v>
      </c>
      <c r="P240" s="30">
        <f t="shared" si="64"/>
        <v>0</v>
      </c>
      <c r="Q240">
        <f t="shared" si="65"/>
        <v>0</v>
      </c>
      <c r="R240" s="30">
        <f t="shared" si="66"/>
        <v>0</v>
      </c>
      <c r="S240" s="30">
        <f t="shared" si="67"/>
        <v>0</v>
      </c>
      <c r="T240" s="30">
        <f t="shared" si="68"/>
        <v>0</v>
      </c>
      <c r="U240">
        <f t="shared" si="69"/>
        <v>0</v>
      </c>
      <c r="V240" s="30">
        <f t="shared" si="70"/>
        <v>0</v>
      </c>
      <c r="W240" s="30">
        <f t="shared" si="71"/>
        <v>0</v>
      </c>
      <c r="X240" s="30">
        <f t="shared" si="72"/>
        <v>0</v>
      </c>
      <c r="Y240">
        <f t="shared" si="73"/>
        <v>0</v>
      </c>
    </row>
    <row r="241" spans="1:25" x14ac:dyDescent="0.25">
      <c r="A241" s="4" t="s">
        <v>1122</v>
      </c>
      <c r="B241" s="7" t="s">
        <v>584</v>
      </c>
      <c r="C241" s="2" t="s">
        <v>1123</v>
      </c>
      <c r="D241">
        <f>VLOOKUP(B241,'Model allocations'!$A$1:$L$319,6,FALSE)</f>
        <v>530234.34726660419</v>
      </c>
      <c r="E241" s="32">
        <f>VLOOKUP(B241,'Initial adjusted formula count'!$A$1:$P$319,12,FALSE)</f>
        <v>0.168850072780204</v>
      </c>
      <c r="F241">
        <f>VLOOKUP(B241,'Model allocations'!$A$1:$L$319,11,FALSE)</f>
        <v>477210.91253994376</v>
      </c>
      <c r="G241" s="31">
        <f t="shared" si="74"/>
        <v>0.9</v>
      </c>
      <c r="H241">
        <f t="shared" si="75"/>
        <v>477210.91253994376</v>
      </c>
      <c r="I241">
        <f t="shared" si="57"/>
        <v>0</v>
      </c>
      <c r="J241">
        <f t="shared" si="58"/>
        <v>477210.91253994376</v>
      </c>
      <c r="K241">
        <f t="shared" si="59"/>
        <v>477114.10730025289</v>
      </c>
      <c r="L241">
        <f t="shared" si="60"/>
        <v>477114.10730025289</v>
      </c>
      <c r="M241">
        <f t="shared" si="61"/>
        <v>477210.91253994376</v>
      </c>
      <c r="N241" s="30">
        <f t="shared" si="62"/>
        <v>0</v>
      </c>
      <c r="O241" s="30">
        <f t="shared" si="63"/>
        <v>0</v>
      </c>
      <c r="P241" s="30">
        <f t="shared" si="64"/>
        <v>477210.91253994376</v>
      </c>
      <c r="Q241">
        <f t="shared" si="65"/>
        <v>0</v>
      </c>
      <c r="R241" s="30">
        <f t="shared" si="66"/>
        <v>0</v>
      </c>
      <c r="S241" s="30">
        <f t="shared" si="67"/>
        <v>0</v>
      </c>
      <c r="T241" s="30">
        <f t="shared" si="68"/>
        <v>477210.91253994376</v>
      </c>
      <c r="U241">
        <f t="shared" si="69"/>
        <v>0</v>
      </c>
      <c r="V241" s="30">
        <f t="shared" si="70"/>
        <v>0</v>
      </c>
      <c r="W241" s="30">
        <f t="shared" si="71"/>
        <v>0</v>
      </c>
      <c r="X241" s="30">
        <f t="shared" si="72"/>
        <v>477210.91253994376</v>
      </c>
      <c r="Y241">
        <f t="shared" si="73"/>
        <v>0</v>
      </c>
    </row>
    <row r="242" spans="1:25" x14ac:dyDescent="0.25">
      <c r="A242" s="4" t="s">
        <v>1124</v>
      </c>
      <c r="B242" s="7" t="s">
        <v>215</v>
      </c>
      <c r="C242" s="2" t="s">
        <v>1125</v>
      </c>
      <c r="D242">
        <f>VLOOKUP(B242,'Model allocations'!$A$1:$L$319,6,FALSE)</f>
        <v>470869.86858658452</v>
      </c>
      <c r="E242" s="32">
        <f>VLOOKUP(B242,'Initial adjusted formula count'!$A$1:$P$319,12,FALSE)</f>
        <v>5.9815802229762502E-2</v>
      </c>
      <c r="F242">
        <f>VLOOKUP(B242,'Model allocations'!$A$1:$L$319,11,FALSE)</f>
        <v>400239.38829859684</v>
      </c>
      <c r="G242" s="31">
        <f t="shared" si="74"/>
        <v>0.85</v>
      </c>
      <c r="H242">
        <f t="shared" si="75"/>
        <v>400239.38829859684</v>
      </c>
      <c r="I242">
        <f t="shared" si="57"/>
        <v>0</v>
      </c>
      <c r="J242">
        <f t="shared" si="58"/>
        <v>400239.38829859684</v>
      </c>
      <c r="K242">
        <f t="shared" si="59"/>
        <v>400158.19721746299</v>
      </c>
      <c r="L242">
        <f t="shared" si="60"/>
        <v>400158.19721746299</v>
      </c>
      <c r="M242">
        <f t="shared" si="61"/>
        <v>400239.38829859684</v>
      </c>
      <c r="N242" s="30">
        <f t="shared" si="62"/>
        <v>0</v>
      </c>
      <c r="O242" s="30">
        <f t="shared" si="63"/>
        <v>0</v>
      </c>
      <c r="P242" s="30">
        <f t="shared" si="64"/>
        <v>400239.38829859684</v>
      </c>
      <c r="Q242">
        <f t="shared" si="65"/>
        <v>0</v>
      </c>
      <c r="R242" s="30">
        <f t="shared" si="66"/>
        <v>0</v>
      </c>
      <c r="S242" s="30">
        <f t="shared" si="67"/>
        <v>0</v>
      </c>
      <c r="T242" s="30">
        <f t="shared" si="68"/>
        <v>400239.38829859684</v>
      </c>
      <c r="U242">
        <f t="shared" si="69"/>
        <v>0</v>
      </c>
      <c r="V242" s="30">
        <f t="shared" si="70"/>
        <v>0</v>
      </c>
      <c r="W242" s="30">
        <f t="shared" si="71"/>
        <v>0</v>
      </c>
      <c r="X242" s="30">
        <f t="shared" si="72"/>
        <v>400239.38829859684</v>
      </c>
      <c r="Y242">
        <f t="shared" si="73"/>
        <v>0</v>
      </c>
    </row>
    <row r="243" spans="1:25" x14ac:dyDescent="0.25">
      <c r="A243" s="4" t="s">
        <v>1126</v>
      </c>
      <c r="B243" s="7" t="s">
        <v>306</v>
      </c>
      <c r="C243" s="2" t="s">
        <v>1127</v>
      </c>
      <c r="D243">
        <f>VLOOKUP(B243,'Model allocations'!$A$1:$L$319,6,FALSE)</f>
        <v>7581.5735022566796</v>
      </c>
      <c r="E243" s="32">
        <f>VLOOKUP(B243,'Initial adjusted formula count'!$A$1:$P$319,12,FALSE)</f>
        <v>0.102362204724409</v>
      </c>
      <c r="F243">
        <f>VLOOKUP(B243,'Model allocations'!$A$1:$L$319,11,FALSE)</f>
        <v>7379.2292160769684</v>
      </c>
      <c r="G243" s="31">
        <f t="shared" si="74"/>
        <v>0.85</v>
      </c>
      <c r="H243">
        <f t="shared" si="75"/>
        <v>6444.3374769181773</v>
      </c>
      <c r="I243">
        <f t="shared" si="57"/>
        <v>0</v>
      </c>
      <c r="J243">
        <f t="shared" si="58"/>
        <v>7379.2292160769684</v>
      </c>
      <c r="K243">
        <f t="shared" si="59"/>
        <v>7377.7322929467036</v>
      </c>
      <c r="L243">
        <f t="shared" si="60"/>
        <v>7377.7322929467036</v>
      </c>
      <c r="M243">
        <f t="shared" si="61"/>
        <v>0</v>
      </c>
      <c r="N243" s="30">
        <f t="shared" si="62"/>
        <v>7377.7322929467036</v>
      </c>
      <c r="O243" s="30">
        <f t="shared" si="63"/>
        <v>7377.5443718920305</v>
      </c>
      <c r="P243" s="30">
        <f t="shared" si="64"/>
        <v>7377.5443718920305</v>
      </c>
      <c r="Q243">
        <f t="shared" si="65"/>
        <v>0</v>
      </c>
      <c r="R243" s="30">
        <f t="shared" si="66"/>
        <v>7377.5443718920305</v>
      </c>
      <c r="S243" s="30">
        <f t="shared" si="67"/>
        <v>7377.544371892036</v>
      </c>
      <c r="T243" s="30">
        <f t="shared" si="68"/>
        <v>7377.544371892036</v>
      </c>
      <c r="U243">
        <f t="shared" si="69"/>
        <v>0</v>
      </c>
      <c r="V243" s="30">
        <f t="shared" si="70"/>
        <v>7377.544371892036</v>
      </c>
      <c r="W243" s="30">
        <f t="shared" si="71"/>
        <v>7377.544371892036</v>
      </c>
      <c r="X243" s="30">
        <f t="shared" si="72"/>
        <v>7377.544371892036</v>
      </c>
      <c r="Y243">
        <f t="shared" si="73"/>
        <v>0</v>
      </c>
    </row>
    <row r="244" spans="1:25" x14ac:dyDescent="0.25">
      <c r="A244" s="4" t="s">
        <v>1128</v>
      </c>
      <c r="B244" s="7" t="s">
        <v>217</v>
      </c>
      <c r="C244" s="2" t="s">
        <v>1129</v>
      </c>
      <c r="D244">
        <f>VLOOKUP(B244,'Model allocations'!$A$1:$L$319,6,FALSE)</f>
        <v>5415.4096444690585</v>
      </c>
      <c r="E244" s="32">
        <f>VLOOKUP(B244,'Initial adjusted formula count'!$A$1:$P$319,12,FALSE)</f>
        <v>8.8235294117647106E-2</v>
      </c>
      <c r="F244">
        <f>VLOOKUP(B244,'Model allocations'!$A$1:$L$319,11,FALSE)</f>
        <v>0</v>
      </c>
      <c r="G244" s="31">
        <f t="shared" si="74"/>
        <v>0.85</v>
      </c>
      <c r="H244">
        <f t="shared" si="75"/>
        <v>0</v>
      </c>
      <c r="I244">
        <f t="shared" si="57"/>
        <v>0</v>
      </c>
      <c r="J244">
        <f t="shared" si="58"/>
        <v>0</v>
      </c>
      <c r="K244">
        <f t="shared" si="59"/>
        <v>0</v>
      </c>
      <c r="L244">
        <f t="shared" si="60"/>
        <v>0</v>
      </c>
      <c r="M244">
        <f t="shared" si="61"/>
        <v>0</v>
      </c>
      <c r="N244" s="30">
        <f t="shared" si="62"/>
        <v>0</v>
      </c>
      <c r="O244" s="30">
        <f t="shared" si="63"/>
        <v>0</v>
      </c>
      <c r="P244" s="30">
        <f t="shared" si="64"/>
        <v>0</v>
      </c>
      <c r="Q244">
        <f t="shared" si="65"/>
        <v>0</v>
      </c>
      <c r="R244" s="30">
        <f t="shared" si="66"/>
        <v>0</v>
      </c>
      <c r="S244" s="30">
        <f t="shared" si="67"/>
        <v>0</v>
      </c>
      <c r="T244" s="30">
        <f t="shared" si="68"/>
        <v>0</v>
      </c>
      <c r="U244">
        <f t="shared" si="69"/>
        <v>0</v>
      </c>
      <c r="V244" s="30">
        <f t="shared" si="70"/>
        <v>0</v>
      </c>
      <c r="W244" s="30">
        <f t="shared" si="71"/>
        <v>0</v>
      </c>
      <c r="X244" s="30">
        <f t="shared" si="72"/>
        <v>0</v>
      </c>
      <c r="Y244">
        <f t="shared" si="73"/>
        <v>0</v>
      </c>
    </row>
    <row r="245" spans="1:25" x14ac:dyDescent="0.25">
      <c r="A245" s="4" t="s">
        <v>1130</v>
      </c>
      <c r="B245" s="7" t="s">
        <v>219</v>
      </c>
      <c r="C245" s="2" t="s">
        <v>1131</v>
      </c>
      <c r="D245">
        <f>VLOOKUP(B245,'Model allocations'!$A$1:$L$319,6,FALSE)</f>
        <v>0</v>
      </c>
      <c r="E245" s="32">
        <f>VLOOKUP(B245,'Initial adjusted formula count'!$A$1:$P$319,12,FALSE)</f>
        <v>5.2548067948478598E-2</v>
      </c>
      <c r="F245">
        <f>VLOOKUP(B245,'Model allocations'!$A$1:$L$319,11,FALSE)</f>
        <v>319577.3883577949</v>
      </c>
      <c r="G245" s="31">
        <f t="shared" si="74"/>
        <v>0.85</v>
      </c>
      <c r="H245">
        <f t="shared" si="75"/>
        <v>0</v>
      </c>
      <c r="I245">
        <f t="shared" si="57"/>
        <v>0</v>
      </c>
      <c r="J245">
        <f t="shared" si="58"/>
        <v>319577.3883577949</v>
      </c>
      <c r="K245">
        <f t="shared" si="59"/>
        <v>319512.56007146114</v>
      </c>
      <c r="L245">
        <f t="shared" si="60"/>
        <v>319512.56007146114</v>
      </c>
      <c r="M245">
        <f t="shared" si="61"/>
        <v>0</v>
      </c>
      <c r="N245" s="30">
        <f t="shared" si="62"/>
        <v>319512.56007146114</v>
      </c>
      <c r="O245" s="30">
        <f t="shared" si="63"/>
        <v>319504.42164424725</v>
      </c>
      <c r="P245" s="30">
        <f t="shared" si="64"/>
        <v>319504.42164424725</v>
      </c>
      <c r="Q245">
        <f t="shared" si="65"/>
        <v>0</v>
      </c>
      <c r="R245" s="30">
        <f t="shared" si="66"/>
        <v>319504.42164424725</v>
      </c>
      <c r="S245" s="30">
        <f t="shared" si="67"/>
        <v>319504.42164424749</v>
      </c>
      <c r="T245" s="30">
        <f t="shared" si="68"/>
        <v>319504.42164424749</v>
      </c>
      <c r="U245">
        <f t="shared" si="69"/>
        <v>0</v>
      </c>
      <c r="V245" s="30">
        <f t="shared" si="70"/>
        <v>319504.42164424749</v>
      </c>
      <c r="W245" s="30">
        <f t="shared" si="71"/>
        <v>319504.42164424749</v>
      </c>
      <c r="X245" s="30">
        <f t="shared" si="72"/>
        <v>319504.42164424749</v>
      </c>
      <c r="Y245">
        <f t="shared" si="73"/>
        <v>0</v>
      </c>
    </row>
    <row r="246" spans="1:25" x14ac:dyDescent="0.25">
      <c r="A246" s="8" t="s">
        <v>1132</v>
      </c>
      <c r="B246" s="7" t="s">
        <v>221</v>
      </c>
      <c r="C246" s="2" t="s">
        <v>1133</v>
      </c>
      <c r="D246">
        <f>VLOOKUP(B246,'Model allocations'!$A$1:$L$319,6,FALSE)</f>
        <v>214450.22192097467</v>
      </c>
      <c r="E246" s="32">
        <f>VLOOKUP(B246,'Initial adjusted formula count'!$A$1:$P$319,12,FALSE)</f>
        <v>3.5677352637021702E-2</v>
      </c>
      <c r="F246">
        <f>VLOOKUP(B246,'Model allocations'!$A$1:$L$319,11,FALSE)</f>
        <v>0</v>
      </c>
      <c r="G246" s="31">
        <f t="shared" si="74"/>
        <v>0.85</v>
      </c>
      <c r="H246">
        <f t="shared" si="75"/>
        <v>0</v>
      </c>
      <c r="I246">
        <f t="shared" si="57"/>
        <v>0</v>
      </c>
      <c r="J246">
        <f t="shared" si="58"/>
        <v>0</v>
      </c>
      <c r="K246">
        <f t="shared" si="59"/>
        <v>0</v>
      </c>
      <c r="L246">
        <f t="shared" si="60"/>
        <v>0</v>
      </c>
      <c r="M246">
        <f t="shared" si="61"/>
        <v>0</v>
      </c>
      <c r="N246" s="30">
        <f t="shared" si="62"/>
        <v>0</v>
      </c>
      <c r="O246" s="30">
        <f t="shared" si="63"/>
        <v>0</v>
      </c>
      <c r="P246" s="30">
        <f t="shared" si="64"/>
        <v>0</v>
      </c>
      <c r="Q246">
        <f t="shared" si="65"/>
        <v>0</v>
      </c>
      <c r="R246" s="30">
        <f t="shared" si="66"/>
        <v>0</v>
      </c>
      <c r="S246" s="30">
        <f t="shared" si="67"/>
        <v>0</v>
      </c>
      <c r="T246" s="30">
        <f t="shared" si="68"/>
        <v>0</v>
      </c>
      <c r="U246">
        <f t="shared" si="69"/>
        <v>0</v>
      </c>
      <c r="V246" s="30">
        <f t="shared" si="70"/>
        <v>0</v>
      </c>
      <c r="W246" s="30">
        <f t="shared" si="71"/>
        <v>0</v>
      </c>
      <c r="X246" s="30">
        <f t="shared" si="72"/>
        <v>0</v>
      </c>
      <c r="Y246">
        <f t="shared" si="73"/>
        <v>0</v>
      </c>
    </row>
    <row r="247" spans="1:25" x14ac:dyDescent="0.25">
      <c r="A247" s="4" t="s">
        <v>1134</v>
      </c>
      <c r="B247" s="7" t="s">
        <v>586</v>
      </c>
      <c r="C247" s="2" t="s">
        <v>1135</v>
      </c>
      <c r="D247">
        <f>VLOOKUP(B247,'Model allocations'!$A$1:$L$319,6,FALSE)</f>
        <v>106054.09407738505</v>
      </c>
      <c r="E247" s="32">
        <f>VLOOKUP(B247,'Initial adjusted formula count'!$A$1:$P$319,12,FALSE)</f>
        <v>0.25944170771757002</v>
      </c>
      <c r="F247">
        <f>VLOOKUP(B247,'Model allocations'!$A$1:$L$319,11,FALSE)</f>
        <v>126497.5428145983</v>
      </c>
      <c r="G247" s="31">
        <f t="shared" si="74"/>
        <v>0.9</v>
      </c>
      <c r="H247">
        <f t="shared" si="75"/>
        <v>95448.684669646536</v>
      </c>
      <c r="I247">
        <f t="shared" si="57"/>
        <v>0</v>
      </c>
      <c r="J247">
        <f t="shared" si="58"/>
        <v>126497.5428145983</v>
      </c>
      <c r="K247">
        <f t="shared" si="59"/>
        <v>126471.88199119573</v>
      </c>
      <c r="L247">
        <f t="shared" si="60"/>
        <v>126471.88199119573</v>
      </c>
      <c r="M247">
        <f t="shared" si="61"/>
        <v>0</v>
      </c>
      <c r="N247" s="30">
        <f t="shared" si="62"/>
        <v>126471.88199119573</v>
      </c>
      <c r="O247" s="30">
        <f t="shared" si="63"/>
        <v>126468.66057728336</v>
      </c>
      <c r="P247" s="30">
        <f t="shared" si="64"/>
        <v>126468.66057728336</v>
      </c>
      <c r="Q247">
        <f t="shared" si="65"/>
        <v>0</v>
      </c>
      <c r="R247" s="30">
        <f t="shared" si="66"/>
        <v>126468.66057728336</v>
      </c>
      <c r="S247" s="30">
        <f t="shared" si="67"/>
        <v>126468.66057728346</v>
      </c>
      <c r="T247" s="30">
        <f t="shared" si="68"/>
        <v>126468.66057728346</v>
      </c>
      <c r="U247">
        <f t="shared" si="69"/>
        <v>0</v>
      </c>
      <c r="V247" s="30">
        <f t="shared" si="70"/>
        <v>126468.66057728346</v>
      </c>
      <c r="W247" s="30">
        <f t="shared" si="71"/>
        <v>126468.66057728346</v>
      </c>
      <c r="X247" s="30">
        <f t="shared" si="72"/>
        <v>126468.66057728346</v>
      </c>
      <c r="Y247">
        <f t="shared" si="73"/>
        <v>0</v>
      </c>
    </row>
    <row r="248" spans="1:25" x14ac:dyDescent="0.25">
      <c r="A248" s="4" t="s">
        <v>1136</v>
      </c>
      <c r="B248" s="7" t="s">
        <v>588</v>
      </c>
      <c r="C248" s="2" t="s">
        <v>1137</v>
      </c>
      <c r="D248">
        <f>VLOOKUP(B248,'Model allocations'!$A$1:$L$319,6,FALSE)</f>
        <v>52969.015275143196</v>
      </c>
      <c r="E248" s="32">
        <f>VLOOKUP(B248,'Initial adjusted formula count'!$A$1:$P$319,12,FALSE)</f>
        <v>0.25</v>
      </c>
      <c r="F248">
        <f>VLOOKUP(B248,'Model allocations'!$A$1:$L$319,11,FALSE)</f>
        <v>74616.949407317123</v>
      </c>
      <c r="G248" s="31">
        <f t="shared" si="74"/>
        <v>0.9</v>
      </c>
      <c r="H248">
        <f t="shared" si="75"/>
        <v>47672.113747628879</v>
      </c>
      <c r="I248">
        <f t="shared" si="57"/>
        <v>0</v>
      </c>
      <c r="J248">
        <f t="shared" si="58"/>
        <v>74616.949407317123</v>
      </c>
      <c r="K248">
        <f t="shared" si="59"/>
        <v>74601.812889097273</v>
      </c>
      <c r="L248">
        <f t="shared" si="60"/>
        <v>74601.812889097273</v>
      </c>
      <c r="M248">
        <f t="shared" si="61"/>
        <v>0</v>
      </c>
      <c r="N248" s="30">
        <f t="shared" si="62"/>
        <v>74601.812889097273</v>
      </c>
      <c r="O248" s="30">
        <f t="shared" si="63"/>
        <v>74599.912677649918</v>
      </c>
      <c r="P248" s="30">
        <f t="shared" si="64"/>
        <v>74599.912677649918</v>
      </c>
      <c r="Q248">
        <f t="shared" si="65"/>
        <v>0</v>
      </c>
      <c r="R248" s="30">
        <f t="shared" si="66"/>
        <v>74599.912677649918</v>
      </c>
      <c r="S248" s="30">
        <f t="shared" si="67"/>
        <v>74599.912677649976</v>
      </c>
      <c r="T248" s="30">
        <f t="shared" si="68"/>
        <v>74599.912677649976</v>
      </c>
      <c r="U248">
        <f t="shared" si="69"/>
        <v>0</v>
      </c>
      <c r="V248" s="30">
        <f t="shared" si="70"/>
        <v>74599.912677649976</v>
      </c>
      <c r="W248" s="30">
        <f t="shared" si="71"/>
        <v>74599.912677649976</v>
      </c>
      <c r="X248" s="30">
        <f t="shared" si="72"/>
        <v>74599.912677649976</v>
      </c>
      <c r="Y248">
        <f t="shared" si="73"/>
        <v>0</v>
      </c>
    </row>
    <row r="249" spans="1:25" x14ac:dyDescent="0.25">
      <c r="A249" s="4" t="s">
        <v>1138</v>
      </c>
      <c r="B249" s="7" t="s">
        <v>223</v>
      </c>
      <c r="C249" s="2" t="s">
        <v>1139</v>
      </c>
      <c r="D249">
        <f>VLOOKUP(B249,'Model allocations'!$A$1:$L$319,6,FALSE)</f>
        <v>684507.77906088857</v>
      </c>
      <c r="E249" s="32">
        <f>VLOOKUP(B249,'Initial adjusted formula count'!$A$1:$P$319,12,FALSE)</f>
        <v>9.9468814256339994E-2</v>
      </c>
      <c r="F249">
        <f>VLOOKUP(B249,'Model allocations'!$A$1:$L$319,11,FALSE)</f>
        <v>792415.69120334217</v>
      </c>
      <c r="G249" s="31">
        <f t="shared" si="74"/>
        <v>0.85</v>
      </c>
      <c r="H249">
        <f t="shared" si="75"/>
        <v>581831.61220175528</v>
      </c>
      <c r="I249">
        <f t="shared" si="57"/>
        <v>0</v>
      </c>
      <c r="J249">
        <f t="shared" si="58"/>
        <v>792415.69120334217</v>
      </c>
      <c r="K249">
        <f t="shared" si="59"/>
        <v>792254.94468873832</v>
      </c>
      <c r="L249">
        <f t="shared" si="60"/>
        <v>792254.94468873832</v>
      </c>
      <c r="M249">
        <f t="shared" si="61"/>
        <v>0</v>
      </c>
      <c r="N249" s="30">
        <f t="shared" si="62"/>
        <v>792254.94468873832</v>
      </c>
      <c r="O249" s="30">
        <f t="shared" si="63"/>
        <v>792234.76485855959</v>
      </c>
      <c r="P249" s="30">
        <f t="shared" si="64"/>
        <v>792234.76485855959</v>
      </c>
      <c r="Q249">
        <f t="shared" si="65"/>
        <v>0</v>
      </c>
      <c r="R249" s="30">
        <f t="shared" si="66"/>
        <v>792234.76485855959</v>
      </c>
      <c r="S249" s="30">
        <f t="shared" si="67"/>
        <v>792234.76485856017</v>
      </c>
      <c r="T249" s="30">
        <f t="shared" si="68"/>
        <v>792234.76485856017</v>
      </c>
      <c r="U249">
        <f t="shared" si="69"/>
        <v>0</v>
      </c>
      <c r="V249" s="30">
        <f t="shared" si="70"/>
        <v>792234.76485856017</v>
      </c>
      <c r="W249" s="30">
        <f t="shared" si="71"/>
        <v>792234.76485856017</v>
      </c>
      <c r="X249" s="30">
        <f t="shared" si="72"/>
        <v>792234.76485856017</v>
      </c>
      <c r="Y249">
        <f t="shared" si="73"/>
        <v>0</v>
      </c>
    </row>
    <row r="250" spans="1:25" x14ac:dyDescent="0.25">
      <c r="A250" s="4" t="s">
        <v>1140</v>
      </c>
      <c r="B250" s="7" t="s">
        <v>225</v>
      </c>
      <c r="C250" s="2" t="s">
        <v>1141</v>
      </c>
      <c r="D250">
        <f>VLOOKUP(B250,'Model allocations'!$A$1:$L$319,6,FALSE)</f>
        <v>96935.832635996107</v>
      </c>
      <c r="E250" s="32">
        <f>VLOOKUP(B250,'Initial adjusted formula count'!$A$1:$P$319,12,FALSE)</f>
        <v>7.1143995446784306E-2</v>
      </c>
      <c r="F250">
        <f>VLOOKUP(B250,'Model allocations'!$A$1:$L$319,11,FALSE)</f>
        <v>82395.457740596685</v>
      </c>
      <c r="G250" s="31">
        <f t="shared" si="74"/>
        <v>0.85</v>
      </c>
      <c r="H250">
        <f t="shared" si="75"/>
        <v>82395.457740596685</v>
      </c>
      <c r="I250">
        <f t="shared" si="57"/>
        <v>0</v>
      </c>
      <c r="J250">
        <f t="shared" si="58"/>
        <v>82395.457740596685</v>
      </c>
      <c r="K250">
        <f t="shared" si="59"/>
        <v>82378.743302962466</v>
      </c>
      <c r="L250">
        <f t="shared" si="60"/>
        <v>82378.743302962466</v>
      </c>
      <c r="M250">
        <f t="shared" si="61"/>
        <v>82395.457740596685</v>
      </c>
      <c r="N250" s="30">
        <f t="shared" si="62"/>
        <v>0</v>
      </c>
      <c r="O250" s="30">
        <f t="shared" si="63"/>
        <v>0</v>
      </c>
      <c r="P250" s="30">
        <f t="shared" si="64"/>
        <v>82395.457740596685</v>
      </c>
      <c r="Q250">
        <f t="shared" si="65"/>
        <v>0</v>
      </c>
      <c r="R250" s="30">
        <f t="shared" si="66"/>
        <v>0</v>
      </c>
      <c r="S250" s="30">
        <f t="shared" si="67"/>
        <v>0</v>
      </c>
      <c r="T250" s="30">
        <f t="shared" si="68"/>
        <v>82395.457740596685</v>
      </c>
      <c r="U250">
        <f t="shared" si="69"/>
        <v>0</v>
      </c>
      <c r="V250" s="30">
        <f t="shared" si="70"/>
        <v>0</v>
      </c>
      <c r="W250" s="30">
        <f t="shared" si="71"/>
        <v>0</v>
      </c>
      <c r="X250" s="30">
        <f t="shared" si="72"/>
        <v>82395.457740596685</v>
      </c>
      <c r="Y250">
        <f t="shared" si="73"/>
        <v>0</v>
      </c>
    </row>
    <row r="251" spans="1:25" x14ac:dyDescent="0.25">
      <c r="A251" s="4" t="s">
        <v>1142</v>
      </c>
      <c r="B251" s="7" t="s">
        <v>590</v>
      </c>
      <c r="C251" s="2" t="s">
        <v>1143</v>
      </c>
      <c r="D251">
        <f>VLOOKUP(B251,'Model allocations'!$A$1:$L$319,6,FALSE)</f>
        <v>28205.685304352664</v>
      </c>
      <c r="E251" s="32">
        <f>VLOOKUP(B251,'Initial adjusted formula count'!$A$1:$P$319,12,FALSE)</f>
        <v>0.16477272727272699</v>
      </c>
      <c r="F251">
        <f>VLOOKUP(B251,'Model allocations'!$A$1:$L$319,11,FALSE)</f>
        <v>34267.324053808268</v>
      </c>
      <c r="G251" s="31">
        <f t="shared" si="74"/>
        <v>0.9</v>
      </c>
      <c r="H251">
        <f t="shared" si="75"/>
        <v>25385.116773917398</v>
      </c>
      <c r="I251">
        <f t="shared" si="57"/>
        <v>0</v>
      </c>
      <c r="J251">
        <f t="shared" si="58"/>
        <v>34267.324053808268</v>
      </c>
      <c r="K251">
        <f t="shared" si="59"/>
        <v>34260.372711264703</v>
      </c>
      <c r="L251">
        <f t="shared" si="60"/>
        <v>34260.372711264703</v>
      </c>
      <c r="M251">
        <f t="shared" si="61"/>
        <v>0</v>
      </c>
      <c r="N251" s="30">
        <f t="shared" si="62"/>
        <v>34260.372711264703</v>
      </c>
      <c r="O251" s="30">
        <f t="shared" si="63"/>
        <v>34259.500052144293</v>
      </c>
      <c r="P251" s="30">
        <f t="shared" si="64"/>
        <v>34259.500052144293</v>
      </c>
      <c r="Q251">
        <f t="shared" si="65"/>
        <v>0</v>
      </c>
      <c r="R251" s="30">
        <f t="shared" si="66"/>
        <v>34259.500052144293</v>
      </c>
      <c r="S251" s="30">
        <f t="shared" si="67"/>
        <v>34259.500052144314</v>
      </c>
      <c r="T251" s="30">
        <f t="shared" si="68"/>
        <v>34259.500052144314</v>
      </c>
      <c r="U251">
        <f t="shared" si="69"/>
        <v>0</v>
      </c>
      <c r="V251" s="30">
        <f t="shared" si="70"/>
        <v>34259.500052144314</v>
      </c>
      <c r="W251" s="30">
        <f t="shared" si="71"/>
        <v>34259.500052144314</v>
      </c>
      <c r="X251" s="30">
        <f t="shared" si="72"/>
        <v>34259.500052144314</v>
      </c>
      <c r="Y251">
        <f t="shared" si="73"/>
        <v>0</v>
      </c>
    </row>
    <row r="252" spans="1:25" x14ac:dyDescent="0.25">
      <c r="A252" s="4" t="s">
        <v>33</v>
      </c>
      <c r="B252" s="7" t="s">
        <v>64</v>
      </c>
      <c r="C252" s="2" t="s">
        <v>1144</v>
      </c>
      <c r="D252">
        <f>VLOOKUP(B252,'Model allocations'!$A$1:$L$319,6,FALSE)</f>
        <v>4804995.4575654408</v>
      </c>
      <c r="E252" s="32">
        <f>VLOOKUP(B252,'Initial adjusted formula count'!$A$1:$P$319,12,FALSE)</f>
        <v>0.17913446483256601</v>
      </c>
      <c r="F252">
        <f>VLOOKUP(B252,'Model allocations'!$A$1:$L$319,11,FALSE)</f>
        <v>6018572.7795752632</v>
      </c>
      <c r="G252" s="31">
        <f t="shared" si="74"/>
        <v>0.9</v>
      </c>
      <c r="H252">
        <f t="shared" si="75"/>
        <v>4324495.9118088968</v>
      </c>
      <c r="I252">
        <f t="shared" si="57"/>
        <v>0</v>
      </c>
      <c r="J252">
        <f t="shared" si="58"/>
        <v>6018572.7795752632</v>
      </c>
      <c r="K252">
        <f t="shared" si="59"/>
        <v>6017351.8741742894</v>
      </c>
      <c r="L252">
        <f t="shared" si="60"/>
        <v>6017351.8741742894</v>
      </c>
      <c r="M252">
        <f t="shared" si="61"/>
        <v>0</v>
      </c>
      <c r="N252" s="30">
        <f t="shared" si="62"/>
        <v>6017351.8741742894</v>
      </c>
      <c r="O252" s="30">
        <f t="shared" si="63"/>
        <v>6017198.6038920898</v>
      </c>
      <c r="P252" s="30">
        <f t="shared" si="64"/>
        <v>6017198.6038920898</v>
      </c>
      <c r="Q252">
        <f t="shared" si="65"/>
        <v>0</v>
      </c>
      <c r="R252" s="30">
        <f t="shared" si="66"/>
        <v>6017198.6038920898</v>
      </c>
      <c r="S252" s="30">
        <f t="shared" si="67"/>
        <v>6017198.6038920945</v>
      </c>
      <c r="T252" s="30">
        <f t="shared" si="68"/>
        <v>6017198.6038920945</v>
      </c>
      <c r="U252">
        <f t="shared" si="69"/>
        <v>0</v>
      </c>
      <c r="V252" s="30">
        <f t="shared" si="70"/>
        <v>6017198.6038920945</v>
      </c>
      <c r="W252" s="30">
        <f t="shared" si="71"/>
        <v>6017198.6038920945</v>
      </c>
      <c r="X252" s="30">
        <f t="shared" si="72"/>
        <v>6017198.6038920945</v>
      </c>
      <c r="Y252">
        <f t="shared" si="73"/>
        <v>0</v>
      </c>
    </row>
    <row r="253" spans="1:25" x14ac:dyDescent="0.25">
      <c r="A253" s="4" t="s">
        <v>36</v>
      </c>
      <c r="B253" s="7" t="s">
        <v>82</v>
      </c>
      <c r="C253" s="2" t="s">
        <v>1145</v>
      </c>
      <c r="D253">
        <f>VLOOKUP(B253,'Model allocations'!$A$1:$L$319,6,FALSE)</f>
        <v>129423.8747124475</v>
      </c>
      <c r="E253" s="32">
        <f>VLOOKUP(B253,'Initial adjusted formula count'!$A$1:$P$319,12,FALSE)</f>
        <v>0.13576918390878001</v>
      </c>
      <c r="F253">
        <f>VLOOKUP(B253,'Model allocations'!$A$1:$L$319,11,FALSE)</f>
        <v>132078.84511313881</v>
      </c>
      <c r="G253" s="31">
        <f t="shared" si="74"/>
        <v>0.85</v>
      </c>
      <c r="H253">
        <f t="shared" si="75"/>
        <v>110010.29350558038</v>
      </c>
      <c r="I253">
        <f t="shared" si="57"/>
        <v>0</v>
      </c>
      <c r="J253">
        <f t="shared" si="58"/>
        <v>132078.84511313881</v>
      </c>
      <c r="K253">
        <f t="shared" si="59"/>
        <v>132052.05208740683</v>
      </c>
      <c r="L253">
        <f t="shared" si="60"/>
        <v>132052.05208740683</v>
      </c>
      <c r="M253">
        <f t="shared" si="61"/>
        <v>0</v>
      </c>
      <c r="N253" s="30">
        <f t="shared" si="62"/>
        <v>132052.05208740683</v>
      </c>
      <c r="O253" s="30">
        <f t="shared" si="63"/>
        <v>132048.68853883736</v>
      </c>
      <c r="P253" s="30">
        <f t="shared" si="64"/>
        <v>132048.68853883736</v>
      </c>
      <c r="Q253">
        <f t="shared" si="65"/>
        <v>0</v>
      </c>
      <c r="R253" s="30">
        <f t="shared" si="66"/>
        <v>132048.68853883736</v>
      </c>
      <c r="S253" s="30">
        <f t="shared" si="67"/>
        <v>132048.68853883745</v>
      </c>
      <c r="T253" s="30">
        <f t="shared" si="68"/>
        <v>132048.68853883745</v>
      </c>
      <c r="U253">
        <f t="shared" si="69"/>
        <v>0</v>
      </c>
      <c r="V253" s="30">
        <f t="shared" si="70"/>
        <v>132048.68853883745</v>
      </c>
      <c r="W253" s="30">
        <f t="shared" si="71"/>
        <v>132048.68853883745</v>
      </c>
      <c r="X253" s="30">
        <f t="shared" si="72"/>
        <v>132048.68853883745</v>
      </c>
      <c r="Y253">
        <f t="shared" si="73"/>
        <v>0</v>
      </c>
    </row>
    <row r="254" spans="1:25" x14ac:dyDescent="0.25">
      <c r="A254" s="4" t="s">
        <v>1146</v>
      </c>
      <c r="B254" s="7" t="s">
        <v>592</v>
      </c>
      <c r="C254" s="2" t="s">
        <v>1147</v>
      </c>
      <c r="D254">
        <f>VLOOKUP(B254,'Model allocations'!$A$1:$L$319,6,FALSE)</f>
        <v>13823.862045339712</v>
      </c>
      <c r="E254" s="32">
        <f>VLOOKUP(B254,'Initial adjusted formula count'!$A$1:$P$319,12,FALSE)</f>
        <v>0.178294573643411</v>
      </c>
      <c r="F254">
        <f>VLOOKUP(B254,'Model allocations'!$A$1:$L$319,11,FALSE)</f>
        <v>14290.9274980138</v>
      </c>
      <c r="G254" s="31">
        <f t="shared" si="74"/>
        <v>0.9</v>
      </c>
      <c r="H254">
        <f t="shared" si="75"/>
        <v>12441.475840805742</v>
      </c>
      <c r="I254">
        <f t="shared" si="57"/>
        <v>0</v>
      </c>
      <c r="J254">
        <f t="shared" si="58"/>
        <v>14290.9274980138</v>
      </c>
      <c r="K254">
        <f t="shared" si="59"/>
        <v>14288.028493348365</v>
      </c>
      <c r="L254">
        <f t="shared" si="60"/>
        <v>14288.028493348365</v>
      </c>
      <c r="M254">
        <f t="shared" si="61"/>
        <v>0</v>
      </c>
      <c r="N254" s="30">
        <f t="shared" si="62"/>
        <v>14288.028493348365</v>
      </c>
      <c r="O254" s="30">
        <f t="shared" si="63"/>
        <v>14287.664557483378</v>
      </c>
      <c r="P254" s="30">
        <f t="shared" si="64"/>
        <v>14287.664557483378</v>
      </c>
      <c r="Q254">
        <f t="shared" si="65"/>
        <v>0</v>
      </c>
      <c r="R254" s="30">
        <f t="shared" si="66"/>
        <v>14287.664557483378</v>
      </c>
      <c r="S254" s="30">
        <f t="shared" si="67"/>
        <v>14287.664557483387</v>
      </c>
      <c r="T254" s="30">
        <f t="shared" si="68"/>
        <v>14287.664557483387</v>
      </c>
      <c r="U254">
        <f t="shared" si="69"/>
        <v>0</v>
      </c>
      <c r="V254" s="30">
        <f t="shared" si="70"/>
        <v>14287.664557483387</v>
      </c>
      <c r="W254" s="30">
        <f t="shared" si="71"/>
        <v>14287.664557483387</v>
      </c>
      <c r="X254" s="30">
        <f t="shared" si="72"/>
        <v>14287.664557483387</v>
      </c>
      <c r="Y254">
        <f t="shared" si="73"/>
        <v>0</v>
      </c>
    </row>
    <row r="255" spans="1:25" x14ac:dyDescent="0.25">
      <c r="A255" s="4" t="s">
        <v>1148</v>
      </c>
      <c r="B255" s="7" t="s">
        <v>594</v>
      </c>
      <c r="C255" s="2" t="s">
        <v>1149</v>
      </c>
      <c r="D255">
        <f>VLOOKUP(B255,'Model allocations'!$A$1:$L$319,6,FALSE)</f>
        <v>11913.901217831923</v>
      </c>
      <c r="E255" s="32">
        <f>VLOOKUP(B255,'Initial adjusted formula count'!$A$1:$P$319,12,FALSE)</f>
        <v>0.14838709677419401</v>
      </c>
      <c r="F255">
        <f>VLOOKUP(B255,'Model allocations'!$A$1:$L$319,11,FALSE)</f>
        <v>13055.559382290021</v>
      </c>
      <c r="G255" s="31">
        <f t="shared" si="74"/>
        <v>0.85</v>
      </c>
      <c r="H255">
        <f t="shared" si="75"/>
        <v>10126.816035157133</v>
      </c>
      <c r="I255">
        <f t="shared" si="57"/>
        <v>0</v>
      </c>
      <c r="J255">
        <f t="shared" si="58"/>
        <v>13055.559382290021</v>
      </c>
      <c r="K255">
        <f t="shared" si="59"/>
        <v>13052.910979828781</v>
      </c>
      <c r="L255">
        <f t="shared" si="60"/>
        <v>13052.910979828781</v>
      </c>
      <c r="M255">
        <f t="shared" si="61"/>
        <v>0</v>
      </c>
      <c r="N255" s="30">
        <f t="shared" si="62"/>
        <v>13052.910979828781</v>
      </c>
      <c r="O255" s="30">
        <f t="shared" si="63"/>
        <v>13052.578504116667</v>
      </c>
      <c r="P255" s="30">
        <f t="shared" si="64"/>
        <v>13052.578504116667</v>
      </c>
      <c r="Q255">
        <f t="shared" si="65"/>
        <v>0</v>
      </c>
      <c r="R255" s="30">
        <f t="shared" si="66"/>
        <v>13052.578504116667</v>
      </c>
      <c r="S255" s="30">
        <f t="shared" si="67"/>
        <v>13052.578504116676</v>
      </c>
      <c r="T255" s="30">
        <f t="shared" si="68"/>
        <v>13052.578504116676</v>
      </c>
      <c r="U255">
        <f t="shared" si="69"/>
        <v>0</v>
      </c>
      <c r="V255" s="30">
        <f t="shared" si="70"/>
        <v>13052.578504116676</v>
      </c>
      <c r="W255" s="30">
        <f t="shared" si="71"/>
        <v>13052.578504116676</v>
      </c>
      <c r="X255" s="30">
        <f t="shared" si="72"/>
        <v>13052.578504116676</v>
      </c>
      <c r="Y255">
        <f t="shared" si="73"/>
        <v>0</v>
      </c>
    </row>
    <row r="256" spans="1:25" x14ac:dyDescent="0.25">
      <c r="A256" s="4" t="s">
        <v>1150</v>
      </c>
      <c r="B256" s="7" t="s">
        <v>227</v>
      </c>
      <c r="C256" s="2" t="s">
        <v>1151</v>
      </c>
      <c r="D256">
        <f>VLOOKUP(B256,'Model allocations'!$A$1:$L$319,6,FALSE)</f>
        <v>218782.54963654987</v>
      </c>
      <c r="E256" s="32">
        <f>VLOOKUP(B256,'Initial adjusted formula count'!$A$1:$P$319,12,FALSE)</f>
        <v>7.4819878071309798E-2</v>
      </c>
      <c r="F256">
        <f>VLOOKUP(B256,'Model allocations'!$A$1:$L$319,11,FALSE)</f>
        <v>229891.37173162863</v>
      </c>
      <c r="G256" s="31">
        <f t="shared" si="74"/>
        <v>0.85</v>
      </c>
      <c r="H256">
        <f t="shared" si="75"/>
        <v>185965.16719106739</v>
      </c>
      <c r="I256">
        <f t="shared" si="57"/>
        <v>0</v>
      </c>
      <c r="J256">
        <f t="shared" si="58"/>
        <v>229891.37173162863</v>
      </c>
      <c r="K256">
        <f t="shared" si="59"/>
        <v>229844.73681872422</v>
      </c>
      <c r="L256">
        <f t="shared" si="60"/>
        <v>229844.73681872422</v>
      </c>
      <c r="M256">
        <f t="shared" si="61"/>
        <v>0</v>
      </c>
      <c r="N256" s="30">
        <f t="shared" si="62"/>
        <v>229844.73681872422</v>
      </c>
      <c r="O256" s="30">
        <f t="shared" si="63"/>
        <v>229838.88235509789</v>
      </c>
      <c r="P256" s="30">
        <f t="shared" si="64"/>
        <v>229838.88235509789</v>
      </c>
      <c r="Q256">
        <f t="shared" si="65"/>
        <v>0</v>
      </c>
      <c r="R256" s="30">
        <f t="shared" si="66"/>
        <v>229838.88235509789</v>
      </c>
      <c r="S256" s="30">
        <f t="shared" si="67"/>
        <v>229838.88235509803</v>
      </c>
      <c r="T256" s="30">
        <f t="shared" si="68"/>
        <v>229838.88235509803</v>
      </c>
      <c r="U256">
        <f t="shared" si="69"/>
        <v>0</v>
      </c>
      <c r="V256" s="30">
        <f t="shared" si="70"/>
        <v>229838.88235509803</v>
      </c>
      <c r="W256" s="30">
        <f t="shared" si="71"/>
        <v>229838.88235509803</v>
      </c>
      <c r="X256" s="30">
        <f t="shared" si="72"/>
        <v>229838.88235509803</v>
      </c>
      <c r="Y256">
        <f t="shared" si="73"/>
        <v>0</v>
      </c>
    </row>
    <row r="257" spans="1:25" x14ac:dyDescent="0.25">
      <c r="A257" s="4" t="s">
        <v>1152</v>
      </c>
      <c r="B257" s="7" t="s">
        <v>229</v>
      </c>
      <c r="C257" s="2" t="s">
        <v>1153</v>
      </c>
      <c r="D257">
        <f>VLOOKUP(B257,'Model allocations'!$A$1:$L$319,6,FALSE)</f>
        <v>0</v>
      </c>
      <c r="E257" s="32">
        <f>VLOOKUP(B257,'Initial adjusted formula count'!$A$1:$P$319,12,FALSE)</f>
        <v>0.16</v>
      </c>
      <c r="F257">
        <f>VLOOKUP(B257,'Model allocations'!$A$1:$L$319,11,FALSE)</f>
        <v>0</v>
      </c>
      <c r="G257" s="31">
        <f t="shared" si="74"/>
        <v>0.9</v>
      </c>
      <c r="H257">
        <f t="shared" si="75"/>
        <v>0</v>
      </c>
      <c r="I257">
        <f t="shared" si="57"/>
        <v>0</v>
      </c>
      <c r="J257">
        <f t="shared" si="58"/>
        <v>0</v>
      </c>
      <c r="K257">
        <f t="shared" si="59"/>
        <v>0</v>
      </c>
      <c r="L257">
        <f t="shared" si="60"/>
        <v>0</v>
      </c>
      <c r="M257">
        <f t="shared" si="61"/>
        <v>0</v>
      </c>
      <c r="N257" s="30">
        <f t="shared" si="62"/>
        <v>0</v>
      </c>
      <c r="O257" s="30">
        <f t="shared" si="63"/>
        <v>0</v>
      </c>
      <c r="P257" s="30">
        <f t="shared" si="64"/>
        <v>0</v>
      </c>
      <c r="Q257">
        <f t="shared" si="65"/>
        <v>0</v>
      </c>
      <c r="R257" s="30">
        <f t="shared" si="66"/>
        <v>0</v>
      </c>
      <c r="S257" s="30">
        <f t="shared" si="67"/>
        <v>0</v>
      </c>
      <c r="T257" s="30">
        <f t="shared" si="68"/>
        <v>0</v>
      </c>
      <c r="U257">
        <f t="shared" si="69"/>
        <v>0</v>
      </c>
      <c r="V257" s="30">
        <f t="shared" si="70"/>
        <v>0</v>
      </c>
      <c r="W257" s="30">
        <f t="shared" si="71"/>
        <v>0</v>
      </c>
      <c r="X257" s="30">
        <f t="shared" si="72"/>
        <v>0</v>
      </c>
      <c r="Y257">
        <f t="shared" si="73"/>
        <v>0</v>
      </c>
    </row>
    <row r="258" spans="1:25" x14ac:dyDescent="0.25">
      <c r="A258" s="4" t="s">
        <v>1154</v>
      </c>
      <c r="B258" s="7" t="s">
        <v>596</v>
      </c>
      <c r="C258" s="2" t="s">
        <v>1155</v>
      </c>
      <c r="D258">
        <f>VLOOKUP(B258,'Model allocations'!$A$1:$L$319,6,FALSE)</f>
        <v>0</v>
      </c>
      <c r="E258" s="32">
        <f>VLOOKUP(B258,'Initial adjusted formula count'!$A$1:$P$319,12,FALSE)</f>
        <v>1.06666666666667</v>
      </c>
      <c r="F258">
        <f>VLOOKUP(B258,'Model allocations'!$A$1:$L$319,11,FALSE)</f>
        <v>29553.742056261188</v>
      </c>
      <c r="G258" s="31">
        <f t="shared" si="74"/>
        <v>0.95</v>
      </c>
      <c r="H258">
        <f t="shared" si="75"/>
        <v>0</v>
      </c>
      <c r="I258">
        <f t="shared" si="57"/>
        <v>0</v>
      </c>
      <c r="J258">
        <f t="shared" si="58"/>
        <v>29553.742056261188</v>
      </c>
      <c r="K258">
        <f t="shared" si="59"/>
        <v>29547.746893517968</v>
      </c>
      <c r="L258">
        <f t="shared" si="60"/>
        <v>29547.746893517968</v>
      </c>
      <c r="M258">
        <f t="shared" si="61"/>
        <v>0</v>
      </c>
      <c r="N258" s="30">
        <f t="shared" si="62"/>
        <v>29547.746893517968</v>
      </c>
      <c r="O258" s="30">
        <f t="shared" si="63"/>
        <v>29546.994271500935</v>
      </c>
      <c r="P258" s="30">
        <f t="shared" si="64"/>
        <v>29546.994271500935</v>
      </c>
      <c r="Q258">
        <f t="shared" si="65"/>
        <v>0</v>
      </c>
      <c r="R258" s="30">
        <f t="shared" si="66"/>
        <v>29546.994271500935</v>
      </c>
      <c r="S258" s="30">
        <f t="shared" si="67"/>
        <v>29546.994271500953</v>
      </c>
      <c r="T258" s="30">
        <f t="shared" si="68"/>
        <v>29546.994271500953</v>
      </c>
      <c r="U258">
        <f t="shared" si="69"/>
        <v>0</v>
      </c>
      <c r="V258" s="30">
        <f t="shared" si="70"/>
        <v>29546.994271500953</v>
      </c>
      <c r="W258" s="30">
        <f t="shared" si="71"/>
        <v>29546.994271500953</v>
      </c>
      <c r="X258" s="30">
        <f t="shared" si="72"/>
        <v>29546.994271500953</v>
      </c>
      <c r="Y258">
        <f t="shared" si="73"/>
        <v>0</v>
      </c>
    </row>
    <row r="259" spans="1:25" x14ac:dyDescent="0.25">
      <c r="A259" s="4" t="s">
        <v>1156</v>
      </c>
      <c r="B259" s="7" t="s">
        <v>231</v>
      </c>
      <c r="C259" s="2" t="s">
        <v>1157</v>
      </c>
      <c r="D259">
        <f>VLOOKUP(B259,'Model allocations'!$A$1:$L$319,6,FALSE)</f>
        <v>0</v>
      </c>
      <c r="E259" s="32">
        <f>VLOOKUP(B259,'Initial adjusted formula count'!$A$1:$P$319,12,FALSE)</f>
        <v>0.2</v>
      </c>
      <c r="F259">
        <f>VLOOKUP(B259,'Model allocations'!$A$1:$L$319,11,FALSE)</f>
        <v>0</v>
      </c>
      <c r="G259" s="31">
        <f t="shared" si="74"/>
        <v>0.9</v>
      </c>
      <c r="H259">
        <f t="shared" si="75"/>
        <v>0</v>
      </c>
      <c r="I259">
        <f t="shared" si="57"/>
        <v>0</v>
      </c>
      <c r="J259">
        <f t="shared" si="58"/>
        <v>0</v>
      </c>
      <c r="K259">
        <f t="shared" si="59"/>
        <v>0</v>
      </c>
      <c r="L259">
        <f t="shared" si="60"/>
        <v>0</v>
      </c>
      <c r="M259">
        <f t="shared" si="61"/>
        <v>0</v>
      </c>
      <c r="N259" s="30">
        <f t="shared" si="62"/>
        <v>0</v>
      </c>
      <c r="O259" s="30">
        <f t="shared" si="63"/>
        <v>0</v>
      </c>
      <c r="P259" s="30">
        <f t="shared" si="64"/>
        <v>0</v>
      </c>
      <c r="Q259">
        <f t="shared" si="65"/>
        <v>0</v>
      </c>
      <c r="R259" s="30">
        <f t="shared" si="66"/>
        <v>0</v>
      </c>
      <c r="S259" s="30">
        <f t="shared" si="67"/>
        <v>0</v>
      </c>
      <c r="T259" s="30">
        <f t="shared" si="68"/>
        <v>0</v>
      </c>
      <c r="U259">
        <f t="shared" si="69"/>
        <v>0</v>
      </c>
      <c r="V259" s="30">
        <f t="shared" si="70"/>
        <v>0</v>
      </c>
      <c r="W259" s="30">
        <f t="shared" si="71"/>
        <v>0</v>
      </c>
      <c r="X259" s="30">
        <f t="shared" si="72"/>
        <v>0</v>
      </c>
      <c r="Y259">
        <f t="shared" si="73"/>
        <v>0</v>
      </c>
    </row>
    <row r="260" spans="1:25" x14ac:dyDescent="0.25">
      <c r="A260" s="4" t="s">
        <v>1158</v>
      </c>
      <c r="B260" s="7" t="s">
        <v>233</v>
      </c>
      <c r="C260" s="2" t="s">
        <v>1159</v>
      </c>
      <c r="D260">
        <f>VLOOKUP(B260,'Model allocations'!$A$1:$L$319,6,FALSE)</f>
        <v>142425.2736495361</v>
      </c>
      <c r="E260" s="32">
        <f>VLOOKUP(B260,'Initial adjusted formula count'!$A$1:$P$319,12,FALSE)</f>
        <v>7.0326334429547194E-2</v>
      </c>
      <c r="F260">
        <f>VLOOKUP(B260,'Model allocations'!$A$1:$L$319,11,FALSE)</f>
        <v>157801.97862072289</v>
      </c>
      <c r="G260" s="31">
        <f t="shared" si="74"/>
        <v>0.85</v>
      </c>
      <c r="H260">
        <f t="shared" si="75"/>
        <v>121061.48260210568</v>
      </c>
      <c r="I260">
        <f t="shared" ref="I260:I318" si="76">IF(F260&lt;H260,H260,0)</f>
        <v>0</v>
      </c>
      <c r="J260">
        <f t="shared" ref="J260:J318" si="77">IF(I260=0,F260,0)</f>
        <v>157801.97862072289</v>
      </c>
      <c r="K260">
        <f t="shared" ref="K260:K318" si="78">(J260/$J$3)*($F$3-$I$3)</f>
        <v>157769.96749532185</v>
      </c>
      <c r="L260">
        <f t="shared" ref="L260:L318" si="79">I260+K260</f>
        <v>157769.96749532185</v>
      </c>
      <c r="M260">
        <f t="shared" ref="M260:M318" si="80">IF(L260&lt;H260,H260,0)</f>
        <v>0</v>
      </c>
      <c r="N260" s="30">
        <f t="shared" ref="N260:N318" si="81">IF($I260+$M260=0,L260,0)</f>
        <v>157769.96749532185</v>
      </c>
      <c r="O260" s="30">
        <f t="shared" ref="O260:O318" si="82">((N260/$N$3)*($F$3-$I$3-$M$3))</f>
        <v>157765.948875845</v>
      </c>
      <c r="P260" s="30">
        <f t="shared" ref="P260:P318" si="83">$I260+$M260+O260</f>
        <v>157765.948875845</v>
      </c>
      <c r="Q260">
        <f t="shared" ref="Q260:Q318" si="84">IF(P260&lt;H260,H260,0)</f>
        <v>0</v>
      </c>
      <c r="R260" s="30">
        <f t="shared" ref="R260:R318" si="85">IF($I260+$M260+$Q260=0,P260,0)</f>
        <v>157765.948875845</v>
      </c>
      <c r="S260" s="30">
        <f t="shared" ref="S260:S318" si="86">((R260/$R$3)*($F$3-$I$3-$M$3-$Q$3))</f>
        <v>157765.94887584512</v>
      </c>
      <c r="T260" s="30">
        <f t="shared" ref="T260:T318" si="87">$I260+$M260+$Q260+S260</f>
        <v>157765.94887584512</v>
      </c>
      <c r="U260">
        <f t="shared" ref="U260:U318" si="88">IF(T260&lt;H260,H260,0)</f>
        <v>0</v>
      </c>
      <c r="V260" s="30">
        <f t="shared" ref="V260:V318" si="89">IF($I260+$M260+$Q260+U260=0,T260,0)</f>
        <v>157765.94887584512</v>
      </c>
      <c r="W260" s="30">
        <f t="shared" ref="W260:W318" si="90">((V260/$V$3)*($F$3-$I$3-$M$3-$Q$3-$U$3))</f>
        <v>157765.94887584512</v>
      </c>
      <c r="X260" s="30">
        <f t="shared" ref="X260:X318" si="91">$I260+$M260+$Q260+$U260+W260</f>
        <v>157765.94887584512</v>
      </c>
      <c r="Y260">
        <f t="shared" ref="Y260:Y318" si="92">IF(X260&lt;H260,H260,0)</f>
        <v>0</v>
      </c>
    </row>
    <row r="261" spans="1:25" x14ac:dyDescent="0.25">
      <c r="A261" s="4" t="s">
        <v>1160</v>
      </c>
      <c r="B261" s="7" t="s">
        <v>598</v>
      </c>
      <c r="C261" s="2" t="s">
        <v>1161</v>
      </c>
      <c r="D261">
        <f>VLOOKUP(B261,'Model allocations'!$A$1:$L$319,6,FALSE)</f>
        <v>0</v>
      </c>
      <c r="E261" s="32">
        <f>VLOOKUP(B261,'Initial adjusted formula count'!$A$1:$P$319,12,FALSE)</f>
        <v>3.9215686274509803E-2</v>
      </c>
      <c r="F261">
        <f>VLOOKUP(B261,'Model allocations'!$A$1:$L$319,11,FALSE)</f>
        <v>0</v>
      </c>
      <c r="G261" s="31">
        <f t="shared" ref="G261:G318" si="93">IF(E261&lt;0.15,0.85,IF(AND(E261&gt;=0.15,E261&lt;0.3),0.9,0.95))</f>
        <v>0.85</v>
      </c>
      <c r="H261">
        <f t="shared" ref="H261:H318" si="94">IF(F261 = 0, 0, D261*G261)</f>
        <v>0</v>
      </c>
      <c r="I261">
        <f t="shared" si="76"/>
        <v>0</v>
      </c>
      <c r="J261">
        <f t="shared" si="77"/>
        <v>0</v>
      </c>
      <c r="K261">
        <f t="shared" si="78"/>
        <v>0</v>
      </c>
      <c r="L261">
        <f t="shared" si="79"/>
        <v>0</v>
      </c>
      <c r="M261">
        <f t="shared" si="80"/>
        <v>0</v>
      </c>
      <c r="N261" s="30">
        <f t="shared" si="81"/>
        <v>0</v>
      </c>
      <c r="O261" s="30">
        <f t="shared" si="82"/>
        <v>0</v>
      </c>
      <c r="P261" s="30">
        <f t="shared" si="83"/>
        <v>0</v>
      </c>
      <c r="Q261">
        <f t="shared" si="84"/>
        <v>0</v>
      </c>
      <c r="R261" s="30">
        <f t="shared" si="85"/>
        <v>0</v>
      </c>
      <c r="S261" s="30">
        <f t="shared" si="86"/>
        <v>0</v>
      </c>
      <c r="T261" s="30">
        <f t="shared" si="87"/>
        <v>0</v>
      </c>
      <c r="U261">
        <f t="shared" si="88"/>
        <v>0</v>
      </c>
      <c r="V261" s="30">
        <f t="shared" si="89"/>
        <v>0</v>
      </c>
      <c r="W261" s="30">
        <f t="shared" si="90"/>
        <v>0</v>
      </c>
      <c r="X261" s="30">
        <f t="shared" si="91"/>
        <v>0</v>
      </c>
      <c r="Y261">
        <f t="shared" si="92"/>
        <v>0</v>
      </c>
    </row>
    <row r="262" spans="1:25" x14ac:dyDescent="0.25">
      <c r="A262" s="4" t="s">
        <v>1162</v>
      </c>
      <c r="B262" s="7" t="s">
        <v>600</v>
      </c>
      <c r="C262" s="2" t="s">
        <v>1163</v>
      </c>
      <c r="D262">
        <f>VLOOKUP(B262,'Model allocations'!$A$1:$L$319,6,FALSE)</f>
        <v>70400.325378097725</v>
      </c>
      <c r="E262" s="32">
        <f>VLOOKUP(B262,'Initial adjusted formula count'!$A$1:$P$319,12,FALSE)</f>
        <v>0.15108695652173901</v>
      </c>
      <c r="F262">
        <f>VLOOKUP(B262,'Model allocations'!$A$1:$L$319,11,FALSE)</f>
        <v>78900.989310361445</v>
      </c>
      <c r="G262" s="31">
        <f t="shared" si="93"/>
        <v>0.9</v>
      </c>
      <c r="H262">
        <f t="shared" si="94"/>
        <v>63360.292840287955</v>
      </c>
      <c r="I262">
        <f t="shared" si="76"/>
        <v>0</v>
      </c>
      <c r="J262">
        <f t="shared" si="77"/>
        <v>78900.989310361445</v>
      </c>
      <c r="K262">
        <f t="shared" si="78"/>
        <v>78884.983747660925</v>
      </c>
      <c r="L262">
        <f t="shared" si="79"/>
        <v>78884.983747660925</v>
      </c>
      <c r="M262">
        <f t="shared" si="80"/>
        <v>0</v>
      </c>
      <c r="N262" s="30">
        <f t="shared" si="81"/>
        <v>78884.983747660925</v>
      </c>
      <c r="O262" s="30">
        <f t="shared" si="82"/>
        <v>78882.974437922501</v>
      </c>
      <c r="P262" s="30">
        <f t="shared" si="83"/>
        <v>78882.974437922501</v>
      </c>
      <c r="Q262">
        <f t="shared" si="84"/>
        <v>0</v>
      </c>
      <c r="R262" s="30">
        <f t="shared" si="85"/>
        <v>78882.974437922501</v>
      </c>
      <c r="S262" s="30">
        <f t="shared" si="86"/>
        <v>78882.974437922559</v>
      </c>
      <c r="T262" s="30">
        <f t="shared" si="87"/>
        <v>78882.974437922559</v>
      </c>
      <c r="U262">
        <f t="shared" si="88"/>
        <v>0</v>
      </c>
      <c r="V262" s="30">
        <f t="shared" si="89"/>
        <v>78882.974437922559</v>
      </c>
      <c r="W262" s="30">
        <f t="shared" si="90"/>
        <v>78882.974437922559</v>
      </c>
      <c r="X262" s="30">
        <f t="shared" si="91"/>
        <v>78882.974437922559</v>
      </c>
      <c r="Y262">
        <f t="shared" si="92"/>
        <v>0</v>
      </c>
    </row>
    <row r="263" spans="1:25" x14ac:dyDescent="0.25">
      <c r="A263" s="4" t="s">
        <v>1164</v>
      </c>
      <c r="B263" s="7" t="s">
        <v>235</v>
      </c>
      <c r="C263" s="2" t="s">
        <v>1165</v>
      </c>
      <c r="D263">
        <f>VLOOKUP(B263,'Model allocations'!$A$1:$L$319,6,FALSE)</f>
        <v>137009.86400506709</v>
      </c>
      <c r="E263" s="32">
        <f>VLOOKUP(B263,'Initial adjusted formula count'!$A$1:$P$319,12,FALSE)</f>
        <v>8.9707649179014803E-2</v>
      </c>
      <c r="F263">
        <f>VLOOKUP(B263,'Model allocations'!$A$1:$L$319,11,FALSE)</f>
        <v>127149.79572317238</v>
      </c>
      <c r="G263" s="31">
        <f t="shared" si="93"/>
        <v>0.85</v>
      </c>
      <c r="H263">
        <f t="shared" si="94"/>
        <v>116458.38440430703</v>
      </c>
      <c r="I263">
        <f t="shared" si="76"/>
        <v>0</v>
      </c>
      <c r="J263">
        <f t="shared" si="77"/>
        <v>127149.79572317238</v>
      </c>
      <c r="K263">
        <f t="shared" si="78"/>
        <v>127124.00258615859</v>
      </c>
      <c r="L263">
        <f t="shared" si="79"/>
        <v>127124.00258615859</v>
      </c>
      <c r="M263">
        <f t="shared" si="80"/>
        <v>0</v>
      </c>
      <c r="N263" s="30">
        <f t="shared" si="81"/>
        <v>127124.00258615859</v>
      </c>
      <c r="O263" s="30">
        <f t="shared" si="82"/>
        <v>127120.76456183192</v>
      </c>
      <c r="P263" s="30">
        <f t="shared" si="83"/>
        <v>127120.76456183192</v>
      </c>
      <c r="Q263">
        <f t="shared" si="84"/>
        <v>0</v>
      </c>
      <c r="R263" s="30">
        <f t="shared" si="85"/>
        <v>127120.76456183192</v>
      </c>
      <c r="S263" s="30">
        <f t="shared" si="86"/>
        <v>127120.76456183201</v>
      </c>
      <c r="T263" s="30">
        <f t="shared" si="87"/>
        <v>127120.76456183201</v>
      </c>
      <c r="U263">
        <f t="shared" si="88"/>
        <v>0</v>
      </c>
      <c r="V263" s="30">
        <f t="shared" si="89"/>
        <v>127120.76456183201</v>
      </c>
      <c r="W263" s="30">
        <f t="shared" si="90"/>
        <v>127120.76456183201</v>
      </c>
      <c r="X263" s="30">
        <f t="shared" si="91"/>
        <v>127120.76456183201</v>
      </c>
      <c r="Y263">
        <f t="shared" si="92"/>
        <v>0</v>
      </c>
    </row>
    <row r="264" spans="1:25" x14ac:dyDescent="0.25">
      <c r="A264" s="4" t="s">
        <v>26</v>
      </c>
      <c r="B264" s="7" t="s">
        <v>76</v>
      </c>
      <c r="C264" s="2" t="s">
        <v>1166</v>
      </c>
      <c r="D264">
        <f>VLOOKUP(B264,'Model allocations'!$A$1:$L$319,6,FALSE)</f>
        <v>81203.163390375354</v>
      </c>
      <c r="E264" s="32">
        <f>VLOOKUP(B264,'Initial adjusted formula count'!$A$1:$P$319,12,FALSE)</f>
        <v>0.15042834958370099</v>
      </c>
      <c r="F264">
        <f>VLOOKUP(B264,'Model allocations'!$A$1:$L$319,11,FALSE)</f>
        <v>111145.62294344953</v>
      </c>
      <c r="G264" s="31">
        <f t="shared" si="93"/>
        <v>0.9</v>
      </c>
      <c r="H264">
        <f t="shared" si="94"/>
        <v>73082.847051337827</v>
      </c>
      <c r="I264">
        <f t="shared" si="76"/>
        <v>0</v>
      </c>
      <c r="J264">
        <f t="shared" si="77"/>
        <v>111145.62294344953</v>
      </c>
      <c r="K264">
        <f t="shared" si="78"/>
        <v>111123.07635369877</v>
      </c>
      <c r="L264">
        <f t="shared" si="79"/>
        <v>111123.07635369877</v>
      </c>
      <c r="M264">
        <f t="shared" si="80"/>
        <v>0</v>
      </c>
      <c r="N264" s="30">
        <f t="shared" si="81"/>
        <v>111123.07635369877</v>
      </c>
      <c r="O264" s="30">
        <f t="shared" si="82"/>
        <v>111120.24589511369</v>
      </c>
      <c r="P264" s="30">
        <f t="shared" si="83"/>
        <v>111120.24589511369</v>
      </c>
      <c r="Q264">
        <f t="shared" si="84"/>
        <v>0</v>
      </c>
      <c r="R264" s="30">
        <f t="shared" si="85"/>
        <v>111120.24589511369</v>
      </c>
      <c r="S264" s="30">
        <f t="shared" si="86"/>
        <v>111120.24589511377</v>
      </c>
      <c r="T264" s="30">
        <f t="shared" si="87"/>
        <v>111120.24589511377</v>
      </c>
      <c r="U264">
        <f t="shared" si="88"/>
        <v>0</v>
      </c>
      <c r="V264" s="30">
        <f t="shared" si="89"/>
        <v>111120.24589511377</v>
      </c>
      <c r="W264" s="30">
        <f t="shared" si="90"/>
        <v>111120.24589511377</v>
      </c>
      <c r="X264" s="30">
        <f t="shared" si="91"/>
        <v>111120.24589511377</v>
      </c>
      <c r="Y264">
        <f t="shared" si="92"/>
        <v>0</v>
      </c>
    </row>
    <row r="265" spans="1:25" x14ac:dyDescent="0.25">
      <c r="A265" s="4" t="s">
        <v>41</v>
      </c>
      <c r="B265" s="7" t="s">
        <v>84</v>
      </c>
      <c r="C265" s="2" t="s">
        <v>1167</v>
      </c>
      <c r="D265">
        <f>VLOOKUP(B265,'Model allocations'!$A$1:$L$319,6,FALSE)</f>
        <v>19446.137256824069</v>
      </c>
      <c r="E265" s="32">
        <f>VLOOKUP(B265,'Initial adjusted formula count'!$A$1:$P$319,12,FALSE)</f>
        <v>0.13144691036601899</v>
      </c>
      <c r="F265">
        <f>VLOOKUP(B265,'Model allocations'!$A$1:$L$319,11,FALSE)</f>
        <v>21828.305855125676</v>
      </c>
      <c r="G265" s="31">
        <f t="shared" si="93"/>
        <v>0.85</v>
      </c>
      <c r="H265">
        <f t="shared" si="94"/>
        <v>16529.216668300458</v>
      </c>
      <c r="I265">
        <f t="shared" si="76"/>
        <v>0</v>
      </c>
      <c r="J265">
        <f t="shared" si="77"/>
        <v>21828.305855125676</v>
      </c>
      <c r="K265">
        <f t="shared" si="78"/>
        <v>21823.877845780491</v>
      </c>
      <c r="L265">
        <f t="shared" si="79"/>
        <v>21823.877845780491</v>
      </c>
      <c r="M265">
        <f t="shared" si="80"/>
        <v>0</v>
      </c>
      <c r="N265" s="30">
        <f t="shared" si="81"/>
        <v>21823.877845780491</v>
      </c>
      <c r="O265" s="30">
        <f t="shared" si="82"/>
        <v>21823.321961400441</v>
      </c>
      <c r="P265" s="30">
        <f t="shared" si="83"/>
        <v>21823.321961400441</v>
      </c>
      <c r="Q265">
        <f t="shared" si="84"/>
        <v>0</v>
      </c>
      <c r="R265" s="30">
        <f t="shared" si="85"/>
        <v>21823.321961400441</v>
      </c>
      <c r="S265" s="30">
        <f t="shared" si="86"/>
        <v>21823.321961400456</v>
      </c>
      <c r="T265" s="30">
        <f t="shared" si="87"/>
        <v>21823.321961400456</v>
      </c>
      <c r="U265">
        <f t="shared" si="88"/>
        <v>0</v>
      </c>
      <c r="V265" s="30">
        <f t="shared" si="89"/>
        <v>21823.321961400456</v>
      </c>
      <c r="W265" s="30">
        <f t="shared" si="90"/>
        <v>21823.321961400456</v>
      </c>
      <c r="X265" s="30">
        <f t="shared" si="91"/>
        <v>21823.321961400456</v>
      </c>
      <c r="Y265">
        <f t="shared" si="92"/>
        <v>0</v>
      </c>
    </row>
    <row r="266" spans="1:25" x14ac:dyDescent="0.25">
      <c r="A266" s="4" t="s">
        <v>28</v>
      </c>
      <c r="B266" s="7" t="s">
        <v>77</v>
      </c>
      <c r="C266" s="2" t="s">
        <v>1168</v>
      </c>
      <c r="D266">
        <f>VLOOKUP(B266,'Model allocations'!$A$1:$L$319,6,FALSE)</f>
        <v>32481.265356150139</v>
      </c>
      <c r="E266" s="32">
        <f>VLOOKUP(B266,'Initial adjusted formula count'!$A$1:$P$319,12,FALSE)</f>
        <v>0.143078939572856</v>
      </c>
      <c r="F266">
        <f>VLOOKUP(B266,'Model allocations'!$A$1:$L$319,11,FALSE)</f>
        <v>42748.316516711486</v>
      </c>
      <c r="G266" s="31">
        <f t="shared" si="93"/>
        <v>0.85</v>
      </c>
      <c r="H266">
        <f t="shared" si="94"/>
        <v>27609.075552727616</v>
      </c>
      <c r="I266">
        <f t="shared" si="76"/>
        <v>0</v>
      </c>
      <c r="J266">
        <f t="shared" si="77"/>
        <v>42748.316516711486</v>
      </c>
      <c r="K266">
        <f t="shared" si="78"/>
        <v>42739.644751422726</v>
      </c>
      <c r="L266">
        <f t="shared" si="79"/>
        <v>42739.644751422726</v>
      </c>
      <c r="M266">
        <f t="shared" si="80"/>
        <v>0</v>
      </c>
      <c r="N266" s="30">
        <f t="shared" si="81"/>
        <v>42739.644751422726</v>
      </c>
      <c r="O266" s="30">
        <f t="shared" si="82"/>
        <v>42738.556113505394</v>
      </c>
      <c r="P266" s="30">
        <f t="shared" si="83"/>
        <v>42738.556113505394</v>
      </c>
      <c r="Q266">
        <f t="shared" si="84"/>
        <v>0</v>
      </c>
      <c r="R266" s="30">
        <f t="shared" si="85"/>
        <v>42738.556113505394</v>
      </c>
      <c r="S266" s="30">
        <f t="shared" si="86"/>
        <v>42738.556113505423</v>
      </c>
      <c r="T266" s="30">
        <f t="shared" si="87"/>
        <v>42738.556113505423</v>
      </c>
      <c r="U266">
        <f t="shared" si="88"/>
        <v>0</v>
      </c>
      <c r="V266" s="30">
        <f t="shared" si="89"/>
        <v>42738.556113505423</v>
      </c>
      <c r="W266" s="30">
        <f t="shared" si="90"/>
        <v>42738.556113505423</v>
      </c>
      <c r="X266" s="30">
        <f t="shared" si="91"/>
        <v>42738.556113505423</v>
      </c>
      <c r="Y266">
        <f t="shared" si="92"/>
        <v>0</v>
      </c>
    </row>
    <row r="267" spans="1:25" x14ac:dyDescent="0.25">
      <c r="A267" s="4" t="s">
        <v>1169</v>
      </c>
      <c r="B267" s="7" t="s">
        <v>602</v>
      </c>
      <c r="C267" s="2" t="s">
        <v>1170</v>
      </c>
      <c r="D267">
        <f>VLOOKUP(B267,'Model allocations'!$A$1:$L$319,6,FALSE)</f>
        <v>18949.804505787786</v>
      </c>
      <c r="E267" s="32">
        <f>VLOOKUP(B267,'Initial adjusted formula count'!$A$1:$P$319,12,FALSE)</f>
        <v>0.19298245614035101</v>
      </c>
      <c r="F267">
        <f>VLOOKUP(B267,'Model allocations'!$A$1:$L$319,11,FALSE)</f>
        <v>17054.824055209006</v>
      </c>
      <c r="G267" s="31">
        <f t="shared" si="93"/>
        <v>0.9</v>
      </c>
      <c r="H267">
        <f t="shared" si="94"/>
        <v>17054.824055209006</v>
      </c>
      <c r="I267">
        <f t="shared" si="76"/>
        <v>0</v>
      </c>
      <c r="J267">
        <f t="shared" si="77"/>
        <v>17054.824055209006</v>
      </c>
      <c r="K267">
        <f t="shared" si="78"/>
        <v>17051.364376716403</v>
      </c>
      <c r="L267">
        <f t="shared" si="79"/>
        <v>17051.364376716403</v>
      </c>
      <c r="M267">
        <f t="shared" si="80"/>
        <v>17054.824055209006</v>
      </c>
      <c r="N267" s="30">
        <f t="shared" si="81"/>
        <v>0</v>
      </c>
      <c r="O267" s="30">
        <f t="shared" si="82"/>
        <v>0</v>
      </c>
      <c r="P267" s="30">
        <f t="shared" si="83"/>
        <v>17054.824055209006</v>
      </c>
      <c r="Q267">
        <f t="shared" si="84"/>
        <v>0</v>
      </c>
      <c r="R267" s="30">
        <f t="shared" si="85"/>
        <v>0</v>
      </c>
      <c r="S267" s="30">
        <f t="shared" si="86"/>
        <v>0</v>
      </c>
      <c r="T267" s="30">
        <f t="shared" si="87"/>
        <v>17054.824055209006</v>
      </c>
      <c r="U267">
        <f t="shared" si="88"/>
        <v>0</v>
      </c>
      <c r="V267" s="30">
        <f t="shared" si="89"/>
        <v>0</v>
      </c>
      <c r="W267" s="30">
        <f t="shared" si="90"/>
        <v>0</v>
      </c>
      <c r="X267" s="30">
        <f t="shared" si="91"/>
        <v>17054.824055209006</v>
      </c>
      <c r="Y267">
        <f t="shared" si="92"/>
        <v>0</v>
      </c>
    </row>
    <row r="268" spans="1:25" x14ac:dyDescent="0.25">
      <c r="A268" s="4" t="s">
        <v>1171</v>
      </c>
      <c r="B268" s="7" t="s">
        <v>237</v>
      </c>
      <c r="C268" s="2" t="s">
        <v>1172</v>
      </c>
      <c r="D268">
        <f>VLOOKUP(B268,'Model allocations'!$A$1:$L$319,6,FALSE)</f>
        <v>353084.70881938242</v>
      </c>
      <c r="E268" s="32">
        <f>VLOOKUP(B268,'Initial adjusted formula count'!$A$1:$P$319,12,FALSE)</f>
        <v>5.3048148497126198E-2</v>
      </c>
      <c r="F268">
        <f>VLOOKUP(B268,'Model allocations'!$A$1:$L$319,11,FALSE)</f>
        <v>319577.3883577949</v>
      </c>
      <c r="G268" s="31">
        <f t="shared" si="93"/>
        <v>0.85</v>
      </c>
      <c r="H268">
        <f t="shared" si="94"/>
        <v>300122.00249647506</v>
      </c>
      <c r="I268">
        <f t="shared" si="76"/>
        <v>0</v>
      </c>
      <c r="J268">
        <f t="shared" si="77"/>
        <v>319577.3883577949</v>
      </c>
      <c r="K268">
        <f t="shared" si="78"/>
        <v>319512.56007146114</v>
      </c>
      <c r="L268">
        <f t="shared" si="79"/>
        <v>319512.56007146114</v>
      </c>
      <c r="M268">
        <f t="shared" si="80"/>
        <v>0</v>
      </c>
      <c r="N268" s="30">
        <f t="shared" si="81"/>
        <v>319512.56007146114</v>
      </c>
      <c r="O268" s="30">
        <f t="shared" si="82"/>
        <v>319504.42164424725</v>
      </c>
      <c r="P268" s="30">
        <f t="shared" si="83"/>
        <v>319504.42164424725</v>
      </c>
      <c r="Q268">
        <f t="shared" si="84"/>
        <v>0</v>
      </c>
      <c r="R268" s="30">
        <f t="shared" si="85"/>
        <v>319504.42164424725</v>
      </c>
      <c r="S268" s="30">
        <f t="shared" si="86"/>
        <v>319504.42164424749</v>
      </c>
      <c r="T268" s="30">
        <f t="shared" si="87"/>
        <v>319504.42164424749</v>
      </c>
      <c r="U268">
        <f t="shared" si="88"/>
        <v>0</v>
      </c>
      <c r="V268" s="30">
        <f t="shared" si="89"/>
        <v>319504.42164424749</v>
      </c>
      <c r="W268" s="30">
        <f t="shared" si="90"/>
        <v>319504.42164424749</v>
      </c>
      <c r="X268" s="30">
        <f t="shared" si="91"/>
        <v>319504.42164424749</v>
      </c>
      <c r="Y268">
        <f t="shared" si="92"/>
        <v>0</v>
      </c>
    </row>
    <row r="269" spans="1:25" x14ac:dyDescent="0.25">
      <c r="A269" s="4" t="s">
        <v>1173</v>
      </c>
      <c r="B269" s="7" t="s">
        <v>604</v>
      </c>
      <c r="C269" s="2" t="s">
        <v>1174</v>
      </c>
      <c r="D269">
        <f>VLOOKUP(B269,'Model allocations'!$A$1:$L$319,6,FALSE)</f>
        <v>868902.47745506011</v>
      </c>
      <c r="E269" s="32">
        <f>VLOOKUP(B269,'Initial adjusted formula count'!$A$1:$P$319,12,FALSE)</f>
        <v>0.193387096774194</v>
      </c>
      <c r="F269">
        <f>VLOOKUP(B269,'Model allocations'!$A$1:$L$319,11,FALSE)</f>
        <v>824770.77315075661</v>
      </c>
      <c r="G269" s="31">
        <f t="shared" si="93"/>
        <v>0.9</v>
      </c>
      <c r="H269">
        <f t="shared" si="94"/>
        <v>782012.22970955411</v>
      </c>
      <c r="I269">
        <f t="shared" si="76"/>
        <v>0</v>
      </c>
      <c r="J269">
        <f t="shared" si="77"/>
        <v>824770.77315075661</v>
      </c>
      <c r="K269">
        <f t="shared" si="78"/>
        <v>824603.46320396615</v>
      </c>
      <c r="L269">
        <f t="shared" si="79"/>
        <v>824603.46320396615</v>
      </c>
      <c r="M269">
        <f t="shared" si="80"/>
        <v>0</v>
      </c>
      <c r="N269" s="30">
        <f t="shared" si="81"/>
        <v>824603.46320396615</v>
      </c>
      <c r="O269" s="30">
        <f t="shared" si="82"/>
        <v>824582.45941224007</v>
      </c>
      <c r="P269" s="30">
        <f t="shared" si="83"/>
        <v>824582.45941224007</v>
      </c>
      <c r="Q269">
        <f t="shared" si="84"/>
        <v>0</v>
      </c>
      <c r="R269" s="30">
        <f t="shared" si="85"/>
        <v>824582.45941224007</v>
      </c>
      <c r="S269" s="30">
        <f t="shared" si="86"/>
        <v>824582.45941224066</v>
      </c>
      <c r="T269" s="30">
        <f t="shared" si="87"/>
        <v>824582.45941224066</v>
      </c>
      <c r="U269">
        <f t="shared" si="88"/>
        <v>0</v>
      </c>
      <c r="V269" s="30">
        <f t="shared" si="89"/>
        <v>824582.45941224066</v>
      </c>
      <c r="W269" s="30">
        <f t="shared" si="90"/>
        <v>824582.45941224066</v>
      </c>
      <c r="X269" s="30">
        <f t="shared" si="91"/>
        <v>824582.45941224066</v>
      </c>
      <c r="Y269">
        <f t="shared" si="92"/>
        <v>0</v>
      </c>
    </row>
    <row r="270" spans="1:25" x14ac:dyDescent="0.25">
      <c r="A270" s="4" t="s">
        <v>11</v>
      </c>
      <c r="B270" s="7" t="s">
        <v>70</v>
      </c>
      <c r="C270" s="2" t="s">
        <v>1175</v>
      </c>
      <c r="D270">
        <f>VLOOKUP(B270,'Model allocations'!$A$1:$L$319,6,FALSE)</f>
        <v>10679.24021861037</v>
      </c>
      <c r="E270" s="32">
        <f>VLOOKUP(B270,'Initial adjusted formula count'!$A$1:$P$319,12,FALSE)</f>
        <v>0.20948192116852299</v>
      </c>
      <c r="F270">
        <f>VLOOKUP(B270,'Model allocations'!$A$1:$L$319,11,FALSE)</f>
        <v>11977.67001473014</v>
      </c>
      <c r="G270" s="31">
        <f t="shared" si="93"/>
        <v>0.9</v>
      </c>
      <c r="H270">
        <f t="shared" si="94"/>
        <v>9611.3161967493324</v>
      </c>
      <c r="I270">
        <f t="shared" si="76"/>
        <v>0</v>
      </c>
      <c r="J270">
        <f t="shared" si="77"/>
        <v>11977.67001473014</v>
      </c>
      <c r="K270">
        <f t="shared" si="78"/>
        <v>11975.240268917032</v>
      </c>
      <c r="L270">
        <f t="shared" si="79"/>
        <v>11975.240268917032</v>
      </c>
      <c r="M270">
        <f t="shared" si="80"/>
        <v>0</v>
      </c>
      <c r="N270" s="30">
        <f t="shared" si="81"/>
        <v>11975.240268917032</v>
      </c>
      <c r="O270" s="30">
        <f t="shared" si="82"/>
        <v>11974.935242969772</v>
      </c>
      <c r="P270" s="30">
        <f t="shared" si="83"/>
        <v>11974.935242969772</v>
      </c>
      <c r="Q270">
        <f t="shared" si="84"/>
        <v>0</v>
      </c>
      <c r="R270" s="30">
        <f t="shared" si="85"/>
        <v>11974.935242969772</v>
      </c>
      <c r="S270" s="30">
        <f t="shared" si="86"/>
        <v>11974.935242969781</v>
      </c>
      <c r="T270" s="30">
        <f t="shared" si="87"/>
        <v>11974.935242969781</v>
      </c>
      <c r="U270">
        <f t="shared" si="88"/>
        <v>0</v>
      </c>
      <c r="V270" s="30">
        <f t="shared" si="89"/>
        <v>11974.935242969781</v>
      </c>
      <c r="W270" s="30">
        <f t="shared" si="90"/>
        <v>11974.935242969781</v>
      </c>
      <c r="X270" s="30">
        <f t="shared" si="91"/>
        <v>11974.935242969781</v>
      </c>
      <c r="Y270">
        <f t="shared" si="92"/>
        <v>0</v>
      </c>
    </row>
    <row r="271" spans="1:25" x14ac:dyDescent="0.25">
      <c r="A271" s="4" t="s">
        <v>40</v>
      </c>
      <c r="B271" s="7" t="s">
        <v>65</v>
      </c>
      <c r="C271" s="2" t="s">
        <v>1176</v>
      </c>
      <c r="D271">
        <f>VLOOKUP(B271,'Model allocations'!$A$1:$L$319,6,FALSE)</f>
        <v>3770090.9183272896</v>
      </c>
      <c r="E271" s="32">
        <f>VLOOKUP(B271,'Initial adjusted formula count'!$A$1:$P$319,12,FALSE)</f>
        <v>0.13305129519424</v>
      </c>
      <c r="F271">
        <f>VLOOKUP(B271,'Model allocations'!$A$1:$L$319,11,FALSE)</f>
        <v>4100129.9514156361</v>
      </c>
      <c r="G271" s="31">
        <f t="shared" si="93"/>
        <v>0.85</v>
      </c>
      <c r="H271">
        <f t="shared" si="94"/>
        <v>3204577.280578196</v>
      </c>
      <c r="I271">
        <f t="shared" si="76"/>
        <v>0</v>
      </c>
      <c r="J271">
        <f t="shared" si="77"/>
        <v>4100129.9514156361</v>
      </c>
      <c r="K271">
        <f t="shared" si="78"/>
        <v>4099298.2142271507</v>
      </c>
      <c r="L271">
        <f t="shared" si="79"/>
        <v>4099298.2142271507</v>
      </c>
      <c r="M271">
        <f t="shared" si="80"/>
        <v>0</v>
      </c>
      <c r="N271" s="30">
        <f t="shared" si="81"/>
        <v>4099298.2142271507</v>
      </c>
      <c r="O271" s="30">
        <f t="shared" si="82"/>
        <v>4099193.7994268774</v>
      </c>
      <c r="P271" s="30">
        <f t="shared" si="83"/>
        <v>4099193.7994268774</v>
      </c>
      <c r="Q271">
        <f t="shared" si="84"/>
        <v>0</v>
      </c>
      <c r="R271" s="30">
        <f t="shared" si="85"/>
        <v>4099193.7994268774</v>
      </c>
      <c r="S271" s="30">
        <f t="shared" si="86"/>
        <v>4099193.7994268802</v>
      </c>
      <c r="T271" s="30">
        <f t="shared" si="87"/>
        <v>4099193.7994268802</v>
      </c>
      <c r="U271">
        <f t="shared" si="88"/>
        <v>0</v>
      </c>
      <c r="V271" s="30">
        <f t="shared" si="89"/>
        <v>4099193.7994268802</v>
      </c>
      <c r="W271" s="30">
        <f t="shared" si="90"/>
        <v>4099193.7994268802</v>
      </c>
      <c r="X271" s="30">
        <f t="shared" si="91"/>
        <v>4099193.7994268802</v>
      </c>
      <c r="Y271">
        <f t="shared" si="92"/>
        <v>0</v>
      </c>
    </row>
    <row r="272" spans="1:25" x14ac:dyDescent="0.25">
      <c r="A272" s="4" t="s">
        <v>1177</v>
      </c>
      <c r="B272" s="7" t="s">
        <v>606</v>
      </c>
      <c r="C272" s="2" t="s">
        <v>1178</v>
      </c>
      <c r="D272">
        <f>VLOOKUP(B272,'Model allocations'!$A$1:$L$319,6,FALSE)</f>
        <v>47918.604240711335</v>
      </c>
      <c r="E272" s="32">
        <f>VLOOKUP(B272,'Initial adjusted formula count'!$A$1:$P$319,12,FALSE)</f>
        <v>0.25144508670520199</v>
      </c>
      <c r="F272">
        <f>VLOOKUP(B272,'Model allocations'!$A$1:$L$319,11,FALSE)</f>
        <v>67942.521726328021</v>
      </c>
      <c r="G272" s="31">
        <f t="shared" si="93"/>
        <v>0.9</v>
      </c>
      <c r="H272">
        <f t="shared" si="94"/>
        <v>43126.743816640199</v>
      </c>
      <c r="I272">
        <f t="shared" si="76"/>
        <v>0</v>
      </c>
      <c r="J272">
        <f t="shared" si="77"/>
        <v>67942.521726328021</v>
      </c>
      <c r="K272">
        <f t="shared" si="78"/>
        <v>67928.7391578073</v>
      </c>
      <c r="L272">
        <f t="shared" si="79"/>
        <v>67928.7391578073</v>
      </c>
      <c r="M272">
        <f t="shared" si="80"/>
        <v>0</v>
      </c>
      <c r="N272" s="30">
        <f t="shared" si="81"/>
        <v>67928.7391578073</v>
      </c>
      <c r="O272" s="30">
        <f t="shared" si="82"/>
        <v>67927.008918785577</v>
      </c>
      <c r="P272" s="30">
        <f t="shared" si="83"/>
        <v>67927.008918785577</v>
      </c>
      <c r="Q272">
        <f t="shared" si="84"/>
        <v>0</v>
      </c>
      <c r="R272" s="30">
        <f t="shared" si="85"/>
        <v>67927.008918785577</v>
      </c>
      <c r="S272" s="30">
        <f t="shared" si="86"/>
        <v>67927.008918785621</v>
      </c>
      <c r="T272" s="30">
        <f t="shared" si="87"/>
        <v>67927.008918785621</v>
      </c>
      <c r="U272">
        <f t="shared" si="88"/>
        <v>0</v>
      </c>
      <c r="V272" s="30">
        <f t="shared" si="89"/>
        <v>67927.008918785621</v>
      </c>
      <c r="W272" s="30">
        <f t="shared" si="90"/>
        <v>67927.008918785621</v>
      </c>
      <c r="X272" s="30">
        <f t="shared" si="91"/>
        <v>67927.008918785621</v>
      </c>
      <c r="Y272">
        <f t="shared" si="92"/>
        <v>0</v>
      </c>
    </row>
    <row r="273" spans="1:25" x14ac:dyDescent="0.25">
      <c r="A273" s="4" t="s">
        <v>1179</v>
      </c>
      <c r="B273" s="7" t="s">
        <v>239</v>
      </c>
      <c r="C273" s="2" t="s">
        <v>1180</v>
      </c>
      <c r="D273">
        <f>VLOOKUP(B273,'Model allocations'!$A$1:$L$319,6,FALSE)</f>
        <v>0</v>
      </c>
      <c r="E273" s="32">
        <f>VLOOKUP(B273,'Initial adjusted formula count'!$A$1:$P$319,12,FALSE)</f>
        <v>4.2195957141279099E-2</v>
      </c>
      <c r="F273">
        <f>VLOOKUP(B273,'Model allocations'!$A$1:$L$319,11,FALSE)</f>
        <v>0</v>
      </c>
      <c r="G273" s="31">
        <f t="shared" si="93"/>
        <v>0.85</v>
      </c>
      <c r="H273">
        <f t="shared" si="94"/>
        <v>0</v>
      </c>
      <c r="I273">
        <f t="shared" si="76"/>
        <v>0</v>
      </c>
      <c r="J273">
        <f t="shared" si="77"/>
        <v>0</v>
      </c>
      <c r="K273">
        <f t="shared" si="78"/>
        <v>0</v>
      </c>
      <c r="L273">
        <f t="shared" si="79"/>
        <v>0</v>
      </c>
      <c r="M273">
        <f t="shared" si="80"/>
        <v>0</v>
      </c>
      <c r="N273" s="30">
        <f t="shared" si="81"/>
        <v>0</v>
      </c>
      <c r="O273" s="30">
        <f t="shared" si="82"/>
        <v>0</v>
      </c>
      <c r="P273" s="30">
        <f t="shared" si="83"/>
        <v>0</v>
      </c>
      <c r="Q273">
        <f t="shared" si="84"/>
        <v>0</v>
      </c>
      <c r="R273" s="30">
        <f t="shared" si="85"/>
        <v>0</v>
      </c>
      <c r="S273" s="30">
        <f t="shared" si="86"/>
        <v>0</v>
      </c>
      <c r="T273" s="30">
        <f t="shared" si="87"/>
        <v>0</v>
      </c>
      <c r="U273">
        <f t="shared" si="88"/>
        <v>0</v>
      </c>
      <c r="V273" s="30">
        <f t="shared" si="89"/>
        <v>0</v>
      </c>
      <c r="W273" s="30">
        <f t="shared" si="90"/>
        <v>0</v>
      </c>
      <c r="X273" s="30">
        <f t="shared" si="91"/>
        <v>0</v>
      </c>
      <c r="Y273">
        <f t="shared" si="92"/>
        <v>0</v>
      </c>
    </row>
    <row r="274" spans="1:25" x14ac:dyDescent="0.25">
      <c r="A274" s="4" t="s">
        <v>1181</v>
      </c>
      <c r="B274" s="7" t="s">
        <v>241</v>
      </c>
      <c r="C274" s="2" t="s">
        <v>1182</v>
      </c>
      <c r="D274">
        <f>VLOOKUP(B274,'Model allocations'!$A$1:$L$319,6,FALSE)</f>
        <v>15210.044452034461</v>
      </c>
      <c r="E274" s="32">
        <f>VLOOKUP(B274,'Initial adjusted formula count'!$A$1:$P$319,12,FALSE)</f>
        <v>0.17177914110429399</v>
      </c>
      <c r="F274">
        <f>VLOOKUP(B274,'Model allocations'!$A$1:$L$319,11,FALSE)</f>
        <v>17002.567181715436</v>
      </c>
      <c r="G274" s="31">
        <f t="shared" si="93"/>
        <v>0.9</v>
      </c>
      <c r="H274">
        <f t="shared" si="94"/>
        <v>13689.040006831015</v>
      </c>
      <c r="I274">
        <f t="shared" si="76"/>
        <v>0</v>
      </c>
      <c r="J274">
        <f t="shared" si="77"/>
        <v>17002.567181715436</v>
      </c>
      <c r="K274">
        <f t="shared" si="78"/>
        <v>16999.1181038588</v>
      </c>
      <c r="L274">
        <f t="shared" si="79"/>
        <v>16999.1181038588</v>
      </c>
      <c r="M274">
        <f t="shared" si="80"/>
        <v>0</v>
      </c>
      <c r="N274" s="30">
        <f t="shared" si="81"/>
        <v>16999.1181038588</v>
      </c>
      <c r="O274" s="30">
        <f t="shared" si="82"/>
        <v>16998.685112788407</v>
      </c>
      <c r="P274" s="30">
        <f t="shared" si="83"/>
        <v>16998.685112788407</v>
      </c>
      <c r="Q274">
        <f t="shared" si="84"/>
        <v>0</v>
      </c>
      <c r="R274" s="30">
        <f t="shared" si="85"/>
        <v>16998.685112788407</v>
      </c>
      <c r="S274" s="30">
        <f t="shared" si="86"/>
        <v>16998.685112788418</v>
      </c>
      <c r="T274" s="30">
        <f t="shared" si="87"/>
        <v>16998.685112788418</v>
      </c>
      <c r="U274">
        <f t="shared" si="88"/>
        <v>0</v>
      </c>
      <c r="V274" s="30">
        <f t="shared" si="89"/>
        <v>16998.685112788418</v>
      </c>
      <c r="W274" s="30">
        <f t="shared" si="90"/>
        <v>16998.685112788418</v>
      </c>
      <c r="X274" s="30">
        <f t="shared" si="91"/>
        <v>16998.685112788418</v>
      </c>
      <c r="Y274">
        <f t="shared" si="92"/>
        <v>0</v>
      </c>
    </row>
    <row r="275" spans="1:25" x14ac:dyDescent="0.25">
      <c r="A275" s="4" t="s">
        <v>1183</v>
      </c>
      <c r="B275" s="7" t="s">
        <v>308</v>
      </c>
      <c r="C275" s="2" t="s">
        <v>1184</v>
      </c>
      <c r="D275">
        <f>VLOOKUP(B275,'Model allocations'!$A$1:$L$319,6,FALSE)</f>
        <v>116431.30735608473</v>
      </c>
      <c r="E275" s="32">
        <f>VLOOKUP(B275,'Initial adjusted formula count'!$A$1:$P$319,12,FALSE)</f>
        <v>0.12789927104042401</v>
      </c>
      <c r="F275">
        <f>VLOOKUP(B275,'Model allocations'!$A$1:$L$319,11,FALSE)</f>
        <v>109553.17220791192</v>
      </c>
      <c r="G275" s="31">
        <f t="shared" si="93"/>
        <v>0.85</v>
      </c>
      <c r="H275">
        <f t="shared" si="94"/>
        <v>98966.61125267201</v>
      </c>
      <c r="I275">
        <f t="shared" si="76"/>
        <v>0</v>
      </c>
      <c r="J275">
        <f t="shared" si="77"/>
        <v>109553.17220791192</v>
      </c>
      <c r="K275">
        <f t="shared" si="78"/>
        <v>109530.94865682413</v>
      </c>
      <c r="L275">
        <f t="shared" si="79"/>
        <v>109530.94865682413</v>
      </c>
      <c r="M275">
        <f t="shared" si="80"/>
        <v>0</v>
      </c>
      <c r="N275" s="30">
        <f t="shared" si="81"/>
        <v>109530.94865682413</v>
      </c>
      <c r="O275" s="30">
        <f t="shared" si="82"/>
        <v>109528.15875193552</v>
      </c>
      <c r="P275" s="30">
        <f t="shared" si="83"/>
        <v>109528.15875193552</v>
      </c>
      <c r="Q275">
        <f t="shared" si="84"/>
        <v>0</v>
      </c>
      <c r="R275" s="30">
        <f t="shared" si="85"/>
        <v>109528.15875193552</v>
      </c>
      <c r="S275" s="30">
        <f t="shared" si="86"/>
        <v>109528.1587519356</v>
      </c>
      <c r="T275" s="30">
        <f t="shared" si="87"/>
        <v>109528.1587519356</v>
      </c>
      <c r="U275">
        <f t="shared" si="88"/>
        <v>0</v>
      </c>
      <c r="V275" s="30">
        <f t="shared" si="89"/>
        <v>109528.1587519356</v>
      </c>
      <c r="W275" s="30">
        <f t="shared" si="90"/>
        <v>109528.1587519356</v>
      </c>
      <c r="X275" s="30">
        <f t="shared" si="91"/>
        <v>109528.1587519356</v>
      </c>
      <c r="Y275">
        <f t="shared" si="92"/>
        <v>0</v>
      </c>
    </row>
    <row r="276" spans="1:25" x14ac:dyDescent="0.25">
      <c r="A276" s="4" t="s">
        <v>1185</v>
      </c>
      <c r="B276" s="7" t="s">
        <v>243</v>
      </c>
      <c r="C276" s="2" t="s">
        <v>1186</v>
      </c>
      <c r="D276">
        <f>VLOOKUP(B276,'Model allocations'!$A$1:$L$319,6,FALSE)</f>
        <v>16787.769897854068</v>
      </c>
      <c r="E276" s="32">
        <f>VLOOKUP(B276,'Initial adjusted formula count'!$A$1:$P$319,12,FALSE)</f>
        <v>0.12195121951219499</v>
      </c>
      <c r="F276">
        <f>VLOOKUP(B276,'Model allocations'!$A$1:$L$319,11,FALSE)</f>
        <v>14269.604413175957</v>
      </c>
      <c r="G276" s="31">
        <f t="shared" si="93"/>
        <v>0.85</v>
      </c>
      <c r="H276">
        <f t="shared" si="94"/>
        <v>14269.604413175957</v>
      </c>
      <c r="I276">
        <f t="shared" si="76"/>
        <v>0</v>
      </c>
      <c r="J276">
        <f t="shared" si="77"/>
        <v>14269.604413175957</v>
      </c>
      <c r="K276">
        <f t="shared" si="78"/>
        <v>14266.709734032602</v>
      </c>
      <c r="L276">
        <f t="shared" si="79"/>
        <v>14266.709734032602</v>
      </c>
      <c r="M276">
        <f t="shared" si="80"/>
        <v>14269.604413175957</v>
      </c>
      <c r="N276" s="30">
        <f t="shared" si="81"/>
        <v>0</v>
      </c>
      <c r="O276" s="30">
        <f t="shared" si="82"/>
        <v>0</v>
      </c>
      <c r="P276" s="30">
        <f t="shared" si="83"/>
        <v>14269.604413175957</v>
      </c>
      <c r="Q276">
        <f t="shared" si="84"/>
        <v>0</v>
      </c>
      <c r="R276" s="30">
        <f t="shared" si="85"/>
        <v>0</v>
      </c>
      <c r="S276" s="30">
        <f t="shared" si="86"/>
        <v>0</v>
      </c>
      <c r="T276" s="30">
        <f t="shared" si="87"/>
        <v>14269.604413175957</v>
      </c>
      <c r="U276">
        <f t="shared" si="88"/>
        <v>0</v>
      </c>
      <c r="V276" s="30">
        <f t="shared" si="89"/>
        <v>0</v>
      </c>
      <c r="W276" s="30">
        <f t="shared" si="90"/>
        <v>0</v>
      </c>
      <c r="X276" s="30">
        <f t="shared" si="91"/>
        <v>14269.604413175957</v>
      </c>
      <c r="Y276">
        <f t="shared" si="92"/>
        <v>0</v>
      </c>
    </row>
    <row r="277" spans="1:25" x14ac:dyDescent="0.25">
      <c r="A277" s="4" t="s">
        <v>1187</v>
      </c>
      <c r="B277" s="7" t="s">
        <v>245</v>
      </c>
      <c r="C277" s="2" t="s">
        <v>1188</v>
      </c>
      <c r="D277">
        <f>VLOOKUP(B277,'Model allocations'!$A$1:$L$319,6,FALSE)</f>
        <v>53612.555480243645</v>
      </c>
      <c r="E277" s="32">
        <f>VLOOKUP(B277,'Initial adjusted formula count'!$A$1:$P$319,12,FALSE)</f>
        <v>0.105633802816901</v>
      </c>
      <c r="F277">
        <f>VLOOKUP(B277,'Model allocations'!$A$1:$L$319,11,FALSE)</f>
        <v>51086.971495917482</v>
      </c>
      <c r="G277" s="31">
        <f t="shared" si="93"/>
        <v>0.85</v>
      </c>
      <c r="H277">
        <f t="shared" si="94"/>
        <v>45570.672158207097</v>
      </c>
      <c r="I277">
        <f t="shared" si="76"/>
        <v>0</v>
      </c>
      <c r="J277">
        <f t="shared" si="77"/>
        <v>51086.971495917482</v>
      </c>
      <c r="K277">
        <f t="shared" si="78"/>
        <v>51076.608181938718</v>
      </c>
      <c r="L277">
        <f t="shared" si="79"/>
        <v>51076.608181938718</v>
      </c>
      <c r="M277">
        <f t="shared" si="80"/>
        <v>0</v>
      </c>
      <c r="N277" s="30">
        <f t="shared" si="81"/>
        <v>51076.608181938718</v>
      </c>
      <c r="O277" s="30">
        <f t="shared" si="82"/>
        <v>51075.307190021755</v>
      </c>
      <c r="P277" s="30">
        <f t="shared" si="83"/>
        <v>51075.307190021755</v>
      </c>
      <c r="Q277">
        <f t="shared" si="84"/>
        <v>0</v>
      </c>
      <c r="R277" s="30">
        <f t="shared" si="85"/>
        <v>51075.307190021755</v>
      </c>
      <c r="S277" s="30">
        <f t="shared" si="86"/>
        <v>51075.307190021791</v>
      </c>
      <c r="T277" s="30">
        <f t="shared" si="87"/>
        <v>51075.307190021791</v>
      </c>
      <c r="U277">
        <f t="shared" si="88"/>
        <v>0</v>
      </c>
      <c r="V277" s="30">
        <f t="shared" si="89"/>
        <v>51075.307190021791</v>
      </c>
      <c r="W277" s="30">
        <f t="shared" si="90"/>
        <v>51075.307190021791</v>
      </c>
      <c r="X277" s="30">
        <f t="shared" si="91"/>
        <v>51075.307190021791</v>
      </c>
      <c r="Y277">
        <f t="shared" si="92"/>
        <v>0</v>
      </c>
    </row>
    <row r="278" spans="1:25" x14ac:dyDescent="0.25">
      <c r="A278" s="8" t="s">
        <v>1189</v>
      </c>
      <c r="B278" s="7" t="s">
        <v>608</v>
      </c>
      <c r="C278" s="2" t="s">
        <v>1190</v>
      </c>
      <c r="D278">
        <f>VLOOKUP(B278,'Model allocations'!$A$1:$L$319,6,FALSE)</f>
        <v>286906.76922610379</v>
      </c>
      <c r="E278" s="32">
        <f>VLOOKUP(B278,'Initial adjusted formula count'!$A$1:$P$319,12,FALSE)</f>
        <v>0.25044247787610602</v>
      </c>
      <c r="F278">
        <f>VLOOKUP(B278,'Model allocations'!$A$1:$L$319,11,FALSE)</f>
        <v>258216.09230349341</v>
      </c>
      <c r="G278" s="31">
        <f t="shared" si="93"/>
        <v>0.9</v>
      </c>
      <c r="H278">
        <f t="shared" si="94"/>
        <v>258216.09230349341</v>
      </c>
      <c r="I278">
        <f t="shared" si="76"/>
        <v>0</v>
      </c>
      <c r="J278">
        <f t="shared" si="77"/>
        <v>258216.09230349341</v>
      </c>
      <c r="K278">
        <f t="shared" si="78"/>
        <v>258163.71154259582</v>
      </c>
      <c r="L278">
        <f t="shared" si="79"/>
        <v>258163.71154259582</v>
      </c>
      <c r="M278">
        <f t="shared" si="80"/>
        <v>258216.09230349341</v>
      </c>
      <c r="N278" s="30">
        <f t="shared" si="81"/>
        <v>0</v>
      </c>
      <c r="O278" s="30">
        <f t="shared" si="82"/>
        <v>0</v>
      </c>
      <c r="P278" s="30">
        <f t="shared" si="83"/>
        <v>258216.09230349341</v>
      </c>
      <c r="Q278">
        <f t="shared" si="84"/>
        <v>0</v>
      </c>
      <c r="R278" s="30">
        <f t="shared" si="85"/>
        <v>0</v>
      </c>
      <c r="S278" s="30">
        <f t="shared" si="86"/>
        <v>0</v>
      </c>
      <c r="T278" s="30">
        <f t="shared" si="87"/>
        <v>258216.09230349341</v>
      </c>
      <c r="U278">
        <f t="shared" si="88"/>
        <v>0</v>
      </c>
      <c r="V278" s="30">
        <f t="shared" si="89"/>
        <v>0</v>
      </c>
      <c r="W278" s="30">
        <f t="shared" si="90"/>
        <v>0</v>
      </c>
      <c r="X278" s="30">
        <f t="shared" si="91"/>
        <v>258216.09230349341</v>
      </c>
      <c r="Y278">
        <f t="shared" si="92"/>
        <v>0</v>
      </c>
    </row>
    <row r="279" spans="1:25" x14ac:dyDescent="0.25">
      <c r="A279" s="4" t="s">
        <v>1191</v>
      </c>
      <c r="B279" s="7" t="s">
        <v>610</v>
      </c>
      <c r="C279" s="2" t="s">
        <v>1192</v>
      </c>
      <c r="D279">
        <f>VLOOKUP(B279,'Model allocations'!$A$1:$L$319,6,FALSE)</f>
        <v>522554.49761782476</v>
      </c>
      <c r="E279" s="32">
        <f>VLOOKUP(B279,'Initial adjusted formula count'!$A$1:$P$319,12,FALSE)</f>
        <v>0.208933717579251</v>
      </c>
      <c r="F279">
        <f>VLOOKUP(B279,'Model allocations'!$A$1:$L$319,11,FALSE)</f>
        <v>490026.51440534886</v>
      </c>
      <c r="G279" s="31">
        <f t="shared" si="93"/>
        <v>0.9</v>
      </c>
      <c r="H279">
        <f t="shared" si="94"/>
        <v>470299.04785604228</v>
      </c>
      <c r="I279">
        <f t="shared" si="76"/>
        <v>0</v>
      </c>
      <c r="J279">
        <f t="shared" si="77"/>
        <v>490026.51440534886</v>
      </c>
      <c r="K279">
        <f t="shared" si="78"/>
        <v>489927.1094400906</v>
      </c>
      <c r="L279">
        <f t="shared" si="79"/>
        <v>489927.1094400906</v>
      </c>
      <c r="M279">
        <f t="shared" si="80"/>
        <v>0</v>
      </c>
      <c r="N279" s="30">
        <f t="shared" si="81"/>
        <v>489927.1094400906</v>
      </c>
      <c r="O279" s="30">
        <f t="shared" si="82"/>
        <v>489914.63031839533</v>
      </c>
      <c r="P279" s="30">
        <f t="shared" si="83"/>
        <v>489914.63031839533</v>
      </c>
      <c r="Q279">
        <f t="shared" si="84"/>
        <v>0</v>
      </c>
      <c r="R279" s="30">
        <f t="shared" si="85"/>
        <v>489914.63031839533</v>
      </c>
      <c r="S279" s="30">
        <f t="shared" si="86"/>
        <v>489914.63031839568</v>
      </c>
      <c r="T279" s="30">
        <f t="shared" si="87"/>
        <v>489914.63031839568</v>
      </c>
      <c r="U279">
        <f t="shared" si="88"/>
        <v>0</v>
      </c>
      <c r="V279" s="30">
        <f t="shared" si="89"/>
        <v>489914.63031839568</v>
      </c>
      <c r="W279" s="30">
        <f t="shared" si="90"/>
        <v>489914.63031839568</v>
      </c>
      <c r="X279" s="30">
        <f t="shared" si="91"/>
        <v>489914.63031839568</v>
      </c>
      <c r="Y279">
        <f t="shared" si="92"/>
        <v>0</v>
      </c>
    </row>
    <row r="280" spans="1:25" x14ac:dyDescent="0.25">
      <c r="A280" s="4" t="s">
        <v>1193</v>
      </c>
      <c r="B280" s="7" t="s">
        <v>247</v>
      </c>
      <c r="C280" s="2" t="s">
        <v>1194</v>
      </c>
      <c r="D280">
        <f>VLOOKUP(B280,'Model allocations'!$A$1:$L$319,6,FALSE)</f>
        <v>10830.819288938117</v>
      </c>
      <c r="E280" s="32">
        <f>VLOOKUP(B280,'Initial adjusted formula count'!$A$1:$P$319,12,FALSE)</f>
        <v>0.12844036697247699</v>
      </c>
      <c r="F280">
        <f>VLOOKUP(B280,'Model allocations'!$A$1:$L$319,11,FALSE)</f>
        <v>15893.724465396548</v>
      </c>
      <c r="G280" s="31">
        <f t="shared" si="93"/>
        <v>0.85</v>
      </c>
      <c r="H280">
        <f t="shared" si="94"/>
        <v>9206.1963955973988</v>
      </c>
      <c r="I280">
        <f t="shared" si="76"/>
        <v>0</v>
      </c>
      <c r="J280">
        <f t="shared" si="77"/>
        <v>15893.724465396548</v>
      </c>
      <c r="K280">
        <f t="shared" si="78"/>
        <v>15890.500323269824</v>
      </c>
      <c r="L280">
        <f t="shared" si="79"/>
        <v>15890.500323269824</v>
      </c>
      <c r="M280">
        <f t="shared" si="80"/>
        <v>0</v>
      </c>
      <c r="N280" s="30">
        <f t="shared" si="81"/>
        <v>15890.500323269824</v>
      </c>
      <c r="O280" s="30">
        <f t="shared" si="82"/>
        <v>15890.09557022899</v>
      </c>
      <c r="P280" s="30">
        <f t="shared" si="83"/>
        <v>15890.09557022899</v>
      </c>
      <c r="Q280">
        <f t="shared" si="84"/>
        <v>0</v>
      </c>
      <c r="R280" s="30">
        <f t="shared" si="85"/>
        <v>15890.09557022899</v>
      </c>
      <c r="S280" s="30">
        <f t="shared" si="86"/>
        <v>15890.095570229001</v>
      </c>
      <c r="T280" s="30">
        <f t="shared" si="87"/>
        <v>15890.095570229001</v>
      </c>
      <c r="U280">
        <f t="shared" si="88"/>
        <v>0</v>
      </c>
      <c r="V280" s="30">
        <f t="shared" si="89"/>
        <v>15890.095570229001</v>
      </c>
      <c r="W280" s="30">
        <f t="shared" si="90"/>
        <v>15890.095570229001</v>
      </c>
      <c r="X280" s="30">
        <f t="shared" si="91"/>
        <v>15890.095570229001</v>
      </c>
      <c r="Y280">
        <f t="shared" si="92"/>
        <v>0</v>
      </c>
    </row>
    <row r="281" spans="1:25" x14ac:dyDescent="0.25">
      <c r="A281" s="4" t="s">
        <v>1195</v>
      </c>
      <c r="B281" s="7" t="s">
        <v>249</v>
      </c>
      <c r="C281" s="2" t="s">
        <v>1196</v>
      </c>
      <c r="D281">
        <f>VLOOKUP(B281,'Model allocations'!$A$1:$L$319,6,FALSE)</f>
        <v>47114.063906880787</v>
      </c>
      <c r="E281" s="32">
        <f>VLOOKUP(B281,'Initial adjusted formula count'!$A$1:$P$319,12,FALSE)</f>
        <v>9.8958333333333301E-2</v>
      </c>
      <c r="F281">
        <f>VLOOKUP(B281,'Model allocations'!$A$1:$L$319,11,FALSE)</f>
        <v>43140.109263219201</v>
      </c>
      <c r="G281" s="31">
        <f t="shared" si="93"/>
        <v>0.85</v>
      </c>
      <c r="H281">
        <f t="shared" si="94"/>
        <v>40046.954320848665</v>
      </c>
      <c r="I281">
        <f t="shared" si="76"/>
        <v>0</v>
      </c>
      <c r="J281">
        <f t="shared" si="77"/>
        <v>43140.109263219201</v>
      </c>
      <c r="K281">
        <f t="shared" si="78"/>
        <v>43131.3580203038</v>
      </c>
      <c r="L281">
        <f t="shared" si="79"/>
        <v>43131.3580203038</v>
      </c>
      <c r="M281">
        <f t="shared" si="80"/>
        <v>0</v>
      </c>
      <c r="N281" s="30">
        <f t="shared" si="81"/>
        <v>43131.3580203038</v>
      </c>
      <c r="O281" s="30">
        <f t="shared" si="82"/>
        <v>43130.25940490725</v>
      </c>
      <c r="P281" s="30">
        <f t="shared" si="83"/>
        <v>43130.25940490725</v>
      </c>
      <c r="Q281">
        <f t="shared" si="84"/>
        <v>0</v>
      </c>
      <c r="R281" s="30">
        <f t="shared" si="85"/>
        <v>43130.25940490725</v>
      </c>
      <c r="S281" s="30">
        <f t="shared" si="86"/>
        <v>43130.25940490728</v>
      </c>
      <c r="T281" s="30">
        <f t="shared" si="87"/>
        <v>43130.25940490728</v>
      </c>
      <c r="U281">
        <f t="shared" si="88"/>
        <v>0</v>
      </c>
      <c r="V281" s="30">
        <f t="shared" si="89"/>
        <v>43130.25940490728</v>
      </c>
      <c r="W281" s="30">
        <f t="shared" si="90"/>
        <v>43130.25940490728</v>
      </c>
      <c r="X281" s="30">
        <f t="shared" si="91"/>
        <v>43130.25940490728</v>
      </c>
      <c r="Y281">
        <f t="shared" si="92"/>
        <v>0</v>
      </c>
    </row>
    <row r="282" spans="1:25" x14ac:dyDescent="0.25">
      <c r="A282" s="4" t="s">
        <v>1197</v>
      </c>
      <c r="B282" s="7" t="s">
        <v>612</v>
      </c>
      <c r="C282" s="2" t="s">
        <v>1198</v>
      </c>
      <c r="D282">
        <f>VLOOKUP(B282,'Model allocations'!$A$1:$L$319,6,FALSE)</f>
        <v>34062.737124372798</v>
      </c>
      <c r="E282" s="32">
        <f>VLOOKUP(B282,'Initial adjusted formula count'!$A$1:$P$319,12,FALSE)</f>
        <v>0.17171717171717199</v>
      </c>
      <c r="F282">
        <f>VLOOKUP(B282,'Model allocations'!$A$1:$L$319,11,FALSE)</f>
        <v>30656.463411935518</v>
      </c>
      <c r="G282" s="31">
        <f t="shared" si="93"/>
        <v>0.9</v>
      </c>
      <c r="H282">
        <f t="shared" si="94"/>
        <v>30656.463411935518</v>
      </c>
      <c r="I282">
        <f t="shared" si="76"/>
        <v>0</v>
      </c>
      <c r="J282">
        <f t="shared" si="77"/>
        <v>30656.463411935518</v>
      </c>
      <c r="K282">
        <f t="shared" si="78"/>
        <v>30650.244555218953</v>
      </c>
      <c r="L282">
        <f t="shared" si="79"/>
        <v>30650.244555218953</v>
      </c>
      <c r="M282">
        <f t="shared" si="80"/>
        <v>30656.463411935518</v>
      </c>
      <c r="N282" s="30">
        <f t="shared" si="81"/>
        <v>0</v>
      </c>
      <c r="O282" s="30">
        <f t="shared" si="82"/>
        <v>0</v>
      </c>
      <c r="P282" s="30">
        <f t="shared" si="83"/>
        <v>30656.463411935518</v>
      </c>
      <c r="Q282">
        <f t="shared" si="84"/>
        <v>0</v>
      </c>
      <c r="R282" s="30">
        <f t="shared" si="85"/>
        <v>0</v>
      </c>
      <c r="S282" s="30">
        <f t="shared" si="86"/>
        <v>0</v>
      </c>
      <c r="T282" s="30">
        <f t="shared" si="87"/>
        <v>30656.463411935518</v>
      </c>
      <c r="U282">
        <f t="shared" si="88"/>
        <v>0</v>
      </c>
      <c r="V282" s="30">
        <f t="shared" si="89"/>
        <v>0</v>
      </c>
      <c r="W282" s="30">
        <f t="shared" si="90"/>
        <v>0</v>
      </c>
      <c r="X282" s="30">
        <f t="shared" si="91"/>
        <v>30656.463411935518</v>
      </c>
      <c r="Y282">
        <f t="shared" si="92"/>
        <v>0</v>
      </c>
    </row>
    <row r="283" spans="1:25" x14ac:dyDescent="0.25">
      <c r="A283" s="4" t="s">
        <v>46</v>
      </c>
      <c r="B283" s="7" t="s">
        <v>63</v>
      </c>
      <c r="C283" s="2" t="s">
        <v>1199</v>
      </c>
      <c r="D283">
        <f>VLOOKUP(B283,'Model allocations'!$A$1:$L$319,6,FALSE)</f>
        <v>373311.56945604976</v>
      </c>
      <c r="E283" s="32">
        <f>VLOOKUP(B283,'Initial adjusted formula count'!$A$1:$P$319,12,FALSE)</f>
        <v>0.20088474831565001</v>
      </c>
      <c r="F283">
        <f>VLOOKUP(B283,'Model allocations'!$A$1:$L$319,11,FALSE)</f>
        <v>337873.16477777541</v>
      </c>
      <c r="G283" s="31">
        <f t="shared" si="93"/>
        <v>0.9</v>
      </c>
      <c r="H283">
        <f t="shared" si="94"/>
        <v>335980.41251044482</v>
      </c>
      <c r="I283">
        <f t="shared" si="76"/>
        <v>0</v>
      </c>
      <c r="J283">
        <f t="shared" si="77"/>
        <v>337873.16477777541</v>
      </c>
      <c r="K283">
        <f t="shared" si="78"/>
        <v>337804.62507794471</v>
      </c>
      <c r="L283">
        <f t="shared" si="79"/>
        <v>337804.62507794471</v>
      </c>
      <c r="M283">
        <f t="shared" si="80"/>
        <v>0</v>
      </c>
      <c r="N283" s="30">
        <f t="shared" si="81"/>
        <v>337804.62507794471</v>
      </c>
      <c r="O283" s="30">
        <f t="shared" si="82"/>
        <v>337796.02072651294</v>
      </c>
      <c r="P283" s="30">
        <f t="shared" si="83"/>
        <v>337796.02072651294</v>
      </c>
      <c r="Q283">
        <f t="shared" si="84"/>
        <v>0</v>
      </c>
      <c r="R283" s="30">
        <f t="shared" si="85"/>
        <v>337796.02072651294</v>
      </c>
      <c r="S283" s="30">
        <f t="shared" si="86"/>
        <v>337796.02072651318</v>
      </c>
      <c r="T283" s="30">
        <f t="shared" si="87"/>
        <v>337796.02072651318</v>
      </c>
      <c r="U283">
        <f t="shared" si="88"/>
        <v>0</v>
      </c>
      <c r="V283" s="30">
        <f t="shared" si="89"/>
        <v>337796.02072651318</v>
      </c>
      <c r="W283" s="30">
        <f t="shared" si="90"/>
        <v>337796.02072651318</v>
      </c>
      <c r="X283" s="30">
        <f t="shared" si="91"/>
        <v>337796.02072651318</v>
      </c>
      <c r="Y283">
        <f t="shared" si="92"/>
        <v>0</v>
      </c>
    </row>
    <row r="284" spans="1:25" x14ac:dyDescent="0.25">
      <c r="A284" s="4" t="s">
        <v>1200</v>
      </c>
      <c r="B284" s="7" t="s">
        <v>251</v>
      </c>
      <c r="C284" s="2" t="s">
        <v>1201</v>
      </c>
      <c r="D284">
        <f>VLOOKUP(B284,'Model allocations'!$A$1:$L$319,6,FALSE)</f>
        <v>412383.44442631863</v>
      </c>
      <c r="E284" s="32">
        <f>VLOOKUP(B284,'Initial adjusted formula count'!$A$1:$P$319,12,FALSE)</f>
        <v>9.6971461852067606E-2</v>
      </c>
      <c r="F284">
        <f>VLOOKUP(B284,'Model allocations'!$A$1:$L$319,11,FALSE)</f>
        <v>378043.58906978933</v>
      </c>
      <c r="G284" s="31">
        <f t="shared" si="93"/>
        <v>0.85</v>
      </c>
      <c r="H284">
        <f t="shared" si="94"/>
        <v>350525.92776237085</v>
      </c>
      <c r="I284">
        <f t="shared" si="76"/>
        <v>0</v>
      </c>
      <c r="J284">
        <f t="shared" si="77"/>
        <v>378043.58906978933</v>
      </c>
      <c r="K284">
        <f t="shared" si="78"/>
        <v>377966.9005463465</v>
      </c>
      <c r="L284">
        <f t="shared" si="79"/>
        <v>377966.9005463465</v>
      </c>
      <c r="M284">
        <f t="shared" si="80"/>
        <v>0</v>
      </c>
      <c r="N284" s="30">
        <f t="shared" si="81"/>
        <v>377966.9005463465</v>
      </c>
      <c r="O284" s="30">
        <f t="shared" si="82"/>
        <v>377957.27320616093</v>
      </c>
      <c r="P284" s="30">
        <f t="shared" si="83"/>
        <v>377957.27320616093</v>
      </c>
      <c r="Q284">
        <f t="shared" si="84"/>
        <v>0</v>
      </c>
      <c r="R284" s="30">
        <f t="shared" si="85"/>
        <v>377957.27320616093</v>
      </c>
      <c r="S284" s="30">
        <f t="shared" si="86"/>
        <v>377957.27320616116</v>
      </c>
      <c r="T284" s="30">
        <f t="shared" si="87"/>
        <v>377957.27320616116</v>
      </c>
      <c r="U284">
        <f t="shared" si="88"/>
        <v>0</v>
      </c>
      <c r="V284" s="30">
        <f t="shared" si="89"/>
        <v>377957.27320616116</v>
      </c>
      <c r="W284" s="30">
        <f t="shared" si="90"/>
        <v>377957.27320616116</v>
      </c>
      <c r="X284" s="30">
        <f t="shared" si="91"/>
        <v>377957.27320616116</v>
      </c>
      <c r="Y284">
        <f t="shared" si="92"/>
        <v>0</v>
      </c>
    </row>
    <row r="285" spans="1:25" x14ac:dyDescent="0.25">
      <c r="A285" s="4" t="s">
        <v>1202</v>
      </c>
      <c r="B285" s="7" t="s">
        <v>614</v>
      </c>
      <c r="C285" s="2" t="s">
        <v>1203</v>
      </c>
      <c r="D285">
        <f>VLOOKUP(B285,'Model allocations'!$A$1:$L$319,6,FALSE)</f>
        <v>97657.408894073393</v>
      </c>
      <c r="E285" s="32">
        <f>VLOOKUP(B285,'Initial adjusted formula count'!$A$1:$P$319,12,FALSE)</f>
        <v>0.249382716049383</v>
      </c>
      <c r="F285">
        <f>VLOOKUP(B285,'Model allocations'!$A$1:$L$319,11,FALSE)</f>
        <v>156685.58638528295</v>
      </c>
      <c r="G285" s="31">
        <f t="shared" si="93"/>
        <v>0.9</v>
      </c>
      <c r="H285">
        <f t="shared" si="94"/>
        <v>87891.668004666062</v>
      </c>
      <c r="I285">
        <f t="shared" si="76"/>
        <v>0</v>
      </c>
      <c r="J285">
        <f t="shared" si="77"/>
        <v>156685.58638528295</v>
      </c>
      <c r="K285">
        <f t="shared" si="78"/>
        <v>156653.80172707929</v>
      </c>
      <c r="L285">
        <f t="shared" si="79"/>
        <v>156653.80172707929</v>
      </c>
      <c r="M285">
        <f t="shared" si="80"/>
        <v>0</v>
      </c>
      <c r="N285" s="30">
        <f t="shared" si="81"/>
        <v>156653.80172707929</v>
      </c>
      <c r="O285" s="30">
        <f t="shared" si="82"/>
        <v>156649.81153788971</v>
      </c>
      <c r="P285" s="30">
        <f t="shared" si="83"/>
        <v>156649.81153788971</v>
      </c>
      <c r="Q285">
        <f t="shared" si="84"/>
        <v>0</v>
      </c>
      <c r="R285" s="30">
        <f t="shared" si="85"/>
        <v>156649.81153788971</v>
      </c>
      <c r="S285" s="30">
        <f t="shared" si="86"/>
        <v>156649.81153788982</v>
      </c>
      <c r="T285" s="30">
        <f t="shared" si="87"/>
        <v>156649.81153788982</v>
      </c>
      <c r="U285">
        <f t="shared" si="88"/>
        <v>0</v>
      </c>
      <c r="V285" s="30">
        <f t="shared" si="89"/>
        <v>156649.81153788982</v>
      </c>
      <c r="W285" s="30">
        <f t="shared" si="90"/>
        <v>156649.81153788982</v>
      </c>
      <c r="X285" s="30">
        <f t="shared" si="91"/>
        <v>156649.81153788982</v>
      </c>
      <c r="Y285">
        <f t="shared" si="92"/>
        <v>0</v>
      </c>
    </row>
    <row r="286" spans="1:25" x14ac:dyDescent="0.25">
      <c r="A286" s="4" t="s">
        <v>1204</v>
      </c>
      <c r="B286" s="7" t="s">
        <v>253</v>
      </c>
      <c r="C286" s="2" t="s">
        <v>1205</v>
      </c>
      <c r="D286">
        <f>VLOOKUP(B286,'Model allocations'!$A$1:$L$319,6,FALSE)</f>
        <v>253441.17136115182</v>
      </c>
      <c r="E286" s="32">
        <f>VLOOKUP(B286,'Initial adjusted formula count'!$A$1:$P$319,12,FALSE)</f>
        <v>8.2145998240984994E-2</v>
      </c>
      <c r="F286">
        <f>VLOOKUP(B286,'Model allocations'!$A$1:$L$319,11,FALSE)</f>
        <v>265084.61876214959</v>
      </c>
      <c r="G286" s="31">
        <f t="shared" si="93"/>
        <v>0.85</v>
      </c>
      <c r="H286">
        <f t="shared" si="94"/>
        <v>215424.99565697904</v>
      </c>
      <c r="I286">
        <f t="shared" si="76"/>
        <v>0</v>
      </c>
      <c r="J286">
        <f t="shared" si="77"/>
        <v>265084.61876214959</v>
      </c>
      <c r="K286">
        <f t="shared" si="78"/>
        <v>265030.84467739315</v>
      </c>
      <c r="L286">
        <f t="shared" si="79"/>
        <v>265030.84467739315</v>
      </c>
      <c r="M286">
        <f t="shared" si="80"/>
        <v>0</v>
      </c>
      <c r="N286" s="30">
        <f t="shared" si="81"/>
        <v>265030.84467739315</v>
      </c>
      <c r="O286" s="30">
        <f t="shared" si="82"/>
        <v>265024.09397489065</v>
      </c>
      <c r="P286" s="30">
        <f t="shared" si="83"/>
        <v>265024.09397489065</v>
      </c>
      <c r="Q286">
        <f t="shared" si="84"/>
        <v>0</v>
      </c>
      <c r="R286" s="30">
        <f t="shared" si="85"/>
        <v>265024.09397489065</v>
      </c>
      <c r="S286" s="30">
        <f t="shared" si="86"/>
        <v>265024.09397489083</v>
      </c>
      <c r="T286" s="30">
        <f t="shared" si="87"/>
        <v>265024.09397489083</v>
      </c>
      <c r="U286">
        <f t="shared" si="88"/>
        <v>0</v>
      </c>
      <c r="V286" s="30">
        <f t="shared" si="89"/>
        <v>265024.09397489083</v>
      </c>
      <c r="W286" s="30">
        <f t="shared" si="90"/>
        <v>265024.09397489083</v>
      </c>
      <c r="X286" s="30">
        <f t="shared" si="91"/>
        <v>265024.09397489083</v>
      </c>
      <c r="Y286">
        <f t="shared" si="92"/>
        <v>0</v>
      </c>
    </row>
    <row r="287" spans="1:25" x14ac:dyDescent="0.25">
      <c r="A287" s="4" t="s">
        <v>1206</v>
      </c>
      <c r="B287" s="7" t="s">
        <v>616</v>
      </c>
      <c r="C287" s="2" t="s">
        <v>1207</v>
      </c>
      <c r="D287">
        <f>VLOOKUP(B287,'Model allocations'!$A$1:$L$319,6,FALSE)</f>
        <v>52931.066792059552</v>
      </c>
      <c r="E287" s="32">
        <f>VLOOKUP(B287,'Initial adjusted formula count'!$A$1:$P$319,12,FALSE)</f>
        <v>0.23263888888888901</v>
      </c>
      <c r="F287">
        <f>VLOOKUP(B287,'Model allocations'!$A$1:$L$319,11,FALSE)</f>
        <v>48867.299347721528</v>
      </c>
      <c r="G287" s="31">
        <f t="shared" si="93"/>
        <v>0.9</v>
      </c>
      <c r="H287">
        <f t="shared" si="94"/>
        <v>47637.960112853594</v>
      </c>
      <c r="I287">
        <f t="shared" si="76"/>
        <v>0</v>
      </c>
      <c r="J287">
        <f t="shared" si="77"/>
        <v>48867.299347721528</v>
      </c>
      <c r="K287">
        <f t="shared" si="78"/>
        <v>48857.386308220346</v>
      </c>
      <c r="L287">
        <f t="shared" si="79"/>
        <v>48857.386308220346</v>
      </c>
      <c r="M287">
        <f t="shared" si="80"/>
        <v>0</v>
      </c>
      <c r="N287" s="30">
        <f t="shared" si="81"/>
        <v>48857.386308220346</v>
      </c>
      <c r="O287" s="30">
        <f t="shared" si="82"/>
        <v>48856.141842956626</v>
      </c>
      <c r="P287" s="30">
        <f t="shared" si="83"/>
        <v>48856.141842956626</v>
      </c>
      <c r="Q287">
        <f t="shared" si="84"/>
        <v>0</v>
      </c>
      <c r="R287" s="30">
        <f t="shared" si="85"/>
        <v>48856.141842956626</v>
      </c>
      <c r="S287" s="30">
        <f t="shared" si="86"/>
        <v>48856.141842956662</v>
      </c>
      <c r="T287" s="30">
        <f t="shared" si="87"/>
        <v>48856.141842956662</v>
      </c>
      <c r="U287">
        <f t="shared" si="88"/>
        <v>0</v>
      </c>
      <c r="V287" s="30">
        <f t="shared" si="89"/>
        <v>48856.141842956662</v>
      </c>
      <c r="W287" s="30">
        <f t="shared" si="90"/>
        <v>48856.141842956662</v>
      </c>
      <c r="X287" s="30">
        <f t="shared" si="91"/>
        <v>48856.141842956662</v>
      </c>
      <c r="Y287">
        <f t="shared" si="92"/>
        <v>0</v>
      </c>
    </row>
    <row r="288" spans="1:25" x14ac:dyDescent="0.25">
      <c r="A288" s="4" t="s">
        <v>52</v>
      </c>
      <c r="B288" s="7" t="s">
        <v>66</v>
      </c>
      <c r="C288" s="2" t="s">
        <v>1208</v>
      </c>
      <c r="D288">
        <f>VLOOKUP(B288,'Model allocations'!$A$1:$L$319,6,FALSE)</f>
        <v>2724520.5281375782</v>
      </c>
      <c r="E288" s="32">
        <f>VLOOKUP(B288,'Initial adjusted formula count'!$A$1:$P$319,12,FALSE)</f>
        <v>0.11467654976748599</v>
      </c>
      <c r="F288">
        <f>VLOOKUP(B288,'Model allocations'!$A$1:$L$319,11,FALSE)</f>
        <v>2364521.4915706059</v>
      </c>
      <c r="G288" s="31">
        <f t="shared" si="93"/>
        <v>0.85</v>
      </c>
      <c r="H288">
        <f t="shared" si="94"/>
        <v>2315842.4489169414</v>
      </c>
      <c r="I288">
        <f t="shared" si="76"/>
        <v>0</v>
      </c>
      <c r="J288">
        <f t="shared" si="77"/>
        <v>2364521.4915706059</v>
      </c>
      <c r="K288">
        <f t="shared" si="78"/>
        <v>2364041.8334912732</v>
      </c>
      <c r="L288">
        <f t="shared" si="79"/>
        <v>2364041.8334912732</v>
      </c>
      <c r="M288">
        <f t="shared" si="80"/>
        <v>0</v>
      </c>
      <c r="N288" s="30">
        <f t="shared" si="81"/>
        <v>2364041.8334912732</v>
      </c>
      <c r="O288" s="30">
        <f t="shared" si="82"/>
        <v>2363981.6180731747</v>
      </c>
      <c r="P288" s="30">
        <f t="shared" si="83"/>
        <v>2363981.6180731747</v>
      </c>
      <c r="Q288">
        <f t="shared" si="84"/>
        <v>0</v>
      </c>
      <c r="R288" s="30">
        <f t="shared" si="85"/>
        <v>2363981.6180731747</v>
      </c>
      <c r="S288" s="30">
        <f t="shared" si="86"/>
        <v>2363981.6180731766</v>
      </c>
      <c r="T288" s="30">
        <f t="shared" si="87"/>
        <v>2363981.6180731766</v>
      </c>
      <c r="U288">
        <f t="shared" si="88"/>
        <v>0</v>
      </c>
      <c r="V288" s="30">
        <f t="shared" si="89"/>
        <v>2363981.6180731766</v>
      </c>
      <c r="W288" s="30">
        <f t="shared" si="90"/>
        <v>2363981.6180731766</v>
      </c>
      <c r="X288" s="30">
        <f t="shared" si="91"/>
        <v>2363981.6180731766</v>
      </c>
      <c r="Y288">
        <f t="shared" si="92"/>
        <v>0</v>
      </c>
    </row>
    <row r="289" spans="1:25" x14ac:dyDescent="0.25">
      <c r="A289" s="4" t="s">
        <v>1209</v>
      </c>
      <c r="B289" s="7" t="s">
        <v>255</v>
      </c>
      <c r="C289" s="2" t="s">
        <v>1210</v>
      </c>
      <c r="D289">
        <f>VLOOKUP(B289,'Model allocations'!$A$1:$L$319,6,FALSE)</f>
        <v>81772.685631482746</v>
      </c>
      <c r="E289" s="32">
        <f>VLOOKUP(B289,'Initial adjusted formula count'!$A$1:$P$319,12,FALSE)</f>
        <v>8.29787234042553E-2</v>
      </c>
      <c r="F289">
        <f>VLOOKUP(B289,'Model allocations'!$A$1:$L$319,11,FALSE)</f>
        <v>69506.782786760334</v>
      </c>
      <c r="G289" s="31">
        <f t="shared" si="93"/>
        <v>0.85</v>
      </c>
      <c r="H289">
        <f t="shared" si="94"/>
        <v>69506.782786760334</v>
      </c>
      <c r="I289">
        <f t="shared" si="76"/>
        <v>0</v>
      </c>
      <c r="J289">
        <f t="shared" si="77"/>
        <v>69506.782786760334</v>
      </c>
      <c r="K289">
        <f t="shared" si="78"/>
        <v>69492.682898029787</v>
      </c>
      <c r="L289">
        <f t="shared" si="79"/>
        <v>69492.682898029787</v>
      </c>
      <c r="M289">
        <f t="shared" si="80"/>
        <v>69506.782786760334</v>
      </c>
      <c r="N289" s="30">
        <f t="shared" si="81"/>
        <v>0</v>
      </c>
      <c r="O289" s="30">
        <f t="shared" si="82"/>
        <v>0</v>
      </c>
      <c r="P289" s="30">
        <f t="shared" si="83"/>
        <v>69506.782786760334</v>
      </c>
      <c r="Q289">
        <f t="shared" si="84"/>
        <v>0</v>
      </c>
      <c r="R289" s="30">
        <f t="shared" si="85"/>
        <v>0</v>
      </c>
      <c r="S289" s="30">
        <f t="shared" si="86"/>
        <v>0</v>
      </c>
      <c r="T289" s="30">
        <f t="shared" si="87"/>
        <v>69506.782786760334</v>
      </c>
      <c r="U289">
        <f t="shared" si="88"/>
        <v>0</v>
      </c>
      <c r="V289" s="30">
        <f t="shared" si="89"/>
        <v>0</v>
      </c>
      <c r="W289" s="30">
        <f t="shared" si="90"/>
        <v>0</v>
      </c>
      <c r="X289" s="30">
        <f t="shared" si="91"/>
        <v>69506.782786760334</v>
      </c>
      <c r="Y289">
        <f t="shared" si="92"/>
        <v>0</v>
      </c>
    </row>
    <row r="290" spans="1:25" x14ac:dyDescent="0.25">
      <c r="A290" s="4" t="s">
        <v>1211</v>
      </c>
      <c r="B290" s="7" t="s">
        <v>618</v>
      </c>
      <c r="C290" s="2" t="s">
        <v>1212</v>
      </c>
      <c r="D290">
        <f>VLOOKUP(B290,'Model allocations'!$A$1:$L$319,6,FALSE)</f>
        <v>56118.075983401955</v>
      </c>
      <c r="E290" s="32">
        <f>VLOOKUP(B290,'Initial adjusted formula count'!$A$1:$P$319,12,FALSE)</f>
        <v>0.22424242424242399</v>
      </c>
      <c r="F290">
        <f>VLOOKUP(B290,'Model allocations'!$A$1:$L$319,11,FALSE)</f>
        <v>78092.608940565609</v>
      </c>
      <c r="G290" s="31">
        <f t="shared" si="93"/>
        <v>0.9</v>
      </c>
      <c r="H290">
        <f t="shared" si="94"/>
        <v>50506.268385061761</v>
      </c>
      <c r="I290">
        <f t="shared" si="76"/>
        <v>0</v>
      </c>
      <c r="J290">
        <f t="shared" si="77"/>
        <v>78092.608940565609</v>
      </c>
      <c r="K290">
        <f t="shared" si="78"/>
        <v>78076.7673629153</v>
      </c>
      <c r="L290">
        <f t="shared" si="79"/>
        <v>78076.7673629153</v>
      </c>
      <c r="M290">
        <f t="shared" si="80"/>
        <v>0</v>
      </c>
      <c r="N290" s="30">
        <f t="shared" si="81"/>
        <v>78076.7673629153</v>
      </c>
      <c r="O290" s="30">
        <f t="shared" si="82"/>
        <v>78074.778639567026</v>
      </c>
      <c r="P290" s="30">
        <f t="shared" si="83"/>
        <v>78074.778639567026</v>
      </c>
      <c r="Q290">
        <f t="shared" si="84"/>
        <v>0</v>
      </c>
      <c r="R290" s="30">
        <f t="shared" si="85"/>
        <v>78074.778639567026</v>
      </c>
      <c r="S290" s="30">
        <f t="shared" si="86"/>
        <v>78074.778639567085</v>
      </c>
      <c r="T290" s="30">
        <f t="shared" si="87"/>
        <v>78074.778639567085</v>
      </c>
      <c r="U290">
        <f t="shared" si="88"/>
        <v>0</v>
      </c>
      <c r="V290" s="30">
        <f t="shared" si="89"/>
        <v>78074.778639567085</v>
      </c>
      <c r="W290" s="30">
        <f t="shared" si="90"/>
        <v>78074.778639567085</v>
      </c>
      <c r="X290" s="30">
        <f t="shared" si="91"/>
        <v>78074.778639567085</v>
      </c>
      <c r="Y290">
        <f t="shared" si="92"/>
        <v>0</v>
      </c>
    </row>
    <row r="291" spans="1:25" x14ac:dyDescent="0.25">
      <c r="A291" s="4" t="s">
        <v>1213</v>
      </c>
      <c r="B291" s="7" t="s">
        <v>620</v>
      </c>
      <c r="C291" s="2" t="s">
        <v>1214</v>
      </c>
      <c r="D291">
        <f>VLOOKUP(B291,'Model allocations'!$A$1:$L$319,6,FALSE)</f>
        <v>167348.04265721905</v>
      </c>
      <c r="E291" s="32">
        <f>VLOOKUP(B291,'Initial adjusted formula count'!$A$1:$P$319,12,FALSE)</f>
        <v>0.17495029821073599</v>
      </c>
      <c r="F291">
        <f>VLOOKUP(B291,'Model allocations'!$A$1:$L$319,11,FALSE)</f>
        <v>216210.16723841862</v>
      </c>
      <c r="G291" s="31">
        <f t="shared" si="93"/>
        <v>0.9</v>
      </c>
      <c r="H291">
        <f t="shared" si="94"/>
        <v>150613.23839149714</v>
      </c>
      <c r="I291">
        <f t="shared" si="76"/>
        <v>0</v>
      </c>
      <c r="J291">
        <f t="shared" si="77"/>
        <v>216210.16723841862</v>
      </c>
      <c r="K291">
        <f t="shared" si="78"/>
        <v>216166.30764402729</v>
      </c>
      <c r="L291">
        <f t="shared" si="79"/>
        <v>216166.30764402729</v>
      </c>
      <c r="M291">
        <f t="shared" si="80"/>
        <v>0</v>
      </c>
      <c r="N291" s="30">
        <f t="shared" si="81"/>
        <v>216166.30764402729</v>
      </c>
      <c r="O291" s="30">
        <f t="shared" si="82"/>
        <v>216160.8015889274</v>
      </c>
      <c r="P291" s="30">
        <f t="shared" si="83"/>
        <v>216160.8015889274</v>
      </c>
      <c r="Q291">
        <f t="shared" si="84"/>
        <v>0</v>
      </c>
      <c r="R291" s="30">
        <f t="shared" si="85"/>
        <v>216160.8015889274</v>
      </c>
      <c r="S291" s="30">
        <f t="shared" si="86"/>
        <v>216160.80158892754</v>
      </c>
      <c r="T291" s="30">
        <f t="shared" si="87"/>
        <v>216160.80158892754</v>
      </c>
      <c r="U291">
        <f t="shared" si="88"/>
        <v>0</v>
      </c>
      <c r="V291" s="30">
        <f t="shared" si="89"/>
        <v>216160.80158892754</v>
      </c>
      <c r="W291" s="30">
        <f t="shared" si="90"/>
        <v>216160.80158892754</v>
      </c>
      <c r="X291" s="30">
        <f t="shared" si="91"/>
        <v>216160.80158892754</v>
      </c>
      <c r="Y291">
        <f t="shared" si="92"/>
        <v>0</v>
      </c>
    </row>
    <row r="292" spans="1:25" x14ac:dyDescent="0.25">
      <c r="A292" s="4" t="s">
        <v>1215</v>
      </c>
      <c r="B292" s="7" t="s">
        <v>622</v>
      </c>
      <c r="C292" s="2" t="s">
        <v>1216</v>
      </c>
      <c r="D292">
        <f>VLOOKUP(B292,'Model allocations'!$A$1:$L$319,6,FALSE)</f>
        <v>20578.556648982416</v>
      </c>
      <c r="E292" s="32">
        <f>VLOOKUP(B292,'Initial adjusted formula count'!$A$1:$P$319,12,FALSE)</f>
        <v>0.102189781021898</v>
      </c>
      <c r="F292">
        <f>VLOOKUP(B292,'Model allocations'!$A$1:$L$319,11,FALSE)</f>
        <v>17491.773151635054</v>
      </c>
      <c r="G292" s="31">
        <f t="shared" si="93"/>
        <v>0.85</v>
      </c>
      <c r="H292">
        <f t="shared" si="94"/>
        <v>17491.773151635054</v>
      </c>
      <c r="I292">
        <f t="shared" si="76"/>
        <v>0</v>
      </c>
      <c r="J292">
        <f t="shared" si="77"/>
        <v>17491.773151635054</v>
      </c>
      <c r="K292">
        <f t="shared" si="78"/>
        <v>17488.224835265781</v>
      </c>
      <c r="L292">
        <f t="shared" si="79"/>
        <v>17488.224835265781</v>
      </c>
      <c r="M292">
        <f t="shared" si="80"/>
        <v>17491.773151635054</v>
      </c>
      <c r="N292" s="30">
        <f t="shared" si="81"/>
        <v>0</v>
      </c>
      <c r="O292" s="30">
        <f t="shared" si="82"/>
        <v>0</v>
      </c>
      <c r="P292" s="30">
        <f t="shared" si="83"/>
        <v>17491.773151635054</v>
      </c>
      <c r="Q292">
        <f t="shared" si="84"/>
        <v>0</v>
      </c>
      <c r="R292" s="30">
        <f t="shared" si="85"/>
        <v>0</v>
      </c>
      <c r="S292" s="30">
        <f t="shared" si="86"/>
        <v>0</v>
      </c>
      <c r="T292" s="30">
        <f t="shared" si="87"/>
        <v>17491.773151635054</v>
      </c>
      <c r="U292">
        <f t="shared" si="88"/>
        <v>0</v>
      </c>
      <c r="V292" s="30">
        <f t="shared" si="89"/>
        <v>0</v>
      </c>
      <c r="W292" s="30">
        <f t="shared" si="90"/>
        <v>0</v>
      </c>
      <c r="X292" s="30">
        <f t="shared" si="91"/>
        <v>17491.773151635054</v>
      </c>
      <c r="Y292">
        <f t="shared" si="92"/>
        <v>0</v>
      </c>
    </row>
    <row r="293" spans="1:25" x14ac:dyDescent="0.25">
      <c r="A293" s="4" t="s">
        <v>1217</v>
      </c>
      <c r="B293" s="7" t="s">
        <v>624</v>
      </c>
      <c r="C293" s="2" t="s">
        <v>1218</v>
      </c>
      <c r="D293">
        <f>VLOOKUP(B293,'Model allocations'!$A$1:$L$319,6,FALSE)</f>
        <v>500925.39211338776</v>
      </c>
      <c r="E293" s="32">
        <f>VLOOKUP(B293,'Initial adjusted formula count'!$A$1:$P$319,12,FALSE)</f>
        <v>0.138222372423116</v>
      </c>
      <c r="F293">
        <f>VLOOKUP(B293,'Model allocations'!$A$1:$L$319,11,FALSE)</f>
        <v>500368.50415168056</v>
      </c>
      <c r="G293" s="31">
        <f t="shared" si="93"/>
        <v>0.85</v>
      </c>
      <c r="H293">
        <f t="shared" si="94"/>
        <v>425786.5832963796</v>
      </c>
      <c r="I293">
        <f t="shared" si="76"/>
        <v>0</v>
      </c>
      <c r="J293">
        <f t="shared" si="77"/>
        <v>500368.50415168056</v>
      </c>
      <c r="K293">
        <f t="shared" si="78"/>
        <v>500267.00124865526</v>
      </c>
      <c r="L293">
        <f t="shared" si="79"/>
        <v>500267.00124865526</v>
      </c>
      <c r="M293">
        <f t="shared" si="80"/>
        <v>0</v>
      </c>
      <c r="N293" s="30">
        <f t="shared" si="81"/>
        <v>500267.00124865526</v>
      </c>
      <c r="O293" s="30">
        <f t="shared" si="82"/>
        <v>500254.25875560183</v>
      </c>
      <c r="P293" s="30">
        <f t="shared" si="83"/>
        <v>500254.25875560183</v>
      </c>
      <c r="Q293">
        <f t="shared" si="84"/>
        <v>0</v>
      </c>
      <c r="R293" s="30">
        <f t="shared" si="85"/>
        <v>500254.25875560183</v>
      </c>
      <c r="S293" s="30">
        <f t="shared" si="86"/>
        <v>500254.25875560223</v>
      </c>
      <c r="T293" s="30">
        <f t="shared" si="87"/>
        <v>500254.25875560223</v>
      </c>
      <c r="U293">
        <f t="shared" si="88"/>
        <v>0</v>
      </c>
      <c r="V293" s="30">
        <f t="shared" si="89"/>
        <v>500254.25875560223</v>
      </c>
      <c r="W293" s="30">
        <f t="shared" si="90"/>
        <v>500254.25875560223</v>
      </c>
      <c r="X293" s="30">
        <f t="shared" si="91"/>
        <v>500254.25875560223</v>
      </c>
      <c r="Y293">
        <f t="shared" si="92"/>
        <v>0</v>
      </c>
    </row>
    <row r="294" spans="1:25" x14ac:dyDescent="0.25">
      <c r="A294" s="4" t="s">
        <v>1219</v>
      </c>
      <c r="B294" s="7" t="s">
        <v>625</v>
      </c>
      <c r="C294" s="2" t="s">
        <v>1220</v>
      </c>
      <c r="D294">
        <f>VLOOKUP(B294,'Model allocations'!$A$1:$L$319,6,FALSE)</f>
        <v>633216.49830917444</v>
      </c>
      <c r="E294" s="32">
        <f>VLOOKUP(B294,'Initial adjusted formula count'!$A$1:$P$319,12,FALSE)</f>
        <v>0.24441260744985699</v>
      </c>
      <c r="F294">
        <f>VLOOKUP(B294,'Model allocations'!$A$1:$L$319,11,FALSE)</f>
        <v>650487.1441676718</v>
      </c>
      <c r="G294" s="31">
        <f t="shared" si="93"/>
        <v>0.9</v>
      </c>
      <c r="H294">
        <f t="shared" si="94"/>
        <v>569894.84847825696</v>
      </c>
      <c r="I294">
        <f t="shared" si="76"/>
        <v>0</v>
      </c>
      <c r="J294">
        <f t="shared" si="77"/>
        <v>650487.1441676718</v>
      </c>
      <c r="K294">
        <f t="shared" si="78"/>
        <v>650355.18875288079</v>
      </c>
      <c r="L294">
        <f t="shared" si="79"/>
        <v>650355.18875288079</v>
      </c>
      <c r="M294">
        <f t="shared" si="80"/>
        <v>0</v>
      </c>
      <c r="N294" s="30">
        <f t="shared" si="81"/>
        <v>650355.18875288079</v>
      </c>
      <c r="O294" s="30">
        <f t="shared" si="82"/>
        <v>650338.62330592098</v>
      </c>
      <c r="P294" s="30">
        <f t="shared" si="83"/>
        <v>650338.62330592098</v>
      </c>
      <c r="Q294">
        <f t="shared" si="84"/>
        <v>0</v>
      </c>
      <c r="R294" s="30">
        <f t="shared" si="85"/>
        <v>650338.62330592098</v>
      </c>
      <c r="S294" s="30">
        <f t="shared" si="86"/>
        <v>650338.62330592144</v>
      </c>
      <c r="T294" s="30">
        <f t="shared" si="87"/>
        <v>650338.62330592144</v>
      </c>
      <c r="U294">
        <f t="shared" si="88"/>
        <v>0</v>
      </c>
      <c r="V294" s="30">
        <f t="shared" si="89"/>
        <v>650338.62330592144</v>
      </c>
      <c r="W294" s="30">
        <f t="shared" si="90"/>
        <v>650338.62330592144</v>
      </c>
      <c r="X294" s="30">
        <f t="shared" si="91"/>
        <v>650338.62330592144</v>
      </c>
      <c r="Y294">
        <f t="shared" si="92"/>
        <v>0</v>
      </c>
    </row>
    <row r="295" spans="1:25" x14ac:dyDescent="0.25">
      <c r="A295" s="4" t="s">
        <v>1221</v>
      </c>
      <c r="B295" s="7" t="s">
        <v>627</v>
      </c>
      <c r="C295" s="2" t="s">
        <v>1222</v>
      </c>
      <c r="D295">
        <f>VLOOKUP(B295,'Model allocations'!$A$1:$L$319,6,FALSE)</f>
        <v>96971.354562768945</v>
      </c>
      <c r="E295" s="32">
        <f>VLOOKUP(B295,'Initial adjusted formula count'!$A$1:$P$319,12,FALSE)</f>
        <v>0.20693641618497099</v>
      </c>
      <c r="F295">
        <f>VLOOKUP(B295,'Model allocations'!$A$1:$L$319,11,FALSE)</f>
        <v>120437.3933933713</v>
      </c>
      <c r="G295" s="31">
        <f t="shared" si="93"/>
        <v>0.9</v>
      </c>
      <c r="H295">
        <f t="shared" si="94"/>
        <v>87274.219106492048</v>
      </c>
      <c r="I295">
        <f t="shared" si="76"/>
        <v>0</v>
      </c>
      <c r="J295">
        <f t="shared" si="77"/>
        <v>120437.3933933713</v>
      </c>
      <c r="K295">
        <f t="shared" si="78"/>
        <v>120412.96190945336</v>
      </c>
      <c r="L295">
        <f t="shared" si="79"/>
        <v>120412.96190945336</v>
      </c>
      <c r="M295">
        <f t="shared" si="80"/>
        <v>0</v>
      </c>
      <c r="N295" s="30">
        <f t="shared" si="81"/>
        <v>120412.96190945336</v>
      </c>
      <c r="O295" s="30">
        <f t="shared" si="82"/>
        <v>120409.89482462298</v>
      </c>
      <c r="P295" s="30">
        <f t="shared" si="83"/>
        <v>120409.89482462298</v>
      </c>
      <c r="Q295">
        <f t="shared" si="84"/>
        <v>0</v>
      </c>
      <c r="R295" s="30">
        <f t="shared" si="85"/>
        <v>120409.89482462298</v>
      </c>
      <c r="S295" s="30">
        <f t="shared" si="86"/>
        <v>120409.89482462307</v>
      </c>
      <c r="T295" s="30">
        <f t="shared" si="87"/>
        <v>120409.89482462307</v>
      </c>
      <c r="U295">
        <f t="shared" si="88"/>
        <v>0</v>
      </c>
      <c r="V295" s="30">
        <f t="shared" si="89"/>
        <v>120409.89482462307</v>
      </c>
      <c r="W295" s="30">
        <f t="shared" si="90"/>
        <v>120409.89482462307</v>
      </c>
      <c r="X295" s="30">
        <f t="shared" si="91"/>
        <v>120409.89482462307</v>
      </c>
      <c r="Y295">
        <f t="shared" si="92"/>
        <v>0</v>
      </c>
    </row>
    <row r="296" spans="1:25" x14ac:dyDescent="0.25">
      <c r="A296" s="4" t="s">
        <v>1223</v>
      </c>
      <c r="B296" s="7" t="s">
        <v>257</v>
      </c>
      <c r="C296" s="2" t="s">
        <v>1224</v>
      </c>
      <c r="D296">
        <f>VLOOKUP(B296,'Model allocations'!$A$1:$L$319,6,FALSE)</f>
        <v>169502.32187188146</v>
      </c>
      <c r="E296" s="32">
        <f>VLOOKUP(B296,'Initial adjusted formula count'!$A$1:$P$319,12,FALSE)</f>
        <v>7.32816261032362E-2</v>
      </c>
      <c r="F296">
        <f>VLOOKUP(B296,'Model allocations'!$A$1:$L$319,11,FALSE)</f>
        <v>155531.44655423766</v>
      </c>
      <c r="G296" s="31">
        <f t="shared" si="93"/>
        <v>0.85</v>
      </c>
      <c r="H296">
        <f t="shared" si="94"/>
        <v>144076.97359109923</v>
      </c>
      <c r="I296">
        <f t="shared" si="76"/>
        <v>0</v>
      </c>
      <c r="J296">
        <f t="shared" si="77"/>
        <v>155531.44655423766</v>
      </c>
      <c r="K296">
        <f t="shared" si="78"/>
        <v>155499.89602056899</v>
      </c>
      <c r="L296">
        <f t="shared" si="79"/>
        <v>155499.89602056899</v>
      </c>
      <c r="M296">
        <f t="shared" si="80"/>
        <v>0</v>
      </c>
      <c r="N296" s="30">
        <f t="shared" si="81"/>
        <v>155499.89602056899</v>
      </c>
      <c r="O296" s="30">
        <f t="shared" si="82"/>
        <v>155495.9352229551</v>
      </c>
      <c r="P296" s="30">
        <f t="shared" si="83"/>
        <v>155495.9352229551</v>
      </c>
      <c r="Q296">
        <f t="shared" si="84"/>
        <v>0</v>
      </c>
      <c r="R296" s="30">
        <f t="shared" si="85"/>
        <v>155495.9352229551</v>
      </c>
      <c r="S296" s="30">
        <f t="shared" si="86"/>
        <v>155495.93522295522</v>
      </c>
      <c r="T296" s="30">
        <f t="shared" si="87"/>
        <v>155495.93522295522</v>
      </c>
      <c r="U296">
        <f t="shared" si="88"/>
        <v>0</v>
      </c>
      <c r="V296" s="30">
        <f t="shared" si="89"/>
        <v>155495.93522295522</v>
      </c>
      <c r="W296" s="30">
        <f t="shared" si="90"/>
        <v>155495.93522295522</v>
      </c>
      <c r="X296" s="30">
        <f t="shared" si="91"/>
        <v>155495.93522295522</v>
      </c>
      <c r="Y296">
        <f t="shared" si="92"/>
        <v>0</v>
      </c>
    </row>
    <row r="297" spans="1:25" x14ac:dyDescent="0.25">
      <c r="A297" s="4" t="s">
        <v>1225</v>
      </c>
      <c r="B297" s="7" t="s">
        <v>629</v>
      </c>
      <c r="C297" s="2" t="s">
        <v>1226</v>
      </c>
      <c r="D297">
        <f>VLOOKUP(B297,'Model allocations'!$A$1:$L$319,6,FALSE)</f>
        <v>0</v>
      </c>
      <c r="E297" s="32">
        <f>VLOOKUP(B297,'Initial adjusted formula count'!$A$1:$P$319,12,FALSE)</f>
        <v>0.104477611940298</v>
      </c>
      <c r="F297">
        <f>VLOOKUP(B297,'Model allocations'!$A$1:$L$319,11,FALSE)</f>
        <v>0</v>
      </c>
      <c r="G297" s="31">
        <f t="shared" si="93"/>
        <v>0.85</v>
      </c>
      <c r="H297">
        <f t="shared" si="94"/>
        <v>0</v>
      </c>
      <c r="I297">
        <f t="shared" si="76"/>
        <v>0</v>
      </c>
      <c r="J297">
        <f t="shared" si="77"/>
        <v>0</v>
      </c>
      <c r="K297">
        <f t="shared" si="78"/>
        <v>0</v>
      </c>
      <c r="L297">
        <f t="shared" si="79"/>
        <v>0</v>
      </c>
      <c r="M297">
        <f t="shared" si="80"/>
        <v>0</v>
      </c>
      <c r="N297" s="30">
        <f t="shared" si="81"/>
        <v>0</v>
      </c>
      <c r="O297" s="30">
        <f t="shared" si="82"/>
        <v>0</v>
      </c>
      <c r="P297" s="30">
        <f t="shared" si="83"/>
        <v>0</v>
      </c>
      <c r="Q297">
        <f t="shared" si="84"/>
        <v>0</v>
      </c>
      <c r="R297" s="30">
        <f t="shared" si="85"/>
        <v>0</v>
      </c>
      <c r="S297" s="30">
        <f t="shared" si="86"/>
        <v>0</v>
      </c>
      <c r="T297" s="30">
        <f t="shared" si="87"/>
        <v>0</v>
      </c>
      <c r="U297">
        <f t="shared" si="88"/>
        <v>0</v>
      </c>
      <c r="V297" s="30">
        <f t="shared" si="89"/>
        <v>0</v>
      </c>
      <c r="W297" s="30">
        <f t="shared" si="90"/>
        <v>0</v>
      </c>
      <c r="X297" s="30">
        <f t="shared" si="91"/>
        <v>0</v>
      </c>
      <c r="Y297">
        <f t="shared" si="92"/>
        <v>0</v>
      </c>
    </row>
    <row r="298" spans="1:25" x14ac:dyDescent="0.25">
      <c r="A298" s="4" t="s">
        <v>1227</v>
      </c>
      <c r="B298" s="7" t="s">
        <v>631</v>
      </c>
      <c r="C298" s="2" t="s">
        <v>1228</v>
      </c>
      <c r="D298">
        <f>VLOOKUP(B298,'Model allocations'!$A$1:$L$319,6,FALSE)</f>
        <v>28160.1301512391</v>
      </c>
      <c r="E298" s="32">
        <f>VLOOKUP(B298,'Initial adjusted formula count'!$A$1:$P$319,12,FALSE)</f>
        <v>0.12804878048780499</v>
      </c>
      <c r="F298">
        <f>VLOOKUP(B298,'Model allocations'!$A$1:$L$319,11,FALSE)</f>
        <v>23936.110628553233</v>
      </c>
      <c r="G298" s="31">
        <f t="shared" si="93"/>
        <v>0.85</v>
      </c>
      <c r="H298">
        <f t="shared" si="94"/>
        <v>23936.110628553233</v>
      </c>
      <c r="I298">
        <f t="shared" si="76"/>
        <v>0</v>
      </c>
      <c r="J298">
        <f t="shared" si="77"/>
        <v>23936.110628553233</v>
      </c>
      <c r="K298">
        <f t="shared" si="78"/>
        <v>23931.25503773212</v>
      </c>
      <c r="L298">
        <f t="shared" si="79"/>
        <v>23931.25503773212</v>
      </c>
      <c r="M298">
        <f t="shared" si="80"/>
        <v>23936.110628553233</v>
      </c>
      <c r="N298" s="30">
        <f t="shared" si="81"/>
        <v>0</v>
      </c>
      <c r="O298" s="30">
        <f t="shared" si="82"/>
        <v>0</v>
      </c>
      <c r="P298" s="30">
        <f t="shared" si="83"/>
        <v>23936.110628553233</v>
      </c>
      <c r="Q298">
        <f t="shared" si="84"/>
        <v>0</v>
      </c>
      <c r="R298" s="30">
        <f t="shared" si="85"/>
        <v>0</v>
      </c>
      <c r="S298" s="30">
        <f t="shared" si="86"/>
        <v>0</v>
      </c>
      <c r="T298" s="30">
        <f t="shared" si="87"/>
        <v>23936.110628553233</v>
      </c>
      <c r="U298">
        <f t="shared" si="88"/>
        <v>0</v>
      </c>
      <c r="V298" s="30">
        <f t="shared" si="89"/>
        <v>0</v>
      </c>
      <c r="W298" s="30">
        <f t="shared" si="90"/>
        <v>0</v>
      </c>
      <c r="X298" s="30">
        <f t="shared" si="91"/>
        <v>23936.110628553233</v>
      </c>
      <c r="Y298">
        <f t="shared" si="92"/>
        <v>0</v>
      </c>
    </row>
    <row r="299" spans="1:25" x14ac:dyDescent="0.25">
      <c r="A299" s="4" t="s">
        <v>1229</v>
      </c>
      <c r="B299" s="7" t="s">
        <v>633</v>
      </c>
      <c r="C299" s="2" t="s">
        <v>1230</v>
      </c>
      <c r="D299">
        <f>VLOOKUP(B299,'Model allocations'!$A$1:$L$319,6,FALSE)</f>
        <v>60982.576004739145</v>
      </c>
      <c r="E299" s="32">
        <f>VLOOKUP(B299,'Initial adjusted formula count'!$A$1:$P$319,12,FALSE)</f>
        <v>0.238095238095238</v>
      </c>
      <c r="F299">
        <f>VLOOKUP(B299,'Model allocations'!$A$1:$L$319,11,FALSE)</f>
        <v>55887.656779865079</v>
      </c>
      <c r="G299" s="31">
        <f t="shared" si="93"/>
        <v>0.9</v>
      </c>
      <c r="H299">
        <f t="shared" si="94"/>
        <v>54884.318404265228</v>
      </c>
      <c r="I299">
        <f t="shared" si="76"/>
        <v>0</v>
      </c>
      <c r="J299">
        <f t="shared" si="77"/>
        <v>55887.656779865079</v>
      </c>
      <c r="K299">
        <f t="shared" si="78"/>
        <v>55876.319616635636</v>
      </c>
      <c r="L299">
        <f t="shared" si="79"/>
        <v>55876.319616635636</v>
      </c>
      <c r="M299">
        <f t="shared" si="80"/>
        <v>0</v>
      </c>
      <c r="N299" s="30">
        <f t="shared" si="81"/>
        <v>55876.319616635636</v>
      </c>
      <c r="O299" s="30">
        <f t="shared" si="82"/>
        <v>55874.896369424067</v>
      </c>
      <c r="P299" s="30">
        <f t="shared" si="83"/>
        <v>55874.896369424067</v>
      </c>
      <c r="Q299">
        <f t="shared" si="84"/>
        <v>0</v>
      </c>
      <c r="R299" s="30">
        <f t="shared" si="85"/>
        <v>55874.896369424067</v>
      </c>
      <c r="S299" s="30">
        <f t="shared" si="86"/>
        <v>55874.89636942411</v>
      </c>
      <c r="T299" s="30">
        <f t="shared" si="87"/>
        <v>55874.89636942411</v>
      </c>
      <c r="U299">
        <f t="shared" si="88"/>
        <v>0</v>
      </c>
      <c r="V299" s="30">
        <f t="shared" si="89"/>
        <v>55874.89636942411</v>
      </c>
      <c r="W299" s="30">
        <f t="shared" si="90"/>
        <v>55874.89636942411</v>
      </c>
      <c r="X299" s="30">
        <f t="shared" si="91"/>
        <v>55874.89636942411</v>
      </c>
      <c r="Y299">
        <f t="shared" si="92"/>
        <v>0</v>
      </c>
    </row>
    <row r="300" spans="1:25" x14ac:dyDescent="0.25">
      <c r="A300" s="4" t="s">
        <v>56</v>
      </c>
      <c r="B300" s="7" t="s">
        <v>67</v>
      </c>
      <c r="C300" s="2" t="s">
        <v>1231</v>
      </c>
      <c r="D300">
        <f>VLOOKUP(B300,'Model allocations'!$A$1:$L$319,6,FALSE)</f>
        <v>717232.08671013394</v>
      </c>
      <c r="E300" s="32">
        <f>VLOOKUP(B300,'Initial adjusted formula count'!$A$1:$P$319,12,FALSE)</f>
        <v>0.111852350241065</v>
      </c>
      <c r="F300">
        <f>VLOOKUP(B300,'Model allocations'!$A$1:$L$319,11,FALSE)</f>
        <v>608465.34406228003</v>
      </c>
      <c r="G300" s="31">
        <f t="shared" si="93"/>
        <v>0.85</v>
      </c>
      <c r="H300">
        <f t="shared" si="94"/>
        <v>609647.27370361378</v>
      </c>
      <c r="I300">
        <f t="shared" si="76"/>
        <v>609647.27370361378</v>
      </c>
      <c r="J300">
        <f t="shared" si="77"/>
        <v>0</v>
      </c>
      <c r="K300">
        <f t="shared" si="78"/>
        <v>0</v>
      </c>
      <c r="L300">
        <f t="shared" si="79"/>
        <v>609647.27370361378</v>
      </c>
      <c r="M300">
        <f t="shared" si="80"/>
        <v>0</v>
      </c>
      <c r="N300" s="30">
        <f t="shared" si="81"/>
        <v>0</v>
      </c>
      <c r="O300" s="30">
        <f t="shared" si="82"/>
        <v>0</v>
      </c>
      <c r="P300" s="30">
        <f t="shared" si="83"/>
        <v>609647.27370361378</v>
      </c>
      <c r="Q300">
        <f t="shared" si="84"/>
        <v>0</v>
      </c>
      <c r="R300" s="30">
        <f t="shared" si="85"/>
        <v>0</v>
      </c>
      <c r="S300" s="30">
        <f t="shared" si="86"/>
        <v>0</v>
      </c>
      <c r="T300" s="30">
        <f t="shared" si="87"/>
        <v>609647.27370361378</v>
      </c>
      <c r="U300">
        <f t="shared" si="88"/>
        <v>0</v>
      </c>
      <c r="V300" s="30">
        <f t="shared" si="89"/>
        <v>0</v>
      </c>
      <c r="W300" s="30">
        <f t="shared" si="90"/>
        <v>0</v>
      </c>
      <c r="X300" s="30">
        <f t="shared" si="91"/>
        <v>609647.27370361378</v>
      </c>
      <c r="Y300">
        <f t="shared" si="92"/>
        <v>0</v>
      </c>
    </row>
    <row r="301" spans="1:25" x14ac:dyDescent="0.25">
      <c r="A301" s="4" t="s">
        <v>1232</v>
      </c>
      <c r="B301" s="7" t="s">
        <v>310</v>
      </c>
      <c r="C301" s="2" t="s">
        <v>1233</v>
      </c>
      <c r="D301">
        <f>VLOOKUP(B301,'Model allocations'!$A$1:$L$319,6,FALSE)</f>
        <v>208948.68602963505</v>
      </c>
      <c r="E301" s="32">
        <f>VLOOKUP(B301,'Initial adjusted formula count'!$A$1:$P$319,12,FALSE)</f>
        <v>0.134081696289367</v>
      </c>
      <c r="F301">
        <f>VLOOKUP(B301,'Model allocations'!$A$1:$L$319,11,FALSE)</f>
        <v>244082.19714716132</v>
      </c>
      <c r="G301" s="31">
        <f t="shared" si="93"/>
        <v>0.85</v>
      </c>
      <c r="H301">
        <f t="shared" si="94"/>
        <v>177606.38312518978</v>
      </c>
      <c r="I301">
        <f t="shared" si="76"/>
        <v>0</v>
      </c>
      <c r="J301">
        <f t="shared" si="77"/>
        <v>244082.19714716132</v>
      </c>
      <c r="K301">
        <f t="shared" si="78"/>
        <v>244032.68353592948</v>
      </c>
      <c r="L301">
        <f t="shared" si="79"/>
        <v>244032.68353592948</v>
      </c>
      <c r="M301">
        <f t="shared" si="80"/>
        <v>0</v>
      </c>
      <c r="N301" s="30">
        <f t="shared" si="81"/>
        <v>244032.68353592948</v>
      </c>
      <c r="O301" s="30">
        <f t="shared" si="82"/>
        <v>244026.46768565953</v>
      </c>
      <c r="P301" s="30">
        <f t="shared" si="83"/>
        <v>244026.46768565953</v>
      </c>
      <c r="Q301">
        <f t="shared" si="84"/>
        <v>0</v>
      </c>
      <c r="R301" s="30">
        <f t="shared" si="85"/>
        <v>244026.46768565953</v>
      </c>
      <c r="S301" s="30">
        <f t="shared" si="86"/>
        <v>244026.46768565971</v>
      </c>
      <c r="T301" s="30">
        <f t="shared" si="87"/>
        <v>244026.46768565971</v>
      </c>
      <c r="U301">
        <f t="shared" si="88"/>
        <v>0</v>
      </c>
      <c r="V301" s="30">
        <f t="shared" si="89"/>
        <v>244026.46768565971</v>
      </c>
      <c r="W301" s="30">
        <f t="shared" si="90"/>
        <v>244026.46768565971</v>
      </c>
      <c r="X301" s="30">
        <f t="shared" si="91"/>
        <v>244026.46768565971</v>
      </c>
      <c r="Y301">
        <f t="shared" si="92"/>
        <v>0</v>
      </c>
    </row>
    <row r="302" spans="1:25" x14ac:dyDescent="0.25">
      <c r="A302" s="4" t="s">
        <v>1234</v>
      </c>
      <c r="B302" s="7" t="s">
        <v>259</v>
      </c>
      <c r="C302" s="2" t="s">
        <v>1235</v>
      </c>
      <c r="D302">
        <f>VLOOKUP(B302,'Model allocations'!$A$1:$L$319,6,FALSE)</f>
        <v>430254.29625306663</v>
      </c>
      <c r="E302" s="32">
        <f>VLOOKUP(B302,'Initial adjusted formula count'!$A$1:$P$319,12,FALSE)</f>
        <v>0.11784351145038199</v>
      </c>
      <c r="F302">
        <f>VLOOKUP(B302,'Model allocations'!$A$1:$L$319,11,FALSE)</f>
        <v>434806.89073191996</v>
      </c>
      <c r="G302" s="31">
        <f t="shared" si="93"/>
        <v>0.85</v>
      </c>
      <c r="H302">
        <f t="shared" si="94"/>
        <v>365716.15181510663</v>
      </c>
      <c r="I302">
        <f t="shared" si="76"/>
        <v>0</v>
      </c>
      <c r="J302">
        <f t="shared" si="77"/>
        <v>434806.89073191996</v>
      </c>
      <c r="K302">
        <f t="shared" si="78"/>
        <v>434718.6874151674</v>
      </c>
      <c r="L302">
        <f t="shared" si="79"/>
        <v>434718.6874151674</v>
      </c>
      <c r="M302">
        <f t="shared" si="80"/>
        <v>0</v>
      </c>
      <c r="N302" s="30">
        <f t="shared" si="81"/>
        <v>434718.6874151674</v>
      </c>
      <c r="O302" s="30">
        <f t="shared" si="82"/>
        <v>434707.61452840746</v>
      </c>
      <c r="P302" s="30">
        <f t="shared" si="83"/>
        <v>434707.61452840746</v>
      </c>
      <c r="Q302">
        <f t="shared" si="84"/>
        <v>0</v>
      </c>
      <c r="R302" s="30">
        <f t="shared" si="85"/>
        <v>434707.61452840746</v>
      </c>
      <c r="S302" s="30">
        <f t="shared" si="86"/>
        <v>434707.61452840775</v>
      </c>
      <c r="T302" s="30">
        <f t="shared" si="87"/>
        <v>434707.61452840775</v>
      </c>
      <c r="U302">
        <f t="shared" si="88"/>
        <v>0</v>
      </c>
      <c r="V302" s="30">
        <f t="shared" si="89"/>
        <v>434707.61452840775</v>
      </c>
      <c r="W302" s="30">
        <f t="shared" si="90"/>
        <v>434707.61452840775</v>
      </c>
      <c r="X302" s="30">
        <f t="shared" si="91"/>
        <v>434707.61452840775</v>
      </c>
      <c r="Y302">
        <f t="shared" si="92"/>
        <v>0</v>
      </c>
    </row>
    <row r="303" spans="1:25" x14ac:dyDescent="0.25">
      <c r="A303" s="4" t="s">
        <v>13</v>
      </c>
      <c r="B303" s="7" t="s">
        <v>71</v>
      </c>
      <c r="C303" s="2" t="s">
        <v>1236</v>
      </c>
      <c r="D303">
        <f>VLOOKUP(B303,'Model allocations'!$A$1:$L$319,6,FALSE)</f>
        <v>8436.7145021367051</v>
      </c>
      <c r="E303" s="32">
        <f>VLOOKUP(B303,'Initial adjusted formula count'!$A$1:$P$319,12,FALSE)</f>
        <v>0.106617044908478</v>
      </c>
      <c r="F303">
        <f>VLOOKUP(B303,'Model allocations'!$A$1:$L$319,11,FALSE)</f>
        <v>0</v>
      </c>
      <c r="G303" s="31">
        <f t="shared" si="93"/>
        <v>0.85</v>
      </c>
      <c r="H303">
        <f t="shared" si="94"/>
        <v>0</v>
      </c>
      <c r="I303">
        <f t="shared" si="76"/>
        <v>0</v>
      </c>
      <c r="J303">
        <f t="shared" si="77"/>
        <v>0</v>
      </c>
      <c r="K303">
        <f t="shared" si="78"/>
        <v>0</v>
      </c>
      <c r="L303">
        <f t="shared" si="79"/>
        <v>0</v>
      </c>
      <c r="M303">
        <f t="shared" si="80"/>
        <v>0</v>
      </c>
      <c r="N303" s="30">
        <f t="shared" si="81"/>
        <v>0</v>
      </c>
      <c r="O303" s="30">
        <f t="shared" si="82"/>
        <v>0</v>
      </c>
      <c r="P303" s="30">
        <f t="shared" si="83"/>
        <v>0</v>
      </c>
      <c r="Q303">
        <f t="shared" si="84"/>
        <v>0</v>
      </c>
      <c r="R303" s="30">
        <f t="shared" si="85"/>
        <v>0</v>
      </c>
      <c r="S303" s="30">
        <f t="shared" si="86"/>
        <v>0</v>
      </c>
      <c r="T303" s="30">
        <f t="shared" si="87"/>
        <v>0</v>
      </c>
      <c r="U303">
        <f t="shared" si="88"/>
        <v>0</v>
      </c>
      <c r="V303" s="30">
        <f t="shared" si="89"/>
        <v>0</v>
      </c>
      <c r="W303" s="30">
        <f t="shared" si="90"/>
        <v>0</v>
      </c>
      <c r="X303" s="30">
        <f t="shared" si="91"/>
        <v>0</v>
      </c>
      <c r="Y303">
        <f t="shared" si="92"/>
        <v>0</v>
      </c>
    </row>
    <row r="304" spans="1:25" x14ac:dyDescent="0.25">
      <c r="A304" s="4" t="s">
        <v>1237</v>
      </c>
      <c r="B304" s="7" t="s">
        <v>635</v>
      </c>
      <c r="C304" s="2" t="s">
        <v>1238</v>
      </c>
      <c r="D304">
        <f>VLOOKUP(B304,'Model allocations'!$A$1:$L$319,6,FALSE)</f>
        <v>79989.986930619998</v>
      </c>
      <c r="E304" s="32">
        <f>VLOOKUP(B304,'Initial adjusted formula count'!$A$1:$P$319,12,FALSE)</f>
        <v>0.134615384615385</v>
      </c>
      <c r="F304">
        <f>VLOOKUP(B304,'Model allocations'!$A$1:$L$319,11,FALSE)</f>
        <v>67991.488891026995</v>
      </c>
      <c r="G304" s="31">
        <f t="shared" si="93"/>
        <v>0.85</v>
      </c>
      <c r="H304">
        <f t="shared" si="94"/>
        <v>67991.488891026995</v>
      </c>
      <c r="I304">
        <f t="shared" si="76"/>
        <v>0</v>
      </c>
      <c r="J304">
        <f t="shared" si="77"/>
        <v>67991.488891026995</v>
      </c>
      <c r="K304">
        <f t="shared" si="78"/>
        <v>67977.69638920846</v>
      </c>
      <c r="L304">
        <f t="shared" si="79"/>
        <v>67977.69638920846</v>
      </c>
      <c r="M304">
        <f t="shared" si="80"/>
        <v>67991.488891026995</v>
      </c>
      <c r="N304" s="30">
        <f t="shared" si="81"/>
        <v>0</v>
      </c>
      <c r="O304" s="30">
        <f t="shared" si="82"/>
        <v>0</v>
      </c>
      <c r="P304" s="30">
        <f t="shared" si="83"/>
        <v>67991.488891026995</v>
      </c>
      <c r="Q304">
        <f t="shared" si="84"/>
        <v>0</v>
      </c>
      <c r="R304" s="30">
        <f t="shared" si="85"/>
        <v>0</v>
      </c>
      <c r="S304" s="30">
        <f t="shared" si="86"/>
        <v>0</v>
      </c>
      <c r="T304" s="30">
        <f t="shared" si="87"/>
        <v>67991.488891026995</v>
      </c>
      <c r="U304">
        <f t="shared" si="88"/>
        <v>0</v>
      </c>
      <c r="V304" s="30">
        <f t="shared" si="89"/>
        <v>0</v>
      </c>
      <c r="W304" s="30">
        <f t="shared" si="90"/>
        <v>0</v>
      </c>
      <c r="X304" s="30">
        <f t="shared" si="91"/>
        <v>67991.488891026995</v>
      </c>
      <c r="Y304">
        <f t="shared" si="92"/>
        <v>0</v>
      </c>
    </row>
    <row r="305" spans="1:25" x14ac:dyDescent="0.25">
      <c r="A305" s="4" t="s">
        <v>1239</v>
      </c>
      <c r="B305" s="7" t="s">
        <v>260</v>
      </c>
      <c r="C305" s="2" t="s">
        <v>1240</v>
      </c>
      <c r="D305">
        <f>VLOOKUP(B305,'Model allocations'!$A$1:$L$319,6,FALSE)</f>
        <v>155963.79776070884</v>
      </c>
      <c r="E305" s="32">
        <f>VLOOKUP(B305,'Initial adjusted formula count'!$A$1:$P$319,12,FALSE)</f>
        <v>4.87752928647497E-2</v>
      </c>
      <c r="F305">
        <f>VLOOKUP(B305,'Model allocations'!$A$1:$L$319,11,FALSE)</f>
        <v>0</v>
      </c>
      <c r="G305" s="31">
        <f t="shared" si="93"/>
        <v>0.85</v>
      </c>
      <c r="H305">
        <f t="shared" si="94"/>
        <v>0</v>
      </c>
      <c r="I305">
        <f t="shared" si="76"/>
        <v>0</v>
      </c>
      <c r="J305">
        <f t="shared" si="77"/>
        <v>0</v>
      </c>
      <c r="K305">
        <f t="shared" si="78"/>
        <v>0</v>
      </c>
      <c r="L305">
        <f t="shared" si="79"/>
        <v>0</v>
      </c>
      <c r="M305">
        <f t="shared" si="80"/>
        <v>0</v>
      </c>
      <c r="N305" s="30">
        <f t="shared" si="81"/>
        <v>0</v>
      </c>
      <c r="O305" s="30">
        <f t="shared" si="82"/>
        <v>0</v>
      </c>
      <c r="P305" s="30">
        <f t="shared" si="83"/>
        <v>0</v>
      </c>
      <c r="Q305">
        <f t="shared" si="84"/>
        <v>0</v>
      </c>
      <c r="R305" s="30">
        <f t="shared" si="85"/>
        <v>0</v>
      </c>
      <c r="S305" s="30">
        <f t="shared" si="86"/>
        <v>0</v>
      </c>
      <c r="T305" s="30">
        <f t="shared" si="87"/>
        <v>0</v>
      </c>
      <c r="U305">
        <f t="shared" si="88"/>
        <v>0</v>
      </c>
      <c r="V305" s="30">
        <f t="shared" si="89"/>
        <v>0</v>
      </c>
      <c r="W305" s="30">
        <f t="shared" si="90"/>
        <v>0</v>
      </c>
      <c r="X305" s="30">
        <f t="shared" si="91"/>
        <v>0</v>
      </c>
      <c r="Y305">
        <f t="shared" si="92"/>
        <v>0</v>
      </c>
    </row>
    <row r="306" spans="1:25" x14ac:dyDescent="0.25">
      <c r="A306" s="4" t="s">
        <v>1241</v>
      </c>
      <c r="B306" s="7" t="s">
        <v>311</v>
      </c>
      <c r="C306" s="2" t="s">
        <v>1242</v>
      </c>
      <c r="D306">
        <f>VLOOKUP(B306,'Model allocations'!$A$1:$L$319,6,FALSE)</f>
        <v>88812.718169292551</v>
      </c>
      <c r="E306" s="32">
        <f>VLOOKUP(B306,'Initial adjusted formula count'!$A$1:$P$319,12,FALSE)</f>
        <v>0.122314049586777</v>
      </c>
      <c r="F306">
        <f>VLOOKUP(B306,'Model allocations'!$A$1:$L$319,11,FALSE)</f>
        <v>84009.686459953184</v>
      </c>
      <c r="G306" s="31">
        <f t="shared" si="93"/>
        <v>0.85</v>
      </c>
      <c r="H306">
        <f t="shared" si="94"/>
        <v>75490.810443898663</v>
      </c>
      <c r="I306">
        <f t="shared" si="76"/>
        <v>0</v>
      </c>
      <c r="J306">
        <f t="shared" si="77"/>
        <v>84009.686459953184</v>
      </c>
      <c r="K306">
        <f t="shared" si="78"/>
        <v>83992.644565854775</v>
      </c>
      <c r="L306">
        <f t="shared" si="79"/>
        <v>83992.644565854775</v>
      </c>
      <c r="M306">
        <f t="shared" si="80"/>
        <v>0</v>
      </c>
      <c r="N306" s="30">
        <f t="shared" si="81"/>
        <v>83992.644565854775</v>
      </c>
      <c r="O306" s="30">
        <f t="shared" si="82"/>
        <v>83990.505156924657</v>
      </c>
      <c r="P306" s="30">
        <f t="shared" si="83"/>
        <v>83990.505156924657</v>
      </c>
      <c r="Q306">
        <f t="shared" si="84"/>
        <v>0</v>
      </c>
      <c r="R306" s="30">
        <f t="shared" si="85"/>
        <v>83990.505156924657</v>
      </c>
      <c r="S306" s="30">
        <f t="shared" si="86"/>
        <v>83990.505156924715</v>
      </c>
      <c r="T306" s="30">
        <f t="shared" si="87"/>
        <v>83990.505156924715</v>
      </c>
      <c r="U306">
        <f t="shared" si="88"/>
        <v>0</v>
      </c>
      <c r="V306" s="30">
        <f t="shared" si="89"/>
        <v>83990.505156924715</v>
      </c>
      <c r="W306" s="30">
        <f t="shared" si="90"/>
        <v>83990.505156924715</v>
      </c>
      <c r="X306" s="30">
        <f t="shared" si="91"/>
        <v>83990.505156924715</v>
      </c>
      <c r="Y306">
        <f t="shared" si="92"/>
        <v>0</v>
      </c>
    </row>
    <row r="307" spans="1:25" x14ac:dyDescent="0.25">
      <c r="A307" s="4" t="s">
        <v>19</v>
      </c>
      <c r="B307" s="7" t="s">
        <v>73</v>
      </c>
      <c r="C307" s="2" t="s">
        <v>1243</v>
      </c>
      <c r="D307">
        <f>VLOOKUP(B307,'Model allocations'!$A$1:$L$319,6,FALSE)</f>
        <v>38522.356501403592</v>
      </c>
      <c r="E307" s="32">
        <f>VLOOKUP(B307,'Initial adjusted formula count'!$A$1:$P$319,12,FALSE)</f>
        <v>0.162781972031498</v>
      </c>
      <c r="F307">
        <f>VLOOKUP(B307,'Model allocations'!$A$1:$L$319,11,FALSE)</f>
        <v>39567.719980611248</v>
      </c>
      <c r="G307" s="31">
        <f t="shared" si="93"/>
        <v>0.9</v>
      </c>
      <c r="H307">
        <f t="shared" si="94"/>
        <v>34670.120851263237</v>
      </c>
      <c r="I307">
        <f t="shared" si="76"/>
        <v>0</v>
      </c>
      <c r="J307">
        <f t="shared" si="77"/>
        <v>39567.719980611248</v>
      </c>
      <c r="K307">
        <f t="shared" si="78"/>
        <v>39559.693419365285</v>
      </c>
      <c r="L307">
        <f t="shared" si="79"/>
        <v>39559.693419365285</v>
      </c>
      <c r="M307">
        <f t="shared" si="80"/>
        <v>0</v>
      </c>
      <c r="N307" s="30">
        <f t="shared" si="81"/>
        <v>39559.693419365285</v>
      </c>
      <c r="O307" s="30">
        <f t="shared" si="82"/>
        <v>39558.685779210464</v>
      </c>
      <c r="P307" s="30">
        <f t="shared" si="83"/>
        <v>39558.685779210464</v>
      </c>
      <c r="Q307">
        <f t="shared" si="84"/>
        <v>0</v>
      </c>
      <c r="R307" s="30">
        <f t="shared" si="85"/>
        <v>39558.685779210464</v>
      </c>
      <c r="S307" s="30">
        <f t="shared" si="86"/>
        <v>39558.685779210493</v>
      </c>
      <c r="T307" s="30">
        <f t="shared" si="87"/>
        <v>39558.685779210493</v>
      </c>
      <c r="U307">
        <f t="shared" si="88"/>
        <v>0</v>
      </c>
      <c r="V307" s="30">
        <f t="shared" si="89"/>
        <v>39558.685779210493</v>
      </c>
      <c r="W307" s="30">
        <f t="shared" si="90"/>
        <v>39558.685779210493</v>
      </c>
      <c r="X307" s="30">
        <f t="shared" si="91"/>
        <v>39558.685779210493</v>
      </c>
      <c r="Y307">
        <f t="shared" si="92"/>
        <v>0</v>
      </c>
    </row>
    <row r="308" spans="1:25" x14ac:dyDescent="0.25">
      <c r="A308" s="4" t="s">
        <v>1244</v>
      </c>
      <c r="B308" s="7" t="s">
        <v>262</v>
      </c>
      <c r="C308" s="2" t="s">
        <v>1245</v>
      </c>
      <c r="D308">
        <f>VLOOKUP(B308,'Model allocations'!$A$1:$L$319,6,FALSE)</f>
        <v>16246.228933407167</v>
      </c>
      <c r="E308" s="32">
        <f>VLOOKUP(B308,'Initial adjusted formula count'!$A$1:$P$319,12,FALSE)</f>
        <v>0.146017699115044</v>
      </c>
      <c r="F308">
        <f>VLOOKUP(B308,'Model allocations'!$A$1:$L$319,11,FALSE)</f>
        <v>18731.889548503073</v>
      </c>
      <c r="G308" s="31">
        <f t="shared" si="93"/>
        <v>0.85</v>
      </c>
      <c r="H308">
        <f t="shared" si="94"/>
        <v>13809.294593396091</v>
      </c>
      <c r="I308">
        <f t="shared" si="76"/>
        <v>0</v>
      </c>
      <c r="J308">
        <f t="shared" si="77"/>
        <v>18731.889548503073</v>
      </c>
      <c r="K308">
        <f t="shared" si="78"/>
        <v>18728.089666710861</v>
      </c>
      <c r="L308">
        <f t="shared" si="79"/>
        <v>18728.089666710861</v>
      </c>
      <c r="M308">
        <f t="shared" si="80"/>
        <v>0</v>
      </c>
      <c r="N308" s="30">
        <f t="shared" si="81"/>
        <v>18728.089666710861</v>
      </c>
      <c r="O308" s="30">
        <f t="shared" si="82"/>
        <v>18727.612636341306</v>
      </c>
      <c r="P308" s="30">
        <f t="shared" si="83"/>
        <v>18727.612636341306</v>
      </c>
      <c r="Q308">
        <f t="shared" si="84"/>
        <v>0</v>
      </c>
      <c r="R308" s="30">
        <f t="shared" si="85"/>
        <v>18727.612636341306</v>
      </c>
      <c r="S308" s="30">
        <f t="shared" si="86"/>
        <v>18727.612636341317</v>
      </c>
      <c r="T308" s="30">
        <f t="shared" si="87"/>
        <v>18727.612636341317</v>
      </c>
      <c r="U308">
        <f t="shared" si="88"/>
        <v>0</v>
      </c>
      <c r="V308" s="30">
        <f t="shared" si="89"/>
        <v>18727.612636341317</v>
      </c>
      <c r="W308" s="30">
        <f t="shared" si="90"/>
        <v>18727.612636341317</v>
      </c>
      <c r="X308" s="30">
        <f t="shared" si="91"/>
        <v>18727.612636341317</v>
      </c>
      <c r="Y308">
        <f t="shared" si="92"/>
        <v>0</v>
      </c>
    </row>
    <row r="309" spans="1:25" x14ac:dyDescent="0.25">
      <c r="A309" s="4" t="s">
        <v>1246</v>
      </c>
      <c r="B309" s="7" t="s">
        <v>637</v>
      </c>
      <c r="C309" s="2" t="s">
        <v>1247</v>
      </c>
      <c r="D309">
        <f>VLOOKUP(B309,'Model allocations'!$A$1:$L$319,6,FALSE)</f>
        <v>34509.548440193255</v>
      </c>
      <c r="E309" s="32">
        <f>VLOOKUP(B309,'Initial adjusted formula count'!$A$1:$P$319,12,FALSE)</f>
        <v>0.113149847094801</v>
      </c>
      <c r="F309">
        <f>VLOOKUP(B309,'Model allocations'!$A$1:$L$319,11,FALSE)</f>
        <v>29333.116174164265</v>
      </c>
      <c r="G309" s="31">
        <f t="shared" si="93"/>
        <v>0.85</v>
      </c>
      <c r="H309">
        <f t="shared" si="94"/>
        <v>29333.116174164265</v>
      </c>
      <c r="I309">
        <f t="shared" si="76"/>
        <v>0</v>
      </c>
      <c r="J309">
        <f t="shared" si="77"/>
        <v>29333.116174164265</v>
      </c>
      <c r="K309">
        <f t="shared" si="78"/>
        <v>29327.165766771006</v>
      </c>
      <c r="L309">
        <f t="shared" si="79"/>
        <v>29327.165766771006</v>
      </c>
      <c r="M309">
        <f t="shared" si="80"/>
        <v>29333.116174164265</v>
      </c>
      <c r="N309" s="30">
        <f t="shared" si="81"/>
        <v>0</v>
      </c>
      <c r="O309" s="30">
        <f t="shared" si="82"/>
        <v>0</v>
      </c>
      <c r="P309" s="30">
        <f t="shared" si="83"/>
        <v>29333.116174164265</v>
      </c>
      <c r="Q309">
        <f t="shared" si="84"/>
        <v>0</v>
      </c>
      <c r="R309" s="30">
        <f t="shared" si="85"/>
        <v>0</v>
      </c>
      <c r="S309" s="30">
        <f t="shared" si="86"/>
        <v>0</v>
      </c>
      <c r="T309" s="30">
        <f t="shared" si="87"/>
        <v>29333.116174164265</v>
      </c>
      <c r="U309">
        <f t="shared" si="88"/>
        <v>0</v>
      </c>
      <c r="V309" s="30">
        <f t="shared" si="89"/>
        <v>0</v>
      </c>
      <c r="W309" s="30">
        <f t="shared" si="90"/>
        <v>0</v>
      </c>
      <c r="X309" s="30">
        <f t="shared" si="91"/>
        <v>29333.116174164265</v>
      </c>
      <c r="Y309">
        <f t="shared" si="92"/>
        <v>0</v>
      </c>
    </row>
    <row r="310" spans="1:25" x14ac:dyDescent="0.25">
      <c r="A310" s="4" t="s">
        <v>1248</v>
      </c>
      <c r="B310" s="7" t="s">
        <v>639</v>
      </c>
      <c r="C310" s="2" t="s">
        <v>1249</v>
      </c>
      <c r="D310">
        <f>VLOOKUP(B310,'Model allocations'!$A$1:$L$319,6,FALSE)</f>
        <v>7021.2704308745797</v>
      </c>
      <c r="E310" s="32">
        <f>VLOOKUP(B310,'Initial adjusted formula count'!$A$1:$P$319,12,FALSE)</f>
        <v>0.13392857142857101</v>
      </c>
      <c r="F310">
        <f>VLOOKUP(B310,'Model allocations'!$A$1:$L$319,11,FALSE)</f>
        <v>8514.4952493195833</v>
      </c>
      <c r="G310" s="31">
        <f t="shared" si="93"/>
        <v>0.85</v>
      </c>
      <c r="H310">
        <f t="shared" si="94"/>
        <v>5968.0798662433926</v>
      </c>
      <c r="I310">
        <f t="shared" si="76"/>
        <v>0</v>
      </c>
      <c r="J310">
        <f t="shared" si="77"/>
        <v>8514.4952493195833</v>
      </c>
      <c r="K310">
        <f t="shared" si="78"/>
        <v>8512.7680303231227</v>
      </c>
      <c r="L310">
        <f t="shared" si="79"/>
        <v>8512.7680303231227</v>
      </c>
      <c r="M310">
        <f t="shared" si="80"/>
        <v>0</v>
      </c>
      <c r="N310" s="30">
        <f t="shared" si="81"/>
        <v>8512.7680303231227</v>
      </c>
      <c r="O310" s="30">
        <f t="shared" si="82"/>
        <v>8512.5511983369615</v>
      </c>
      <c r="P310" s="30">
        <f t="shared" si="83"/>
        <v>8512.5511983369615</v>
      </c>
      <c r="Q310">
        <f t="shared" si="84"/>
        <v>0</v>
      </c>
      <c r="R310" s="30">
        <f t="shared" si="85"/>
        <v>8512.5511983369615</v>
      </c>
      <c r="S310" s="30">
        <f t="shared" si="86"/>
        <v>8512.551198336967</v>
      </c>
      <c r="T310" s="30">
        <f t="shared" si="87"/>
        <v>8512.551198336967</v>
      </c>
      <c r="U310">
        <f t="shared" si="88"/>
        <v>0</v>
      </c>
      <c r="V310" s="30">
        <f t="shared" si="89"/>
        <v>8512.551198336967</v>
      </c>
      <c r="W310" s="30">
        <f t="shared" si="90"/>
        <v>8512.551198336967</v>
      </c>
      <c r="X310" s="30">
        <f t="shared" si="91"/>
        <v>8512.551198336967</v>
      </c>
      <c r="Y310">
        <f t="shared" si="92"/>
        <v>0</v>
      </c>
    </row>
    <row r="311" spans="1:25" x14ac:dyDescent="0.25">
      <c r="A311" s="4" t="s">
        <v>1250</v>
      </c>
      <c r="B311" s="7" t="s">
        <v>641</v>
      </c>
      <c r="C311" s="2" t="s">
        <v>1251</v>
      </c>
      <c r="D311">
        <f>VLOOKUP(B311,'Model allocations'!$A$1:$L$319,6,FALSE)</f>
        <v>64443.374769181777</v>
      </c>
      <c r="E311" s="32">
        <f>VLOOKUP(B311,'Initial adjusted formula count'!$A$1:$P$319,12,FALSE)</f>
        <v>0.125925925925926</v>
      </c>
      <c r="F311">
        <f>VLOOKUP(B311,'Model allocations'!$A$1:$L$319,11,FALSE)</f>
        <v>57898.567695373153</v>
      </c>
      <c r="G311" s="31">
        <f t="shared" si="93"/>
        <v>0.85</v>
      </c>
      <c r="H311">
        <f t="shared" si="94"/>
        <v>54776.86855380451</v>
      </c>
      <c r="I311">
        <f t="shared" si="76"/>
        <v>0</v>
      </c>
      <c r="J311">
        <f t="shared" si="77"/>
        <v>57898.567695373153</v>
      </c>
      <c r="K311">
        <f t="shared" si="78"/>
        <v>57886.822606197224</v>
      </c>
      <c r="L311">
        <f t="shared" si="79"/>
        <v>57886.822606197224</v>
      </c>
      <c r="M311">
        <f t="shared" si="80"/>
        <v>0</v>
      </c>
      <c r="N311" s="30">
        <f t="shared" si="81"/>
        <v>57886.822606197224</v>
      </c>
      <c r="O311" s="30">
        <f t="shared" si="82"/>
        <v>57885.34814869133</v>
      </c>
      <c r="P311" s="30">
        <f t="shared" si="83"/>
        <v>57885.34814869133</v>
      </c>
      <c r="Q311">
        <f t="shared" si="84"/>
        <v>0</v>
      </c>
      <c r="R311" s="30">
        <f t="shared" si="85"/>
        <v>57885.34814869133</v>
      </c>
      <c r="S311" s="30">
        <f t="shared" si="86"/>
        <v>57885.348148691366</v>
      </c>
      <c r="T311" s="30">
        <f t="shared" si="87"/>
        <v>57885.348148691366</v>
      </c>
      <c r="U311">
        <f t="shared" si="88"/>
        <v>0</v>
      </c>
      <c r="V311" s="30">
        <f t="shared" si="89"/>
        <v>57885.348148691366</v>
      </c>
      <c r="W311" s="30">
        <f t="shared" si="90"/>
        <v>57885.348148691366</v>
      </c>
      <c r="X311" s="30">
        <f t="shared" si="91"/>
        <v>57885.348148691366</v>
      </c>
      <c r="Y311">
        <f t="shared" si="92"/>
        <v>0</v>
      </c>
    </row>
    <row r="312" spans="1:25" x14ac:dyDescent="0.25">
      <c r="A312" s="4" t="s">
        <v>1252</v>
      </c>
      <c r="B312" s="7" t="s">
        <v>643</v>
      </c>
      <c r="C312" s="2" t="s">
        <v>1253</v>
      </c>
      <c r="D312">
        <f>VLOOKUP(B312,'Model allocations'!$A$1:$L$319,6,FALSE)</f>
        <v>11372.360253385017</v>
      </c>
      <c r="E312" s="32">
        <f>VLOOKUP(B312,'Initial adjusted formula count'!$A$1:$P$319,12,FALSE)</f>
        <v>0.14383561643835599</v>
      </c>
      <c r="F312">
        <f>VLOOKUP(B312,'Model allocations'!$A$1:$L$319,11,FALSE)</f>
        <v>11920.29334904741</v>
      </c>
      <c r="G312" s="31">
        <f t="shared" si="93"/>
        <v>0.85</v>
      </c>
      <c r="H312">
        <f t="shared" si="94"/>
        <v>9666.5062153772651</v>
      </c>
      <c r="I312">
        <f t="shared" si="76"/>
        <v>0</v>
      </c>
      <c r="J312">
        <f t="shared" si="77"/>
        <v>11920.29334904741</v>
      </c>
      <c r="K312">
        <f t="shared" si="78"/>
        <v>11917.875242452366</v>
      </c>
      <c r="L312">
        <f t="shared" si="79"/>
        <v>11917.875242452366</v>
      </c>
      <c r="M312">
        <f t="shared" si="80"/>
        <v>0</v>
      </c>
      <c r="N312" s="30">
        <f t="shared" si="81"/>
        <v>11917.875242452366</v>
      </c>
      <c r="O312" s="30">
        <f t="shared" si="82"/>
        <v>11917.571677671742</v>
      </c>
      <c r="P312" s="30">
        <f t="shared" si="83"/>
        <v>11917.571677671742</v>
      </c>
      <c r="Q312">
        <f t="shared" si="84"/>
        <v>0</v>
      </c>
      <c r="R312" s="30">
        <f t="shared" si="85"/>
        <v>11917.571677671742</v>
      </c>
      <c r="S312" s="30">
        <f t="shared" si="86"/>
        <v>11917.571677671751</v>
      </c>
      <c r="T312" s="30">
        <f t="shared" si="87"/>
        <v>11917.571677671751</v>
      </c>
      <c r="U312">
        <f t="shared" si="88"/>
        <v>0</v>
      </c>
      <c r="V312" s="30">
        <f t="shared" si="89"/>
        <v>11917.571677671751</v>
      </c>
      <c r="W312" s="30">
        <f t="shared" si="90"/>
        <v>11917.571677671751</v>
      </c>
      <c r="X312" s="30">
        <f t="shared" si="91"/>
        <v>11917.571677671751</v>
      </c>
      <c r="Y312">
        <f t="shared" si="92"/>
        <v>0</v>
      </c>
    </row>
    <row r="313" spans="1:25" x14ac:dyDescent="0.25">
      <c r="A313" s="4" t="s">
        <v>1254</v>
      </c>
      <c r="B313" s="7" t="s">
        <v>645</v>
      </c>
      <c r="C313" s="2" t="s">
        <v>1255</v>
      </c>
      <c r="D313">
        <f>VLOOKUP(B313,'Model allocations'!$A$1:$L$319,6,FALSE)</f>
        <v>14274.749052338208</v>
      </c>
      <c r="E313" s="32">
        <f>VLOOKUP(B313,'Initial adjusted formula count'!$A$1:$P$319,12,FALSE)</f>
        <v>0.372093023255814</v>
      </c>
      <c r="F313">
        <f>VLOOKUP(B313,'Model allocations'!$A$1:$L$319,11,FALSE)</f>
        <v>17096.184056981707</v>
      </c>
      <c r="G313" s="31">
        <f t="shared" si="93"/>
        <v>0.95</v>
      </c>
      <c r="H313">
        <f t="shared" si="94"/>
        <v>13561.011599721296</v>
      </c>
      <c r="I313">
        <f t="shared" si="76"/>
        <v>0</v>
      </c>
      <c r="J313">
        <f t="shared" si="77"/>
        <v>17096.184056981707</v>
      </c>
      <c r="K313">
        <f t="shared" si="78"/>
        <v>17092.715988352204</v>
      </c>
      <c r="L313">
        <f t="shared" si="79"/>
        <v>17092.715988352204</v>
      </c>
      <c r="M313">
        <f t="shared" si="80"/>
        <v>0</v>
      </c>
      <c r="N313" s="30">
        <f t="shared" si="81"/>
        <v>17092.715988352204</v>
      </c>
      <c r="O313" s="30">
        <f t="shared" si="82"/>
        <v>17092.280613214123</v>
      </c>
      <c r="P313" s="30">
        <f t="shared" si="83"/>
        <v>17092.280613214123</v>
      </c>
      <c r="Q313">
        <f t="shared" si="84"/>
        <v>0</v>
      </c>
      <c r="R313" s="30">
        <f t="shared" si="85"/>
        <v>17092.280613214123</v>
      </c>
      <c r="S313" s="30">
        <f t="shared" si="86"/>
        <v>17092.280613214134</v>
      </c>
      <c r="T313" s="30">
        <f t="shared" si="87"/>
        <v>17092.280613214134</v>
      </c>
      <c r="U313">
        <f t="shared" si="88"/>
        <v>0</v>
      </c>
      <c r="V313" s="30">
        <f t="shared" si="89"/>
        <v>17092.280613214134</v>
      </c>
      <c r="W313" s="30">
        <f t="shared" si="90"/>
        <v>17092.280613214134</v>
      </c>
      <c r="X313" s="30">
        <f t="shared" si="91"/>
        <v>17092.280613214134</v>
      </c>
      <c r="Y313">
        <f t="shared" si="92"/>
        <v>0</v>
      </c>
    </row>
    <row r="314" spans="1:25" x14ac:dyDescent="0.25">
      <c r="A314" s="4" t="s">
        <v>1256</v>
      </c>
      <c r="B314" s="7" t="s">
        <v>647</v>
      </c>
      <c r="C314" s="2" t="s">
        <v>1257</v>
      </c>
      <c r="D314">
        <f>VLOOKUP(B314,'Model allocations'!$A$1:$L$319,6,FALSE)</f>
        <v>144049.89654287684</v>
      </c>
      <c r="E314" s="32">
        <f>VLOOKUP(B314,'Initial adjusted formula count'!$A$1:$P$319,12,FALSE)</f>
        <v>9.2865232163080402E-2</v>
      </c>
      <c r="F314">
        <f>VLOOKUP(B314,'Model allocations'!$A$1:$L$319,11,FALSE)</f>
        <v>139637.72208884114</v>
      </c>
      <c r="G314" s="31">
        <f t="shared" si="93"/>
        <v>0.85</v>
      </c>
      <c r="H314">
        <f t="shared" si="94"/>
        <v>122442.41206144531</v>
      </c>
      <c r="I314">
        <f t="shared" si="76"/>
        <v>0</v>
      </c>
      <c r="J314">
        <f t="shared" si="77"/>
        <v>139637.72208884114</v>
      </c>
      <c r="K314">
        <f t="shared" si="78"/>
        <v>139609.39569729919</v>
      </c>
      <c r="L314">
        <f t="shared" si="79"/>
        <v>139609.39569729919</v>
      </c>
      <c r="M314">
        <f t="shared" si="80"/>
        <v>0</v>
      </c>
      <c r="N314" s="30">
        <f t="shared" si="81"/>
        <v>139609.39569729919</v>
      </c>
      <c r="O314" s="30">
        <f t="shared" si="82"/>
        <v>139605.83965272614</v>
      </c>
      <c r="P314" s="30">
        <f t="shared" si="83"/>
        <v>139605.83965272614</v>
      </c>
      <c r="Q314">
        <f t="shared" si="84"/>
        <v>0</v>
      </c>
      <c r="R314" s="30">
        <f t="shared" si="85"/>
        <v>139605.83965272614</v>
      </c>
      <c r="S314" s="30">
        <f t="shared" si="86"/>
        <v>139605.83965272622</v>
      </c>
      <c r="T314" s="30">
        <f t="shared" si="87"/>
        <v>139605.83965272622</v>
      </c>
      <c r="U314">
        <f t="shared" si="88"/>
        <v>0</v>
      </c>
      <c r="V314" s="30">
        <f t="shared" si="89"/>
        <v>139605.83965272622</v>
      </c>
      <c r="W314" s="30">
        <f t="shared" si="90"/>
        <v>139605.83965272622</v>
      </c>
      <c r="X314" s="30">
        <f t="shared" si="91"/>
        <v>139605.83965272622</v>
      </c>
      <c r="Y314">
        <f t="shared" si="92"/>
        <v>0</v>
      </c>
    </row>
    <row r="315" spans="1:25" x14ac:dyDescent="0.25">
      <c r="A315" s="4" t="s">
        <v>1258</v>
      </c>
      <c r="B315" s="7" t="s">
        <v>649</v>
      </c>
      <c r="C315" s="2" t="s">
        <v>1259</v>
      </c>
      <c r="D315">
        <f>VLOOKUP(B315,'Model allocations'!$A$1:$L$319,6,FALSE)</f>
        <v>3086512.7268651389</v>
      </c>
      <c r="E315" s="32">
        <f>VLOOKUP(B315,'Initial adjusted formula count'!$A$1:$P$319,12,FALSE)</f>
        <v>0.26003268567277998</v>
      </c>
      <c r="F315">
        <f>VLOOKUP(B315,'Model allocations'!$A$1:$L$319,11,FALSE)</f>
        <v>4038992.7297688983</v>
      </c>
      <c r="G315" s="31">
        <f t="shared" si="93"/>
        <v>0.9</v>
      </c>
      <c r="H315">
        <f t="shared" si="94"/>
        <v>2777861.4541786253</v>
      </c>
      <c r="I315">
        <f t="shared" si="76"/>
        <v>0</v>
      </c>
      <c r="J315">
        <f t="shared" si="77"/>
        <v>4038992.7297688983</v>
      </c>
      <c r="K315">
        <f t="shared" si="78"/>
        <v>4038173.394650944</v>
      </c>
      <c r="L315">
        <f t="shared" si="79"/>
        <v>4038173.394650944</v>
      </c>
      <c r="M315">
        <f t="shared" si="80"/>
        <v>0</v>
      </c>
      <c r="N315" s="30">
        <f t="shared" si="81"/>
        <v>4038173.394650944</v>
      </c>
      <c r="O315" s="30">
        <f t="shared" si="82"/>
        <v>4038070.5367844421</v>
      </c>
      <c r="P315" s="30">
        <f t="shared" si="83"/>
        <v>4038070.5367844421</v>
      </c>
      <c r="Q315">
        <f t="shared" si="84"/>
        <v>0</v>
      </c>
      <c r="R315" s="30">
        <f t="shared" si="85"/>
        <v>4038070.5367844421</v>
      </c>
      <c r="S315" s="30">
        <f t="shared" si="86"/>
        <v>4038070.5367844449</v>
      </c>
      <c r="T315" s="30">
        <f t="shared" si="87"/>
        <v>4038070.5367844449</v>
      </c>
      <c r="U315">
        <f t="shared" si="88"/>
        <v>0</v>
      </c>
      <c r="V315" s="30">
        <f t="shared" si="89"/>
        <v>4038070.5367844449</v>
      </c>
      <c r="W315" s="30">
        <f t="shared" si="90"/>
        <v>4038070.5367844449</v>
      </c>
      <c r="X315" s="30">
        <f t="shared" si="91"/>
        <v>4038070.5367844449</v>
      </c>
      <c r="Y315">
        <f t="shared" si="92"/>
        <v>0</v>
      </c>
    </row>
    <row r="316" spans="1:25" x14ac:dyDescent="0.25">
      <c r="A316" s="4" t="s">
        <v>1260</v>
      </c>
      <c r="B316" s="7" t="s">
        <v>651</v>
      </c>
      <c r="C316" s="2" t="s">
        <v>1261</v>
      </c>
      <c r="D316">
        <f>VLOOKUP(B316,'Model allocations'!$A$1:$L$319,6,FALSE)</f>
        <v>416445.00165967044</v>
      </c>
      <c r="E316" s="32">
        <f>VLOOKUP(B316,'Initial adjusted formula count'!$A$1:$P$319,12,FALSE)</f>
        <v>9.2218137254901994E-2</v>
      </c>
      <c r="F316">
        <f>VLOOKUP(B316,'Model allocations'!$A$1:$L$319,11,FALSE)</f>
        <v>353978.25141071988</v>
      </c>
      <c r="G316" s="31">
        <f t="shared" si="93"/>
        <v>0.85</v>
      </c>
      <c r="H316">
        <f t="shared" si="94"/>
        <v>353978.25141071988</v>
      </c>
      <c r="I316">
        <f t="shared" si="76"/>
        <v>0</v>
      </c>
      <c r="J316">
        <f t="shared" si="77"/>
        <v>353978.25141071988</v>
      </c>
      <c r="K316">
        <f t="shared" si="78"/>
        <v>353906.4446926153</v>
      </c>
      <c r="L316">
        <f t="shared" si="79"/>
        <v>353906.4446926153</v>
      </c>
      <c r="M316">
        <f t="shared" si="80"/>
        <v>353978.25141071988</v>
      </c>
      <c r="N316" s="30">
        <f t="shared" si="81"/>
        <v>0</v>
      </c>
      <c r="O316" s="30">
        <f t="shared" si="82"/>
        <v>0</v>
      </c>
      <c r="P316" s="30">
        <f t="shared" si="83"/>
        <v>353978.25141071988</v>
      </c>
      <c r="Q316">
        <f t="shared" si="84"/>
        <v>0</v>
      </c>
      <c r="R316" s="30">
        <f t="shared" si="85"/>
        <v>0</v>
      </c>
      <c r="S316" s="30">
        <f t="shared" si="86"/>
        <v>0</v>
      </c>
      <c r="T316" s="30">
        <f t="shared" si="87"/>
        <v>353978.25141071988</v>
      </c>
      <c r="U316">
        <f t="shared" si="88"/>
        <v>0</v>
      </c>
      <c r="V316" s="30">
        <f t="shared" si="89"/>
        <v>0</v>
      </c>
      <c r="W316" s="30">
        <f t="shared" si="90"/>
        <v>0</v>
      </c>
      <c r="X316" s="30">
        <f t="shared" si="91"/>
        <v>353978.25141071988</v>
      </c>
      <c r="Y316">
        <f t="shared" si="92"/>
        <v>0</v>
      </c>
    </row>
    <row r="317" spans="1:25" x14ac:dyDescent="0.25">
      <c r="A317" s="4" t="s">
        <v>1262</v>
      </c>
      <c r="B317" s="7" t="s">
        <v>653</v>
      </c>
      <c r="C317" s="2" t="s">
        <v>1263</v>
      </c>
      <c r="D317">
        <f>VLOOKUP(B317,'Model allocations'!$A$1:$L$319,6,FALSE)</f>
        <v>93145.045884867781</v>
      </c>
      <c r="E317" s="32">
        <f>VLOOKUP(B317,'Initial adjusted formula count'!$A$1:$P$319,12,FALSE)</f>
        <v>0.123857024106401</v>
      </c>
      <c r="F317">
        <f>VLOOKUP(B317,'Model allocations'!$A$1:$L$319,11,FALSE)</f>
        <v>84577.319476574499</v>
      </c>
      <c r="G317" s="31">
        <f t="shared" si="93"/>
        <v>0.85</v>
      </c>
      <c r="H317">
        <f t="shared" si="94"/>
        <v>79173.289002137608</v>
      </c>
      <c r="I317">
        <f t="shared" si="76"/>
        <v>0</v>
      </c>
      <c r="J317">
        <f t="shared" si="77"/>
        <v>84577.319476574499</v>
      </c>
      <c r="K317">
        <f t="shared" si="78"/>
        <v>84560.162434542988</v>
      </c>
      <c r="L317">
        <f t="shared" si="79"/>
        <v>84560.162434542988</v>
      </c>
      <c r="M317">
        <f t="shared" si="80"/>
        <v>0</v>
      </c>
      <c r="N317" s="30">
        <f t="shared" si="81"/>
        <v>84560.162434542988</v>
      </c>
      <c r="O317" s="30">
        <f t="shared" si="82"/>
        <v>84558.008570147111</v>
      </c>
      <c r="P317" s="30">
        <f t="shared" si="83"/>
        <v>84558.008570147111</v>
      </c>
      <c r="Q317">
        <f t="shared" si="84"/>
        <v>0</v>
      </c>
      <c r="R317" s="30">
        <f t="shared" si="85"/>
        <v>84558.008570147111</v>
      </c>
      <c r="S317" s="30">
        <f t="shared" si="86"/>
        <v>84558.008570147169</v>
      </c>
      <c r="T317" s="30">
        <f t="shared" si="87"/>
        <v>84558.008570147169</v>
      </c>
      <c r="U317">
        <f t="shared" si="88"/>
        <v>0</v>
      </c>
      <c r="V317" s="30">
        <f t="shared" si="89"/>
        <v>84558.008570147169</v>
      </c>
      <c r="W317" s="30">
        <f t="shared" si="90"/>
        <v>84558.008570147169</v>
      </c>
      <c r="X317" s="30">
        <f t="shared" si="91"/>
        <v>84558.008570147169</v>
      </c>
      <c r="Y317">
        <f t="shared" si="92"/>
        <v>0</v>
      </c>
    </row>
    <row r="318" spans="1:25" x14ac:dyDescent="0.25">
      <c r="A318" s="1"/>
      <c r="B318" s="7" t="s">
        <v>655</v>
      </c>
      <c r="C318" s="2" t="s">
        <v>656</v>
      </c>
      <c r="D318">
        <f>VLOOKUP(B318,'Model allocations'!$A$1:$L$319,6,FALSE)</f>
        <v>577239.27160993672</v>
      </c>
      <c r="E318" s="32">
        <f>VLOOKUP(B318,'Initial adjusted formula count'!$A$1:$P$319,12,FALSE)</f>
        <v>1</v>
      </c>
      <c r="F318">
        <f>VLOOKUP(B318,'Model allocations'!$A$1:$L$319,11,FALSE)</f>
        <v>548377.30802943988</v>
      </c>
      <c r="G318" s="31">
        <f t="shared" si="93"/>
        <v>0.95</v>
      </c>
      <c r="H318">
        <f t="shared" si="94"/>
        <v>548377.30802943988</v>
      </c>
      <c r="I318">
        <f t="shared" si="76"/>
        <v>0</v>
      </c>
      <c r="J318">
        <f t="shared" si="77"/>
        <v>548377.30802943988</v>
      </c>
      <c r="K318">
        <f t="shared" si="78"/>
        <v>548266.06623812742</v>
      </c>
      <c r="L318">
        <f t="shared" si="79"/>
        <v>548266.06623812742</v>
      </c>
      <c r="M318">
        <f t="shared" si="80"/>
        <v>548377.30802943988</v>
      </c>
      <c r="N318" s="30">
        <f t="shared" si="81"/>
        <v>0</v>
      </c>
      <c r="O318" s="30">
        <f t="shared" si="82"/>
        <v>0</v>
      </c>
      <c r="P318" s="30">
        <f t="shared" si="83"/>
        <v>548377.30802943988</v>
      </c>
      <c r="Q318">
        <f t="shared" si="84"/>
        <v>0</v>
      </c>
      <c r="R318" s="30">
        <f t="shared" si="85"/>
        <v>0</v>
      </c>
      <c r="S318" s="30">
        <f t="shared" si="86"/>
        <v>0</v>
      </c>
      <c r="T318" s="30">
        <f t="shared" si="87"/>
        <v>548377.30802943988</v>
      </c>
      <c r="U318">
        <f t="shared" si="88"/>
        <v>0</v>
      </c>
      <c r="V318" s="30">
        <f t="shared" si="89"/>
        <v>0</v>
      </c>
      <c r="W318" s="30">
        <f t="shared" si="90"/>
        <v>0</v>
      </c>
      <c r="X318" s="30">
        <f t="shared" si="91"/>
        <v>548377.30802943988</v>
      </c>
      <c r="Y318">
        <f t="shared" si="92"/>
        <v>0</v>
      </c>
    </row>
    <row r="319" spans="1:25" x14ac:dyDescent="0.25">
      <c r="B319" t="s">
        <v>1409</v>
      </c>
      <c r="C319" t="s">
        <v>1415</v>
      </c>
      <c r="D319">
        <f>VLOOKUP(B319,'Model allocations'!$A$1:$L$319,6,FALSE)</f>
        <v>34669.433357186026</v>
      </c>
      <c r="E319" s="32">
        <f>VLOOKUP(B319,'Initial adjusted formula count'!$A$1:$P$319,12,FALSE)</f>
        <v>0.14981174476863399</v>
      </c>
      <c r="F319">
        <f>VLOOKUP(B319,'Model allocations'!$A$1:$L$319,11,FALSE)</f>
        <v>35029.113071043364</v>
      </c>
      <c r="G319" s="31">
        <f t="shared" ref="G319:G320" si="95">IF(E319&lt;0.15,0.85,IF(AND(E319&gt;=0.15,E319&lt;0.3),0.9,0.95))</f>
        <v>0.85</v>
      </c>
      <c r="H319">
        <f t="shared" ref="H319:H320" si="96">IF(F319 = 0, 0, D319*G319)</f>
        <v>29469.01835360812</v>
      </c>
      <c r="I319">
        <f t="shared" ref="I319:I320" si="97">IF(F319&lt;H319,H319,0)</f>
        <v>0</v>
      </c>
      <c r="J319">
        <f t="shared" ref="J319:J320" si="98">IF(I319=0,F319,0)</f>
        <v>35029.113071043364</v>
      </c>
      <c r="K319">
        <f t="shared" ref="K319:K320" si="99">(J319/$J$3)*($F$3-$I$3)</f>
        <v>35022.007194798935</v>
      </c>
      <c r="L319">
        <f t="shared" ref="L319:L320" si="100">I319+K319</f>
        <v>35022.007194798935</v>
      </c>
      <c r="M319">
        <f t="shared" ref="M319:M320" si="101">IF(L319&lt;H319,H319,0)</f>
        <v>0</v>
      </c>
      <c r="N319" s="30">
        <f t="shared" ref="N319:N320" si="102">IF($I319+$M319=0,L319,0)</f>
        <v>35022.007194798935</v>
      </c>
      <c r="O319" s="30">
        <f t="shared" ref="O319:O320" si="103">((N319/$N$3)*($F$3-$I$3-$M$3))</f>
        <v>35021.11513579388</v>
      </c>
      <c r="P319" s="30">
        <f t="shared" ref="P319:P320" si="104">$I319+$M319+O319</f>
        <v>35021.11513579388</v>
      </c>
      <c r="Q319">
        <f t="shared" ref="Q319:Q320" si="105">IF(P319&lt;H319,H319,0)</f>
        <v>0</v>
      </c>
      <c r="R319" s="30">
        <f t="shared" ref="R319:R320" si="106">IF($I319+$M319+$Q319=0,P319,0)</f>
        <v>35021.11513579388</v>
      </c>
      <c r="S319" s="30">
        <f t="shared" ref="S319:S320" si="107">((R319/$R$3)*($F$3-$I$3-$M$3-$Q$3))</f>
        <v>35021.115135793902</v>
      </c>
      <c r="T319" s="30">
        <f t="shared" ref="T319:T320" si="108">$I319+$M319+$Q319+S319</f>
        <v>35021.115135793902</v>
      </c>
      <c r="U319">
        <f t="shared" ref="U319:U320" si="109">IF(T319&lt;H319,H319,0)</f>
        <v>0</v>
      </c>
      <c r="V319" s="30">
        <f t="shared" ref="V319:V320" si="110">IF($I319+$M319+$Q319+U319=0,T319,0)</f>
        <v>35021.115135793902</v>
      </c>
      <c r="W319" s="30">
        <f t="shared" ref="W319:W320" si="111">((V319/$V$3)*($F$3-$I$3-$M$3-$Q$3-$U$3))</f>
        <v>35021.115135793902</v>
      </c>
      <c r="X319" s="30">
        <f t="shared" ref="X319:X320" si="112">$I319+$M319+$Q319+$U319+W319</f>
        <v>35021.115135793902</v>
      </c>
      <c r="Y319">
        <f t="shared" ref="Y319:Y320" si="113">IF(X319&lt;H319,H319,0)</f>
        <v>0</v>
      </c>
    </row>
    <row r="320" spans="1:25" x14ac:dyDescent="0.25">
      <c r="B320" t="s">
        <v>1411</v>
      </c>
      <c r="C320" t="s">
        <v>1416</v>
      </c>
      <c r="D320">
        <f>VLOOKUP(B320,'Model allocations'!$A$1:$L$319,6,FALSE)</f>
        <v>0</v>
      </c>
      <c r="E320" s="32">
        <f>VLOOKUP(B320,'Initial adjusted formula count'!$A$1:$P$319,12,FALSE)</f>
        <v>0.13058419145015701</v>
      </c>
      <c r="F320">
        <f>VLOOKUP(B320,'Model allocations'!$A$1:$L$319,11,FALSE)</f>
        <v>0</v>
      </c>
      <c r="G320" s="31">
        <f t="shared" si="95"/>
        <v>0.85</v>
      </c>
      <c r="H320">
        <f t="shared" si="96"/>
        <v>0</v>
      </c>
      <c r="I320">
        <f t="shared" si="97"/>
        <v>0</v>
      </c>
      <c r="J320">
        <f t="shared" si="98"/>
        <v>0</v>
      </c>
      <c r="K320">
        <f t="shared" si="99"/>
        <v>0</v>
      </c>
      <c r="L320">
        <f t="shared" si="100"/>
        <v>0</v>
      </c>
      <c r="M320">
        <f t="shared" si="101"/>
        <v>0</v>
      </c>
      <c r="N320" s="30">
        <f t="shared" si="102"/>
        <v>0</v>
      </c>
      <c r="O320" s="30">
        <f t="shared" si="103"/>
        <v>0</v>
      </c>
      <c r="P320" s="30">
        <f t="shared" si="104"/>
        <v>0</v>
      </c>
      <c r="Q320">
        <f t="shared" si="105"/>
        <v>0</v>
      </c>
      <c r="R320" s="30">
        <f t="shared" si="106"/>
        <v>0</v>
      </c>
      <c r="S320" s="30">
        <f t="shared" si="107"/>
        <v>0</v>
      </c>
      <c r="T320" s="30">
        <f t="shared" si="108"/>
        <v>0</v>
      </c>
      <c r="U320">
        <f t="shared" si="109"/>
        <v>0</v>
      </c>
      <c r="V320" s="30">
        <f t="shared" si="110"/>
        <v>0</v>
      </c>
      <c r="W320" s="30">
        <f t="shared" si="111"/>
        <v>0</v>
      </c>
      <c r="X320" s="30">
        <f t="shared" si="112"/>
        <v>0</v>
      </c>
      <c r="Y320">
        <f t="shared" si="113"/>
        <v>0</v>
      </c>
    </row>
  </sheetData>
  <sheetProtection algorithmName="SHA-512" hashValue="uOvWeEIPiPHUFfM32ELVGIXMU75Xr8To02/O6dIuSj6WiCwz5OAu+AiVN11uoLOAZbwx+CbyJ/upidEO8a2zbg==" saltValue="hrxoAh0RPDbUaPQaYBSY1Q==" spinCount="100000" sheet="1" objects="1" scenarios="1"/>
  <autoFilter ref="A3:Y320" xr:uid="{B34A506B-0783-4864-A67B-A0D4F556461E}"/>
  <conditionalFormatting sqref="B1:B318">
    <cfRule type="duplicateValues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AAFD0-3ECD-4CC2-8DF5-17977764E11A}">
  <sheetPr>
    <tabColor rgb="FFFF0000"/>
  </sheetPr>
  <dimension ref="A1:L318"/>
  <sheetViews>
    <sheetView topLeftCell="B1" workbookViewId="0">
      <selection activeCell="D13" sqref="D13"/>
    </sheetView>
  </sheetViews>
  <sheetFormatPr defaultRowHeight="15" x14ac:dyDescent="0.25"/>
  <cols>
    <col min="1" max="1" width="8.28515625" bestFit="1" customWidth="1"/>
    <col min="2" max="2" width="47.5703125" bestFit="1" customWidth="1"/>
    <col min="3" max="3" width="26.5703125" bestFit="1" customWidth="1"/>
    <col min="4" max="4" width="25.7109375" bestFit="1" customWidth="1"/>
    <col min="5" max="5" width="29.42578125" bestFit="1" customWidth="1"/>
    <col min="6" max="6" width="25.42578125" bestFit="1" customWidth="1"/>
    <col min="7" max="7" width="25.85546875" bestFit="1" customWidth="1"/>
    <col min="8" max="8" width="17.28515625" bestFit="1" customWidth="1"/>
    <col min="9" max="9" width="17.7109375" bestFit="1" customWidth="1"/>
    <col min="10" max="10" width="20.85546875" bestFit="1" customWidth="1"/>
    <col min="11" max="11" width="16.85546875" bestFit="1" customWidth="1"/>
    <col min="12" max="12" width="22.85546875" bestFit="1" customWidth="1"/>
    <col min="13" max="14" width="22.85546875" customWidth="1"/>
    <col min="15" max="15" width="47.5703125" bestFit="1" customWidth="1"/>
  </cols>
  <sheetData>
    <row r="1" spans="1:12" x14ac:dyDescent="0.25">
      <c r="A1" t="s">
        <v>4</v>
      </c>
      <c r="B1" t="s">
        <v>1284</v>
      </c>
      <c r="C1" t="s">
        <v>1341</v>
      </c>
      <c r="D1" t="s">
        <v>1342</v>
      </c>
      <c r="E1" t="s">
        <v>1343</v>
      </c>
      <c r="F1" t="s">
        <v>1344</v>
      </c>
      <c r="G1" t="s">
        <v>1362</v>
      </c>
      <c r="H1" t="s">
        <v>88</v>
      </c>
      <c r="I1" t="s">
        <v>89</v>
      </c>
      <c r="J1" t="s">
        <v>90</v>
      </c>
      <c r="K1" t="s">
        <v>91</v>
      </c>
      <c r="L1" t="s">
        <v>1345</v>
      </c>
    </row>
    <row r="2" spans="1:12" x14ac:dyDescent="0.25">
      <c r="A2" t="s">
        <v>313</v>
      </c>
      <c r="B2" t="s">
        <v>1388</v>
      </c>
      <c r="C2">
        <v>608362.30842596956</v>
      </c>
      <c r="D2">
        <v>159333.45541790014</v>
      </c>
      <c r="E2">
        <v>355016.67821700493</v>
      </c>
      <c r="F2">
        <v>489544.44843571616</v>
      </c>
      <c r="G2">
        <v>1612256.8904965906</v>
      </c>
      <c r="H2">
        <v>713166.65859912592</v>
      </c>
      <c r="I2">
        <v>187933.05762244295</v>
      </c>
      <c r="J2">
        <v>446620.38579443697</v>
      </c>
      <c r="K2">
        <v>615787.34051849949</v>
      </c>
      <c r="L2">
        <v>1963507.4425345054</v>
      </c>
    </row>
    <row r="3" spans="1:12" x14ac:dyDescent="0.25">
      <c r="A3" t="s">
        <v>264</v>
      </c>
      <c r="B3" t="s">
        <v>265</v>
      </c>
      <c r="C3">
        <v>37494.159715491551</v>
      </c>
      <c r="D3">
        <v>0</v>
      </c>
      <c r="E3">
        <v>17279.875804844825</v>
      </c>
      <c r="F3">
        <v>23827.802435663845</v>
      </c>
      <c r="G3">
        <v>78601.837956000221</v>
      </c>
      <c r="H3">
        <v>33550.663070405179</v>
      </c>
      <c r="I3">
        <v>0</v>
      </c>
      <c r="J3">
        <v>16056.099155472324</v>
      </c>
      <c r="K3">
        <v>22137.687648230905</v>
      </c>
      <c r="L3">
        <v>71744.44987410841</v>
      </c>
    </row>
    <row r="4" spans="1:12" x14ac:dyDescent="0.25">
      <c r="A4" t="s">
        <v>266</v>
      </c>
      <c r="B4" t="s">
        <v>267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</row>
    <row r="5" spans="1:12" x14ac:dyDescent="0.25">
      <c r="A5" t="s">
        <v>93</v>
      </c>
      <c r="B5" t="s">
        <v>94</v>
      </c>
      <c r="C5">
        <v>232680.40481630701</v>
      </c>
      <c r="D5">
        <v>0</v>
      </c>
      <c r="E5">
        <v>113104.64163171158</v>
      </c>
      <c r="F5">
        <v>155963.79776070884</v>
      </c>
      <c r="G5">
        <v>501748.84420872742</v>
      </c>
      <c r="H5">
        <v>225391.63396015795</v>
      </c>
      <c r="I5">
        <v>0</v>
      </c>
      <c r="J5">
        <v>107864.05073676282</v>
      </c>
      <c r="K5">
        <v>148719.85035478199</v>
      </c>
      <c r="L5">
        <v>481975.53505170275</v>
      </c>
    </row>
    <row r="6" spans="1:12" x14ac:dyDescent="0.25">
      <c r="A6" t="s">
        <v>95</v>
      </c>
      <c r="B6" t="s">
        <v>96</v>
      </c>
      <c r="C6">
        <v>392648.18312751822</v>
      </c>
      <c r="D6">
        <v>0</v>
      </c>
      <c r="E6">
        <v>190864.08275351327</v>
      </c>
      <c r="F6">
        <v>263188.90872119612</v>
      </c>
      <c r="G6">
        <v>846701.17460222763</v>
      </c>
      <c r="H6">
        <v>494657.21193546127</v>
      </c>
      <c r="I6">
        <v>0</v>
      </c>
      <c r="J6">
        <v>236724.53883068167</v>
      </c>
      <c r="K6">
        <v>326388.98455725057</v>
      </c>
      <c r="L6">
        <v>1057770.7353233935</v>
      </c>
    </row>
    <row r="7" spans="1:12" x14ac:dyDescent="0.25">
      <c r="A7" t="s">
        <v>314</v>
      </c>
      <c r="B7" t="s">
        <v>315</v>
      </c>
      <c r="C7">
        <v>51706.756625846043</v>
      </c>
      <c r="D7">
        <v>0</v>
      </c>
      <c r="E7">
        <v>25134.364807047019</v>
      </c>
      <c r="F7">
        <v>34658.621724601966</v>
      </c>
      <c r="G7">
        <v>111499.74315749503</v>
      </c>
      <c r="H7">
        <v>43950.743131969139</v>
      </c>
      <c r="I7">
        <v>0</v>
      </c>
      <c r="J7">
        <v>21364.210085989966</v>
      </c>
      <c r="K7">
        <v>29459.828465911669</v>
      </c>
      <c r="L7">
        <v>94774.781683870766</v>
      </c>
    </row>
    <row r="8" spans="1:12" x14ac:dyDescent="0.25">
      <c r="A8" t="s">
        <v>316</v>
      </c>
      <c r="B8" t="s">
        <v>317</v>
      </c>
      <c r="C8">
        <v>2292063.5710550812</v>
      </c>
      <c r="D8">
        <v>600304.13415748032</v>
      </c>
      <c r="E8">
        <v>1648460.8793371848</v>
      </c>
      <c r="F8">
        <v>2273118.1982658859</v>
      </c>
      <c r="G8">
        <v>6813946.7828156324</v>
      </c>
      <c r="H8">
        <v>2554151.7604111023</v>
      </c>
      <c r="I8">
        <v>673067.85051994352</v>
      </c>
      <c r="J8">
        <v>1836776.5739010198</v>
      </c>
      <c r="K8">
        <v>2532494.7036559545</v>
      </c>
      <c r="L8">
        <v>7596490.8884880198</v>
      </c>
    </row>
    <row r="9" spans="1:12" x14ac:dyDescent="0.25">
      <c r="A9" t="s">
        <v>97</v>
      </c>
      <c r="B9" t="s">
        <v>98</v>
      </c>
      <c r="C9">
        <v>129266.89156461507</v>
      </c>
      <c r="D9">
        <v>0</v>
      </c>
      <c r="E9">
        <v>0</v>
      </c>
      <c r="F9">
        <v>0</v>
      </c>
      <c r="G9">
        <v>129266.89156461507</v>
      </c>
      <c r="H9">
        <v>122158.82451275738</v>
      </c>
      <c r="I9">
        <v>0</v>
      </c>
      <c r="J9">
        <v>0</v>
      </c>
      <c r="K9">
        <v>0</v>
      </c>
      <c r="L9">
        <v>122158.82451275738</v>
      </c>
    </row>
    <row r="10" spans="1:12" x14ac:dyDescent="0.25">
      <c r="A10" t="s">
        <v>99</v>
      </c>
      <c r="B10" t="s">
        <v>100</v>
      </c>
      <c r="C10">
        <v>911331.58553053625</v>
      </c>
      <c r="D10">
        <v>0</v>
      </c>
      <c r="E10">
        <v>528803.47207326267</v>
      </c>
      <c r="F10">
        <v>729184.90862775838</v>
      </c>
      <c r="G10">
        <v>2169319.9662315571</v>
      </c>
      <c r="H10">
        <v>774631.84770095581</v>
      </c>
      <c r="I10">
        <v>0</v>
      </c>
      <c r="J10">
        <v>449482.95126227324</v>
      </c>
      <c r="K10">
        <v>619807.17233359464</v>
      </c>
      <c r="L10">
        <v>1843921.9712968238</v>
      </c>
    </row>
    <row r="11" spans="1:12" x14ac:dyDescent="0.25">
      <c r="A11" t="s">
        <v>101</v>
      </c>
      <c r="B11" t="s">
        <v>102</v>
      </c>
      <c r="C11">
        <v>1299940.1782966596</v>
      </c>
      <c r="D11">
        <v>0</v>
      </c>
      <c r="E11">
        <v>812154.16282770666</v>
      </c>
      <c r="F11">
        <v>1119906.7144762005</v>
      </c>
      <c r="G11">
        <v>3232001.0556005668</v>
      </c>
      <c r="H11">
        <v>1162229.3796953182</v>
      </c>
      <c r="I11">
        <v>0</v>
      </c>
      <c r="J11">
        <v>692059.04308587138</v>
      </c>
      <c r="K11">
        <v>954191.10094041436</v>
      </c>
      <c r="L11">
        <v>2808479.5237216037</v>
      </c>
    </row>
    <row r="12" spans="1:12" x14ac:dyDescent="0.25">
      <c r="A12" t="s">
        <v>59</v>
      </c>
      <c r="B12" t="s">
        <v>1390</v>
      </c>
      <c r="C12">
        <v>1452717.1107639375</v>
      </c>
      <c r="D12">
        <v>0</v>
      </c>
      <c r="E12">
        <v>924442.29565083107</v>
      </c>
      <c r="F12">
        <v>1274744.6007548065</v>
      </c>
      <c r="G12">
        <v>3651904.0071695754</v>
      </c>
      <c r="H12">
        <v>1235747.1496977005</v>
      </c>
      <c r="I12">
        <v>0</v>
      </c>
      <c r="J12">
        <v>786372.60031292262</v>
      </c>
      <c r="K12">
        <v>1084355.6500459372</v>
      </c>
      <c r="L12">
        <v>3106475.4000565605</v>
      </c>
    </row>
    <row r="13" spans="1:12" x14ac:dyDescent="0.25">
      <c r="A13" t="s">
        <v>103</v>
      </c>
      <c r="B13" t="s">
        <v>104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</row>
    <row r="14" spans="1:12" x14ac:dyDescent="0.25">
      <c r="A14" t="s">
        <v>268</v>
      </c>
      <c r="B14" t="s">
        <v>269</v>
      </c>
      <c r="C14">
        <v>1892144.1252770526</v>
      </c>
      <c r="D14">
        <v>0</v>
      </c>
      <c r="E14">
        <v>1259663.6737281769</v>
      </c>
      <c r="F14">
        <v>1736992.6434634493</v>
      </c>
      <c r="G14">
        <v>4888800.4424686786</v>
      </c>
      <c r="H14">
        <v>1994974.0425710171</v>
      </c>
      <c r="I14">
        <v>0</v>
      </c>
      <c r="J14">
        <v>1301573.2687186098</v>
      </c>
      <c r="K14">
        <v>1794571.7820482571</v>
      </c>
      <c r="L14">
        <v>5091119.0933378842</v>
      </c>
    </row>
    <row r="15" spans="1:12" x14ac:dyDescent="0.25">
      <c r="A15" t="s">
        <v>318</v>
      </c>
      <c r="B15" t="s">
        <v>319</v>
      </c>
      <c r="C15">
        <v>12118.771084182659</v>
      </c>
      <c r="D15">
        <v>3173.9732154960188</v>
      </c>
      <c r="E15">
        <v>6683.7185077564372</v>
      </c>
      <c r="F15">
        <v>9216.4044427772187</v>
      </c>
      <c r="G15">
        <v>31192.86725021233</v>
      </c>
      <c r="H15">
        <v>10906.893975764393</v>
      </c>
      <c r="I15">
        <v>2856.5758939464172</v>
      </c>
      <c r="J15">
        <v>6015.3466569807933</v>
      </c>
      <c r="K15">
        <v>8294.7639984994967</v>
      </c>
      <c r="L15">
        <v>28073.580525191101</v>
      </c>
    </row>
    <row r="16" spans="1:12" x14ac:dyDescent="0.25">
      <c r="A16" t="s">
        <v>320</v>
      </c>
      <c r="B16" t="s">
        <v>321</v>
      </c>
      <c r="C16">
        <v>314280.13011647045</v>
      </c>
      <c r="D16">
        <v>82311.705388530085</v>
      </c>
      <c r="E16">
        <v>152769.81109283265</v>
      </c>
      <c r="F16">
        <v>210659.43516984626</v>
      </c>
      <c r="G16">
        <v>760021.08176767942</v>
      </c>
      <c r="H16">
        <v>267138.11059899989</v>
      </c>
      <c r="I16">
        <v>69964.94958025057</v>
      </c>
      <c r="J16">
        <v>129854.33942890776</v>
      </c>
      <c r="K16">
        <v>179060.51989436932</v>
      </c>
      <c r="L16">
        <v>646017.91950252745</v>
      </c>
    </row>
    <row r="17" spans="1:12" x14ac:dyDescent="0.25">
      <c r="A17" t="s">
        <v>322</v>
      </c>
      <c r="B17" t="s">
        <v>323</v>
      </c>
      <c r="C17">
        <v>23429.624096086474</v>
      </c>
      <c r="D17">
        <v>4507.2007555676237</v>
      </c>
      <c r="E17">
        <v>11389.009053193182</v>
      </c>
      <c r="F17">
        <v>15704.687968960267</v>
      </c>
      <c r="G17">
        <v>55030.521873807549</v>
      </c>
      <c r="H17">
        <v>25808.202361850148</v>
      </c>
      <c r="I17">
        <v>3831.1206422324799</v>
      </c>
      <c r="J17">
        <v>12350.845504209479</v>
      </c>
      <c r="K17">
        <v>17028.990498639167</v>
      </c>
      <c r="L17">
        <v>59019.159006931266</v>
      </c>
    </row>
    <row r="18" spans="1:12" x14ac:dyDescent="0.25">
      <c r="A18" t="s">
        <v>58</v>
      </c>
      <c r="B18" t="s">
        <v>9</v>
      </c>
      <c r="C18">
        <v>673920.84271921485</v>
      </c>
      <c r="D18">
        <v>176503.59836791627</v>
      </c>
      <c r="E18">
        <v>367957.27557733277</v>
      </c>
      <c r="F18">
        <v>507388.67375213397</v>
      </c>
      <c r="G18">
        <v>1725770.3904165979</v>
      </c>
      <c r="H18">
        <v>816327.88559470186</v>
      </c>
      <c r="I18">
        <v>215118.01443947118</v>
      </c>
      <c r="J18">
        <v>457693.50986171741</v>
      </c>
      <c r="K18">
        <v>631054.64545464399</v>
      </c>
      <c r="L18">
        <v>2120194.0553505346</v>
      </c>
    </row>
    <row r="19" spans="1:12" x14ac:dyDescent="0.25">
      <c r="A19" t="s">
        <v>324</v>
      </c>
      <c r="B19" t="s">
        <v>325</v>
      </c>
      <c r="C19">
        <v>231741.39018647218</v>
      </c>
      <c r="D19">
        <v>60254.61938351611</v>
      </c>
      <c r="E19">
        <v>151751.60030420637</v>
      </c>
      <c r="F19">
        <v>205524.30237483457</v>
      </c>
      <c r="G19">
        <v>649271.91224902926</v>
      </c>
      <c r="H19">
        <v>208567.25116782496</v>
      </c>
      <c r="I19">
        <v>54229.157445164499</v>
      </c>
      <c r="J19">
        <v>136576.44027378573</v>
      </c>
      <c r="K19">
        <v>184971.87213735111</v>
      </c>
      <c r="L19">
        <v>584344.72102412628</v>
      </c>
    </row>
    <row r="20" spans="1:12" x14ac:dyDescent="0.25">
      <c r="A20" t="s">
        <v>326</v>
      </c>
      <c r="B20" t="s">
        <v>327</v>
      </c>
      <c r="C20">
        <v>169130.55845188143</v>
      </c>
      <c r="D20">
        <v>43975.30116410998</v>
      </c>
      <c r="E20">
        <v>122580.10080174322</v>
      </c>
      <c r="F20">
        <v>169029.82738040146</v>
      </c>
      <c r="G20">
        <v>504715.78779813612</v>
      </c>
      <c r="H20">
        <v>152217.50260669328</v>
      </c>
      <c r="I20">
        <v>39577.771047698981</v>
      </c>
      <c r="J20">
        <v>110322.09072156889</v>
      </c>
      <c r="K20">
        <v>152126.84464236131</v>
      </c>
      <c r="L20">
        <v>454244.20901832241</v>
      </c>
    </row>
    <row r="21" spans="1:12" x14ac:dyDescent="0.25">
      <c r="A21" t="s">
        <v>328</v>
      </c>
      <c r="B21" t="s">
        <v>329</v>
      </c>
      <c r="C21">
        <v>25853.378312923021</v>
      </c>
      <c r="D21">
        <v>6771.1428597248387</v>
      </c>
      <c r="E21">
        <v>18318.376704493487</v>
      </c>
      <c r="F21">
        <v>25259.826284999024</v>
      </c>
      <c r="G21">
        <v>76202.724162140366</v>
      </c>
      <c r="H21">
        <v>23268.04048163072</v>
      </c>
      <c r="I21">
        <v>6120.8595365572501</v>
      </c>
      <c r="J21">
        <v>16486.539034044137</v>
      </c>
      <c r="K21">
        <v>22733.843656499121</v>
      </c>
      <c r="L21">
        <v>68609.282708731218</v>
      </c>
    </row>
    <row r="22" spans="1:12" x14ac:dyDescent="0.25">
      <c r="A22" t="s">
        <v>330</v>
      </c>
      <c r="B22" t="s">
        <v>331</v>
      </c>
      <c r="C22">
        <v>451612.10172066692</v>
      </c>
      <c r="D22">
        <v>114700.48819341061</v>
      </c>
      <c r="E22">
        <v>203403.42161655519</v>
      </c>
      <c r="F22">
        <v>274019.72801013419</v>
      </c>
      <c r="G22">
        <v>1043735.7395407669</v>
      </c>
      <c r="H22">
        <v>383870.28646256687</v>
      </c>
      <c r="I22">
        <v>97495.414964399009</v>
      </c>
      <c r="J22">
        <v>172892.90837407191</v>
      </c>
      <c r="K22">
        <v>232916.76880861406</v>
      </c>
      <c r="L22">
        <v>887175.37860965193</v>
      </c>
    </row>
    <row r="23" spans="1:12" x14ac:dyDescent="0.25">
      <c r="A23" t="s">
        <v>105</v>
      </c>
      <c r="B23" t="s">
        <v>106</v>
      </c>
      <c r="C23">
        <v>266612.96385201853</v>
      </c>
      <c r="D23">
        <v>0</v>
      </c>
      <c r="E23">
        <v>0</v>
      </c>
      <c r="F23">
        <v>0</v>
      </c>
      <c r="G23">
        <v>266612.96385201853</v>
      </c>
      <c r="H23">
        <v>226621.01927421574</v>
      </c>
      <c r="I23">
        <v>0</v>
      </c>
      <c r="J23">
        <v>0</v>
      </c>
      <c r="K23">
        <v>0</v>
      </c>
      <c r="L23">
        <v>226621.01927421574</v>
      </c>
    </row>
    <row r="24" spans="1:12" x14ac:dyDescent="0.25">
      <c r="A24" t="s">
        <v>332</v>
      </c>
      <c r="B24" t="s">
        <v>333</v>
      </c>
      <c r="C24">
        <v>106645.18554080742</v>
      </c>
      <c r="D24">
        <v>27930.96429636496</v>
      </c>
      <c r="E24">
        <v>66432.453077392129</v>
      </c>
      <c r="F24">
        <v>91605.945848337316</v>
      </c>
      <c r="G24">
        <v>292614.5487629018</v>
      </c>
      <c r="H24">
        <v>98931.442387092218</v>
      </c>
      <c r="I24">
        <v>26070.327655706798</v>
      </c>
      <c r="J24">
        <v>59789.207769652916</v>
      </c>
      <c r="K24">
        <v>82445.351263503588</v>
      </c>
      <c r="L24">
        <v>267236.32907595555</v>
      </c>
    </row>
    <row r="25" spans="1:12" x14ac:dyDescent="0.25">
      <c r="A25" t="s">
        <v>107</v>
      </c>
      <c r="B25" t="s">
        <v>108</v>
      </c>
      <c r="C25">
        <v>15350.443373298032</v>
      </c>
      <c r="D25">
        <v>0</v>
      </c>
      <c r="E25">
        <v>7461.7645520920814</v>
      </c>
      <c r="F25">
        <v>10289.278324491208</v>
      </c>
      <c r="G25">
        <v>33101.486249881324</v>
      </c>
      <c r="H25">
        <v>0</v>
      </c>
      <c r="I25">
        <v>0</v>
      </c>
      <c r="J25">
        <v>0</v>
      </c>
      <c r="K25">
        <v>0</v>
      </c>
      <c r="L25">
        <v>0</v>
      </c>
    </row>
    <row r="26" spans="1:12" x14ac:dyDescent="0.25">
      <c r="A26" t="s">
        <v>334</v>
      </c>
      <c r="B26" t="s">
        <v>335</v>
      </c>
      <c r="C26">
        <v>142193.58072107661</v>
      </c>
      <c r="D26">
        <v>0</v>
      </c>
      <c r="E26">
        <v>69119.503219379301</v>
      </c>
      <c r="F26">
        <v>95311.20974265541</v>
      </c>
      <c r="G26">
        <v>306624.29368311132</v>
      </c>
      <c r="H26">
        <v>152268.39393491583</v>
      </c>
      <c r="I26">
        <v>0</v>
      </c>
      <c r="J26">
        <v>72869.988474835933</v>
      </c>
      <c r="K26">
        <v>100471.04394197105</v>
      </c>
      <c r="L26">
        <v>325609.4263517228</v>
      </c>
    </row>
    <row r="27" spans="1:12" x14ac:dyDescent="0.25">
      <c r="A27" t="s">
        <v>336</v>
      </c>
      <c r="B27" t="s">
        <v>337</v>
      </c>
      <c r="C27">
        <v>162391.53252804765</v>
      </c>
      <c r="D27">
        <v>36679.288907377901</v>
      </c>
      <c r="E27">
        <v>78937.614472132016</v>
      </c>
      <c r="F27">
        <v>108849.73385382805</v>
      </c>
      <c r="G27">
        <v>386858.16976138559</v>
      </c>
      <c r="H27">
        <v>145386.2066384225</v>
      </c>
      <c r="I27">
        <v>31177.395571271216</v>
      </c>
      <c r="J27">
        <v>69576.429673713414</v>
      </c>
      <c r="K27">
        <v>95929.979809000608</v>
      </c>
      <c r="L27">
        <v>342070.01169240777</v>
      </c>
    </row>
    <row r="28" spans="1:12" x14ac:dyDescent="0.25">
      <c r="A28" t="s">
        <v>109</v>
      </c>
      <c r="B28" t="s">
        <v>110</v>
      </c>
      <c r="C28">
        <v>161270.32416485486</v>
      </c>
      <c r="D28">
        <v>0</v>
      </c>
      <c r="E28">
        <v>77366.716671691611</v>
      </c>
      <c r="F28">
        <v>106683.5699960404</v>
      </c>
      <c r="G28">
        <v>345320.61083258688</v>
      </c>
      <c r="H28">
        <v>157430.03440728586</v>
      </c>
      <c r="I28">
        <v>0</v>
      </c>
      <c r="J28">
        <v>75340.157575677833</v>
      </c>
      <c r="K28">
        <v>103876.84204169888</v>
      </c>
      <c r="L28">
        <v>336647.03402466257</v>
      </c>
    </row>
    <row r="29" spans="1:12" x14ac:dyDescent="0.25">
      <c r="A29" t="s">
        <v>69</v>
      </c>
      <c r="B29" t="s">
        <v>1403</v>
      </c>
      <c r="C29">
        <v>69046.989554330052</v>
      </c>
      <c r="D29">
        <v>0</v>
      </c>
      <c r="E29">
        <v>37699.297236030499</v>
      </c>
      <c r="F29">
        <v>51984.830021269336</v>
      </c>
      <c r="G29">
        <v>158731.11681162988</v>
      </c>
      <c r="H29">
        <v>73185.513548353993</v>
      </c>
      <c r="I29">
        <v>0</v>
      </c>
      <c r="J29">
        <v>41033.186735469535</v>
      </c>
      <c r="K29">
        <v>56575.377516384979</v>
      </c>
      <c r="L29">
        <v>170794.07780020853</v>
      </c>
    </row>
    <row r="30" spans="1:12" x14ac:dyDescent="0.25">
      <c r="A30" t="s">
        <v>338</v>
      </c>
      <c r="B30" t="s">
        <v>339</v>
      </c>
      <c r="C30">
        <v>10502.934939624969</v>
      </c>
      <c r="D30">
        <v>1906.344959922915</v>
      </c>
      <c r="E30">
        <v>5105.4178514314262</v>
      </c>
      <c r="F30">
        <v>7040.0325378097732</v>
      </c>
      <c r="G30">
        <v>24554.730288789084</v>
      </c>
      <c r="H30">
        <v>23227.382125665132</v>
      </c>
      <c r="I30">
        <v>6120.8595365572501</v>
      </c>
      <c r="J30">
        <v>16966.449100473848</v>
      </c>
      <c r="K30">
        <v>23392.851965409362</v>
      </c>
      <c r="L30">
        <v>69707.542728105589</v>
      </c>
    </row>
    <row r="31" spans="1:12" x14ac:dyDescent="0.25">
      <c r="A31" t="s">
        <v>111</v>
      </c>
      <c r="B31" t="s">
        <v>112</v>
      </c>
      <c r="C31">
        <v>764290.49637578626</v>
      </c>
      <c r="D31">
        <v>0</v>
      </c>
      <c r="E31">
        <v>421589.69719320262</v>
      </c>
      <c r="F31">
        <v>581344.22533375316</v>
      </c>
      <c r="G31">
        <v>1767224.4189027422</v>
      </c>
      <c r="H31">
        <v>762202.24308664119</v>
      </c>
      <c r="I31">
        <v>0</v>
      </c>
      <c r="J31">
        <v>404901.88511300093</v>
      </c>
      <c r="K31">
        <v>558267.07184705383</v>
      </c>
      <c r="L31">
        <v>1725371.2000466958</v>
      </c>
    </row>
    <row r="32" spans="1:12" x14ac:dyDescent="0.25">
      <c r="A32" t="s">
        <v>270</v>
      </c>
      <c r="B32" t="s">
        <v>271</v>
      </c>
      <c r="C32">
        <v>1332256.9011878138</v>
      </c>
      <c r="D32">
        <v>0</v>
      </c>
      <c r="E32">
        <v>835717.62983431318</v>
      </c>
      <c r="F32">
        <v>1152399.1723430147</v>
      </c>
      <c r="G32">
        <v>3320373.7033651415</v>
      </c>
      <c r="H32">
        <v>1620755.1083241892</v>
      </c>
      <c r="I32">
        <v>0</v>
      </c>
      <c r="J32">
        <v>1021209.0757730539</v>
      </c>
      <c r="K32">
        <v>1408013.697729148</v>
      </c>
      <c r="L32">
        <v>4049977.881826391</v>
      </c>
    </row>
    <row r="33" spans="1:12" x14ac:dyDescent="0.25">
      <c r="A33" t="s">
        <v>340</v>
      </c>
      <c r="B33" t="s">
        <v>341</v>
      </c>
      <c r="C33">
        <v>671379.91806371917</v>
      </c>
      <c r="D33">
        <v>175838.11613847944</v>
      </c>
      <c r="E33">
        <v>375078.0838484221</v>
      </c>
      <c r="F33">
        <v>517207.79598321987</v>
      </c>
      <c r="G33">
        <v>1739503.9140338404</v>
      </c>
      <c r="H33">
        <v>659829.70705130207</v>
      </c>
      <c r="I33">
        <v>173877.75053849668</v>
      </c>
      <c r="J33">
        <v>346990.04679779784</v>
      </c>
      <c r="K33">
        <v>478419.89506128617</v>
      </c>
      <c r="L33">
        <v>1659117.3994488828</v>
      </c>
    </row>
    <row r="34" spans="1:12" x14ac:dyDescent="0.25">
      <c r="A34" t="s">
        <v>342</v>
      </c>
      <c r="B34" t="s">
        <v>343</v>
      </c>
      <c r="C34">
        <v>290850.50602038391</v>
      </c>
      <c r="D34">
        <v>0</v>
      </c>
      <c r="E34">
        <v>141380.80203963941</v>
      </c>
      <c r="F34">
        <v>194954.74720088602</v>
      </c>
      <c r="G34">
        <v>627186.05526090937</v>
      </c>
      <c r="H34">
        <v>247222.93011732632</v>
      </c>
      <c r="I34">
        <v>0</v>
      </c>
      <c r="J34">
        <v>120173.68173369349</v>
      </c>
      <c r="K34">
        <v>165711.53512075311</v>
      </c>
      <c r="L34">
        <v>533108.14697177289</v>
      </c>
    </row>
    <row r="35" spans="1:12" x14ac:dyDescent="0.25">
      <c r="A35" t="s">
        <v>272</v>
      </c>
      <c r="B35" t="s">
        <v>273</v>
      </c>
      <c r="C35">
        <v>651989.88432902726</v>
      </c>
      <c r="D35">
        <v>0</v>
      </c>
      <c r="E35">
        <v>339706.64934524498</v>
      </c>
      <c r="F35">
        <v>468432.93424657348</v>
      </c>
      <c r="G35">
        <v>1460129.4679208458</v>
      </c>
      <c r="H35">
        <v>760481.69626251771</v>
      </c>
      <c r="I35">
        <v>0</v>
      </c>
      <c r="J35">
        <v>403666.80056257977</v>
      </c>
      <c r="K35">
        <v>556564.17279718979</v>
      </c>
      <c r="L35">
        <v>1720712.6696222874</v>
      </c>
    </row>
    <row r="36" spans="1:12" x14ac:dyDescent="0.25">
      <c r="A36" t="s">
        <v>344</v>
      </c>
      <c r="B36" t="s">
        <v>345</v>
      </c>
      <c r="C36">
        <v>172884.84204615967</v>
      </c>
      <c r="D36">
        <v>43909.310021547004</v>
      </c>
      <c r="E36">
        <v>97161.381858918481</v>
      </c>
      <c r="F36">
        <v>128028.79300516511</v>
      </c>
      <c r="G36">
        <v>441984.32693179027</v>
      </c>
      <c r="H36">
        <v>155596.35784154371</v>
      </c>
      <c r="I36">
        <v>39518.379019392305</v>
      </c>
      <c r="J36">
        <v>87445.243673026634</v>
      </c>
      <c r="K36">
        <v>115225.9137046486</v>
      </c>
      <c r="L36">
        <v>397785.89423861128</v>
      </c>
    </row>
    <row r="37" spans="1:12" x14ac:dyDescent="0.25">
      <c r="A37" t="s">
        <v>113</v>
      </c>
      <c r="B37" t="s">
        <v>114</v>
      </c>
      <c r="C37">
        <v>168854.87710627841</v>
      </c>
      <c r="D37">
        <v>44224.026802577864</v>
      </c>
      <c r="E37">
        <v>89488.942273240362</v>
      </c>
      <c r="F37">
        <v>123399.31494562307</v>
      </c>
      <c r="G37">
        <v>425967.16112771968</v>
      </c>
      <c r="H37">
        <v>151969.38939565056</v>
      </c>
      <c r="I37">
        <v>39801.624122320078</v>
      </c>
      <c r="J37">
        <v>80540.048045916323</v>
      </c>
      <c r="K37">
        <v>111059.38345106077</v>
      </c>
      <c r="L37">
        <v>383370.44501494768</v>
      </c>
    </row>
    <row r="38" spans="1:12" x14ac:dyDescent="0.25">
      <c r="A38" t="s">
        <v>346</v>
      </c>
      <c r="B38" t="s">
        <v>347</v>
      </c>
      <c r="C38">
        <v>476671.66264451784</v>
      </c>
      <c r="D38">
        <v>124842.94647617673</v>
      </c>
      <c r="E38">
        <v>273417.00069602393</v>
      </c>
      <c r="F38">
        <v>377023.90623143309</v>
      </c>
      <c r="G38">
        <v>1251955.5160481515</v>
      </c>
      <c r="H38">
        <v>512722.95358875633</v>
      </c>
      <c r="I38">
        <v>135112.30680696745</v>
      </c>
      <c r="J38">
        <v>294939.94034363556</v>
      </c>
      <c r="K38">
        <v>406654.70554782386</v>
      </c>
      <c r="L38">
        <v>1349429.9062871831</v>
      </c>
    </row>
    <row r="39" spans="1:12" x14ac:dyDescent="0.25">
      <c r="A39" t="s">
        <v>348</v>
      </c>
      <c r="B39" t="s">
        <v>349</v>
      </c>
      <c r="C39">
        <v>128248.30540728933</v>
      </c>
      <c r="D39">
        <v>27198.625249114968</v>
      </c>
      <c r="E39">
        <v>58291.327137466542</v>
      </c>
      <c r="F39">
        <v>78946.675490834969</v>
      </c>
      <c r="G39">
        <v>292684.9332847058</v>
      </c>
      <c r="H39">
        <v>133342.37886955903</v>
      </c>
      <c r="I39">
        <v>23118.831461747723</v>
      </c>
      <c r="J39">
        <v>63812.701771748973</v>
      </c>
      <c r="K39">
        <v>87983.117576302335</v>
      </c>
      <c r="L39">
        <v>308257.02967935806</v>
      </c>
    </row>
    <row r="40" spans="1:12" x14ac:dyDescent="0.25">
      <c r="A40" t="s">
        <v>350</v>
      </c>
      <c r="B40" t="s">
        <v>351</v>
      </c>
      <c r="C40">
        <v>1554434.371064496</v>
      </c>
      <c r="D40">
        <v>376428.97344775125</v>
      </c>
      <c r="E40">
        <v>997716.46550473373</v>
      </c>
      <c r="F40">
        <v>1375784.8201773637</v>
      </c>
      <c r="G40">
        <v>4304364.6301943446</v>
      </c>
      <c r="H40">
        <v>1717966.0038871581</v>
      </c>
      <c r="I40">
        <v>319964.62743058853</v>
      </c>
      <c r="J40">
        <v>1090991.3528718376</v>
      </c>
      <c r="K40">
        <v>1504227.494046459</v>
      </c>
      <c r="L40">
        <v>4633149.4782360429</v>
      </c>
    </row>
    <row r="41" spans="1:12" x14ac:dyDescent="0.25">
      <c r="A41" t="s">
        <v>274</v>
      </c>
      <c r="B41" t="s">
        <v>275</v>
      </c>
      <c r="C41">
        <v>44671.657758277353</v>
      </c>
      <c r="D41">
        <v>0</v>
      </c>
      <c r="E41">
        <v>20028.946955615585</v>
      </c>
      <c r="F41">
        <v>27618.589186792189</v>
      </c>
      <c r="G41">
        <v>92319.193900685132</v>
      </c>
      <c r="H41">
        <v>38712.303542775211</v>
      </c>
      <c r="I41">
        <v>0</v>
      </c>
      <c r="J41">
        <v>18526.268256314215</v>
      </c>
      <c r="K41">
        <v>25543.485747958741</v>
      </c>
      <c r="L41">
        <v>82782.057547048171</v>
      </c>
    </row>
    <row r="42" spans="1:12" x14ac:dyDescent="0.25">
      <c r="A42" t="s">
        <v>352</v>
      </c>
      <c r="B42" t="s">
        <v>353</v>
      </c>
      <c r="C42">
        <v>201979.51806971105</v>
      </c>
      <c r="D42">
        <v>0</v>
      </c>
      <c r="E42">
        <v>98181.11252752741</v>
      </c>
      <c r="F42">
        <v>135385.24111172635</v>
      </c>
      <c r="G42">
        <v>435545.87170896481</v>
      </c>
      <c r="H42">
        <v>184098.51018119772</v>
      </c>
      <c r="I42">
        <v>0</v>
      </c>
      <c r="J42">
        <v>88102.697930027643</v>
      </c>
      <c r="K42">
        <v>121473.46555695936</v>
      </c>
      <c r="L42">
        <v>393674.67366818478</v>
      </c>
    </row>
    <row r="43" spans="1:12" x14ac:dyDescent="0.25">
      <c r="A43" t="s">
        <v>354</v>
      </c>
      <c r="B43" t="s">
        <v>355</v>
      </c>
      <c r="C43">
        <v>16158.361445576884</v>
      </c>
      <c r="D43">
        <v>0</v>
      </c>
      <c r="E43">
        <v>7854.48900220219</v>
      </c>
      <c r="F43">
        <v>10830.819288938117</v>
      </c>
      <c r="G43">
        <v>34843.669736717187</v>
      </c>
      <c r="H43">
        <v>14624.648005048422</v>
      </c>
      <c r="I43">
        <v>0</v>
      </c>
      <c r="J43">
        <v>6998.8124523853721</v>
      </c>
      <c r="K43">
        <v>9649.7612825621909</v>
      </c>
      <c r="L43">
        <v>31273.221739995985</v>
      </c>
    </row>
    <row r="44" spans="1:12" x14ac:dyDescent="0.25">
      <c r="A44" t="s">
        <v>356</v>
      </c>
      <c r="B44" t="s">
        <v>1394</v>
      </c>
      <c r="C44">
        <v>34740.477107990286</v>
      </c>
      <c r="D44">
        <v>9098.7232177552505</v>
      </c>
      <c r="E44">
        <v>20053.315507744919</v>
      </c>
      <c r="F44">
        <v>27652.19180363612</v>
      </c>
      <c r="G44">
        <v>91544.707637126572</v>
      </c>
      <c r="H44">
        <v>36131.483306590191</v>
      </c>
      <c r="I44">
        <v>9521.3370568668306</v>
      </c>
      <c r="J44">
        <v>20397.730121339569</v>
      </c>
      <c r="K44">
        <v>28123.80353326504</v>
      </c>
      <c r="L44">
        <v>94174.354018061626</v>
      </c>
    </row>
    <row r="45" spans="1:12" x14ac:dyDescent="0.25">
      <c r="A45" t="s">
        <v>357</v>
      </c>
      <c r="B45" t="s">
        <v>1395</v>
      </c>
      <c r="C45">
        <v>103669.92292009569</v>
      </c>
      <c r="D45">
        <v>26556.665580142275</v>
      </c>
      <c r="E45">
        <v>49468.690440306797</v>
      </c>
      <c r="F45">
        <v>66997.765241088491</v>
      </c>
      <c r="G45">
        <v>246693.04418163325</v>
      </c>
      <c r="H45">
        <v>88119.434482081328</v>
      </c>
      <c r="I45">
        <v>22573.165743120931</v>
      </c>
      <c r="J45">
        <v>42048.386874260774</v>
      </c>
      <c r="K45">
        <v>57898.567695373153</v>
      </c>
      <c r="L45">
        <v>210639.55479483618</v>
      </c>
    </row>
    <row r="46" spans="1:12" x14ac:dyDescent="0.25">
      <c r="A46" t="s">
        <v>358</v>
      </c>
      <c r="B46" t="s">
        <v>359</v>
      </c>
      <c r="C46">
        <v>290850.50602038391</v>
      </c>
      <c r="D46">
        <v>76175.357171904412</v>
      </c>
      <c r="E46">
        <v>154902.46194671051</v>
      </c>
      <c r="F46">
        <v>213600.21922317881</v>
      </c>
      <c r="G46">
        <v>735528.54436217761</v>
      </c>
      <c r="H46">
        <v>277868.31209591986</v>
      </c>
      <c r="I46">
        <v>73223.61593733303</v>
      </c>
      <c r="J46">
        <v>139412.21575203945</v>
      </c>
      <c r="K46">
        <v>192240.19730086092</v>
      </c>
      <c r="L46">
        <v>682744.34108615329</v>
      </c>
    </row>
    <row r="47" spans="1:12" x14ac:dyDescent="0.25">
      <c r="A47" t="s">
        <v>360</v>
      </c>
      <c r="B47" t="s">
        <v>361</v>
      </c>
      <c r="C47">
        <v>118763.95662499008</v>
      </c>
      <c r="D47">
        <v>31104.937511860986</v>
      </c>
      <c r="E47">
        <v>67712.332242189761</v>
      </c>
      <c r="F47">
        <v>93370.814312945673</v>
      </c>
      <c r="G47">
        <v>310952.04069198651</v>
      </c>
      <c r="H47">
        <v>120438.27768863403</v>
      </c>
      <c r="I47">
        <v>31737.790189556104</v>
      </c>
      <c r="J47">
        <v>66420.953325327922</v>
      </c>
      <c r="K47">
        <v>91579.299789804951</v>
      </c>
      <c r="L47">
        <v>310176.320993323</v>
      </c>
    </row>
    <row r="48" spans="1:12" x14ac:dyDescent="0.25">
      <c r="A48" t="s">
        <v>115</v>
      </c>
      <c r="B48" t="s">
        <v>116</v>
      </c>
      <c r="C48">
        <v>38780.067469384521</v>
      </c>
      <c r="D48">
        <v>0</v>
      </c>
      <c r="E48">
        <v>18850.773605285271</v>
      </c>
      <c r="F48">
        <v>25993.966293451467</v>
      </c>
      <c r="G48">
        <v>83624.807368121255</v>
      </c>
      <c r="H48">
        <v>50756.131311638623</v>
      </c>
      <c r="I48">
        <v>0</v>
      </c>
      <c r="J48">
        <v>24289.996158278649</v>
      </c>
      <c r="K48">
        <v>33490.34798065701</v>
      </c>
      <c r="L48">
        <v>108536.47545057427</v>
      </c>
    </row>
    <row r="49" spans="1:12" x14ac:dyDescent="0.25">
      <c r="A49" t="s">
        <v>117</v>
      </c>
      <c r="B49" t="s">
        <v>118</v>
      </c>
      <c r="C49">
        <v>23429.624096086474</v>
      </c>
      <c r="D49">
        <v>0</v>
      </c>
      <c r="E49">
        <v>11389.009053193176</v>
      </c>
      <c r="F49">
        <v>15704.687968960261</v>
      </c>
      <c r="G49">
        <v>50523.32111823991</v>
      </c>
      <c r="H49">
        <v>43013.670603083585</v>
      </c>
      <c r="I49">
        <v>11334.925067698612</v>
      </c>
      <c r="J49">
        <v>20869.73826702543</v>
      </c>
      <c r="K49">
        <v>28774.594786821366</v>
      </c>
      <c r="L49">
        <v>103992.92872462899</v>
      </c>
    </row>
    <row r="50" spans="1:12" x14ac:dyDescent="0.25">
      <c r="A50" t="s">
        <v>362</v>
      </c>
      <c r="B50" t="s">
        <v>363</v>
      </c>
      <c r="C50">
        <v>30718.156983781875</v>
      </c>
      <c r="D50">
        <v>7986.9670917721114</v>
      </c>
      <c r="E50">
        <v>15786.757398250948</v>
      </c>
      <c r="F50">
        <v>21380.745208169981</v>
      </c>
      <c r="G50">
        <v>75872.626681974914</v>
      </c>
      <c r="H50">
        <v>34410.936482466866</v>
      </c>
      <c r="I50">
        <v>9067.9400541588893</v>
      </c>
      <c r="J50">
        <v>16936.323329814823</v>
      </c>
      <c r="K50">
        <v>23351.315419418086</v>
      </c>
      <c r="L50">
        <v>83766.515285858666</v>
      </c>
    </row>
    <row r="51" spans="1:12" x14ac:dyDescent="0.25">
      <c r="A51" t="s">
        <v>364</v>
      </c>
      <c r="B51" t="s">
        <v>365</v>
      </c>
      <c r="C51">
        <v>99373.922890297821</v>
      </c>
      <c r="D51">
        <v>0</v>
      </c>
      <c r="E51">
        <v>48305.10736354348</v>
      </c>
      <c r="F51">
        <v>66609.538626969414</v>
      </c>
      <c r="G51">
        <v>214288.56888081072</v>
      </c>
      <c r="H51">
        <v>84467.834456753146</v>
      </c>
      <c r="I51">
        <v>0</v>
      </c>
      <c r="J51">
        <v>41059.341259011955</v>
      </c>
      <c r="K51">
        <v>56618.107832923997</v>
      </c>
      <c r="L51">
        <v>182145.2835486891</v>
      </c>
    </row>
    <row r="52" spans="1:12" x14ac:dyDescent="0.25">
      <c r="A52" t="s">
        <v>366</v>
      </c>
      <c r="B52" t="s">
        <v>367</v>
      </c>
      <c r="C52">
        <v>48787.661091888862</v>
      </c>
      <c r="D52">
        <v>12685.183028108648</v>
      </c>
      <c r="E52">
        <v>23043.358272422163</v>
      </c>
      <c r="F52">
        <v>31208.699768694743</v>
      </c>
      <c r="G52">
        <v>115724.90216111441</v>
      </c>
      <c r="H52">
        <v>61079.412256378688</v>
      </c>
      <c r="I52">
        <v>16095.593596132023</v>
      </c>
      <c r="J52">
        <v>34556.327712515151</v>
      </c>
      <c r="K52">
        <v>47645.270607888349</v>
      </c>
      <c r="L52">
        <v>159376.60417291423</v>
      </c>
    </row>
    <row r="53" spans="1:12" x14ac:dyDescent="0.25">
      <c r="A53" t="s">
        <v>368</v>
      </c>
      <c r="B53" t="s">
        <v>369</v>
      </c>
      <c r="C53">
        <v>15350.443373298032</v>
      </c>
      <c r="D53">
        <v>4020.3660729616226</v>
      </c>
      <c r="E53">
        <v>8010.204246670849</v>
      </c>
      <c r="F53">
        <v>11045.540281341309</v>
      </c>
      <c r="G53">
        <v>38426.55397427181</v>
      </c>
      <c r="H53">
        <v>13047.876867303326</v>
      </c>
      <c r="I53">
        <v>3417.311162017379</v>
      </c>
      <c r="J53">
        <v>6808.6736096702216</v>
      </c>
      <c r="K53">
        <v>9388.7092391401129</v>
      </c>
      <c r="L53">
        <v>32662.570878131042</v>
      </c>
    </row>
    <row r="54" spans="1:12" x14ac:dyDescent="0.25">
      <c r="A54" t="s">
        <v>370</v>
      </c>
      <c r="B54" t="s">
        <v>371</v>
      </c>
      <c r="C54">
        <v>46651.465314043082</v>
      </c>
      <c r="D54">
        <v>11848.543974068243</v>
      </c>
      <c r="E54">
        <v>35223.643058884409</v>
      </c>
      <c r="F54">
        <v>46413.91898503332</v>
      </c>
      <c r="G54">
        <v>140137.57133202907</v>
      </c>
      <c r="H54">
        <v>41986.318782638773</v>
      </c>
      <c r="I54">
        <v>10663.68957666142</v>
      </c>
      <c r="J54">
        <v>31701.278752995968</v>
      </c>
      <c r="K54">
        <v>41772.52708652999</v>
      </c>
      <c r="L54">
        <v>126123.81419882615</v>
      </c>
    </row>
    <row r="55" spans="1:12" x14ac:dyDescent="0.25">
      <c r="A55" t="s">
        <v>372</v>
      </c>
      <c r="B55" t="s">
        <v>373</v>
      </c>
      <c r="C55">
        <v>81640.064299575373</v>
      </c>
      <c r="D55">
        <v>20734.951954619424</v>
      </c>
      <c r="E55">
        <v>62829.728600974879</v>
      </c>
      <c r="F55">
        <v>82790.242004843909</v>
      </c>
      <c r="G55">
        <v>247994.98686001357</v>
      </c>
      <c r="H55">
        <v>73476.057869617842</v>
      </c>
      <c r="I55">
        <v>18661.456759157481</v>
      </c>
      <c r="J55">
        <v>56546.755740877394</v>
      </c>
      <c r="K55">
        <v>74511.21780435952</v>
      </c>
      <c r="L55">
        <v>223195.48817401222</v>
      </c>
    </row>
    <row r="56" spans="1:12" x14ac:dyDescent="0.25">
      <c r="A56" t="s">
        <v>119</v>
      </c>
      <c r="B56" t="s">
        <v>120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</row>
    <row r="57" spans="1:12" x14ac:dyDescent="0.25">
      <c r="A57" t="s">
        <v>276</v>
      </c>
      <c r="B57" t="s">
        <v>277</v>
      </c>
      <c r="C57">
        <v>67057.199999144053</v>
      </c>
      <c r="D57">
        <v>17562.651792411303</v>
      </c>
      <c r="E57">
        <v>33639.401860856597</v>
      </c>
      <c r="F57">
        <v>46386.503621146352</v>
      </c>
      <c r="G57">
        <v>164645.75727355829</v>
      </c>
      <c r="H57">
        <v>56998.619999272443</v>
      </c>
      <c r="I57">
        <v>14928.254023549607</v>
      </c>
      <c r="J57">
        <v>28593.491581728107</v>
      </c>
      <c r="K57">
        <v>39428.528077974399</v>
      </c>
      <c r="L57">
        <v>139948.89368252456</v>
      </c>
    </row>
    <row r="58" spans="1:12" x14ac:dyDescent="0.25">
      <c r="A58" t="s">
        <v>374</v>
      </c>
      <c r="B58" t="s">
        <v>375</v>
      </c>
      <c r="C58">
        <v>72955.622836481969</v>
      </c>
      <c r="D58">
        <v>18969.046842958767</v>
      </c>
      <c r="E58">
        <v>33476.080885293435</v>
      </c>
      <c r="F58">
        <v>45338.224812135733</v>
      </c>
      <c r="G58">
        <v>170738.9753768699</v>
      </c>
      <c r="H58">
        <v>69682.146376995384</v>
      </c>
      <c r="I58">
        <v>16123.689816514952</v>
      </c>
      <c r="J58">
        <v>33347.282861365587</v>
      </c>
      <c r="K58">
        <v>45978.274346325743</v>
      </c>
      <c r="L58">
        <v>165131.39340120167</v>
      </c>
    </row>
    <row r="59" spans="1:12" x14ac:dyDescent="0.25">
      <c r="A59" t="s">
        <v>376</v>
      </c>
      <c r="B59" t="s">
        <v>377</v>
      </c>
      <c r="C59">
        <v>81599.725300163249</v>
      </c>
      <c r="D59">
        <v>21371.419651006519</v>
      </c>
      <c r="E59">
        <v>45321.874259394557</v>
      </c>
      <c r="F59">
        <v>62495.858075789583</v>
      </c>
      <c r="G59">
        <v>210788.87728635391</v>
      </c>
      <c r="H59">
        <v>73439.752770146923</v>
      </c>
      <c r="I59">
        <v>19234.277685905869</v>
      </c>
      <c r="J59">
        <v>40789.686833455104</v>
      </c>
      <c r="K59">
        <v>56246.272268210625</v>
      </c>
      <c r="L59">
        <v>189709.98955771851</v>
      </c>
    </row>
    <row r="60" spans="1:12" x14ac:dyDescent="0.25">
      <c r="A60" t="s">
        <v>378</v>
      </c>
      <c r="B60" t="s">
        <v>379</v>
      </c>
      <c r="C60">
        <v>289234.66987582622</v>
      </c>
      <c r="D60">
        <v>0</v>
      </c>
      <c r="E60">
        <v>140595.35313941923</v>
      </c>
      <c r="F60">
        <v>193871.66527199221</v>
      </c>
      <c r="G60">
        <v>623701.68828723766</v>
      </c>
      <c r="H60">
        <v>293353.23351302993</v>
      </c>
      <c r="I60">
        <v>0</v>
      </c>
      <c r="J60">
        <v>140387.94389784773</v>
      </c>
      <c r="K60">
        <v>193562.8586678651</v>
      </c>
      <c r="L60">
        <v>627304.03607874271</v>
      </c>
    </row>
    <row r="61" spans="1:12" x14ac:dyDescent="0.25">
      <c r="A61" t="s">
        <v>278</v>
      </c>
      <c r="B61" t="s">
        <v>279</v>
      </c>
      <c r="C61">
        <v>84023.479516999752</v>
      </c>
      <c r="D61">
        <v>0</v>
      </c>
      <c r="E61">
        <v>0</v>
      </c>
      <c r="F61">
        <v>0</v>
      </c>
      <c r="G61">
        <v>84023.479516999752</v>
      </c>
      <c r="H61">
        <v>79145.153909673783</v>
      </c>
      <c r="I61">
        <v>0</v>
      </c>
      <c r="J61">
        <v>0</v>
      </c>
      <c r="K61">
        <v>0</v>
      </c>
      <c r="L61">
        <v>79145.153909673783</v>
      </c>
    </row>
    <row r="62" spans="1:12" x14ac:dyDescent="0.25">
      <c r="A62" t="s">
        <v>380</v>
      </c>
      <c r="B62" t="s">
        <v>381</v>
      </c>
      <c r="C62">
        <v>8079.1807227884419</v>
      </c>
      <c r="D62">
        <v>1709.6278728015129</v>
      </c>
      <c r="E62">
        <v>3927.244501101095</v>
      </c>
      <c r="F62">
        <v>5415.4096444690585</v>
      </c>
      <c r="G62">
        <v>19131.46274116011</v>
      </c>
      <c r="H62">
        <v>0</v>
      </c>
      <c r="I62">
        <v>1453.183691881286</v>
      </c>
      <c r="J62">
        <v>0</v>
      </c>
      <c r="K62">
        <v>0</v>
      </c>
      <c r="L62">
        <v>1453.183691881286</v>
      </c>
    </row>
    <row r="63" spans="1:12" x14ac:dyDescent="0.25">
      <c r="A63" t="s">
        <v>382</v>
      </c>
      <c r="B63" t="s">
        <v>383</v>
      </c>
      <c r="C63">
        <v>604966.99753942213</v>
      </c>
      <c r="D63">
        <v>157640.66970296888</v>
      </c>
      <c r="E63">
        <v>303183.27548500465</v>
      </c>
      <c r="F63">
        <v>418069.62455301121</v>
      </c>
      <c r="G63">
        <v>1483860.5672804071</v>
      </c>
      <c r="H63">
        <v>710585.83836294094</v>
      </c>
      <c r="I63">
        <v>187252.96211838108</v>
      </c>
      <c r="J63">
        <v>370014.3900630328</v>
      </c>
      <c r="K63">
        <v>510165.19724059536</v>
      </c>
      <c r="L63">
        <v>1778018.38778495</v>
      </c>
    </row>
    <row r="64" spans="1:12" x14ac:dyDescent="0.25">
      <c r="A64" t="s">
        <v>384</v>
      </c>
      <c r="B64" t="s">
        <v>385</v>
      </c>
      <c r="C64">
        <v>369218.55903143174</v>
      </c>
      <c r="D64">
        <v>0</v>
      </c>
      <c r="E64">
        <v>179475.07370032009</v>
      </c>
      <c r="F64">
        <v>247484.22075223591</v>
      </c>
      <c r="G64">
        <v>796177.85348398774</v>
      </c>
      <c r="H64">
        <v>358734.01282971707</v>
      </c>
      <c r="I64">
        <v>0</v>
      </c>
      <c r="J64">
        <v>171676.75250851182</v>
      </c>
      <c r="K64">
        <v>236702.96793108431</v>
      </c>
      <c r="L64">
        <v>767113.73326931323</v>
      </c>
    </row>
    <row r="65" spans="1:12" x14ac:dyDescent="0.25">
      <c r="A65" t="s">
        <v>386</v>
      </c>
      <c r="B65" t="s">
        <v>387</v>
      </c>
      <c r="C65">
        <v>550192.20722189278</v>
      </c>
      <c r="D65">
        <v>0</v>
      </c>
      <c r="E65">
        <v>267445.35052498465</v>
      </c>
      <c r="F65">
        <v>368789.3967883428</v>
      </c>
      <c r="G65">
        <v>1186426.9545352203</v>
      </c>
      <c r="H65">
        <v>524766.78135761968</v>
      </c>
      <c r="I65">
        <v>0</v>
      </c>
      <c r="J65">
        <v>251133.85858559282</v>
      </c>
      <c r="K65">
        <v>346256.14013899642</v>
      </c>
      <c r="L65">
        <v>1122156.780082209</v>
      </c>
    </row>
    <row r="66" spans="1:12" x14ac:dyDescent="0.25">
      <c r="A66" t="s">
        <v>121</v>
      </c>
      <c r="B66" t="s">
        <v>122</v>
      </c>
      <c r="C66">
        <v>9695.0168673461303</v>
      </c>
      <c r="D66">
        <v>0</v>
      </c>
      <c r="E66">
        <v>4712.6934013213167</v>
      </c>
      <c r="F66">
        <v>6498.4915733628668</v>
      </c>
      <c r="G66">
        <v>20906.201842030314</v>
      </c>
      <c r="H66">
        <v>0</v>
      </c>
      <c r="I66">
        <v>0</v>
      </c>
      <c r="J66">
        <v>0</v>
      </c>
      <c r="K66">
        <v>0</v>
      </c>
      <c r="L66">
        <v>0</v>
      </c>
    </row>
    <row r="67" spans="1:12" x14ac:dyDescent="0.25">
      <c r="A67" t="s">
        <v>123</v>
      </c>
      <c r="B67" t="s">
        <v>124</v>
      </c>
      <c r="C67">
        <v>175318.22168450913</v>
      </c>
      <c r="D67">
        <v>0</v>
      </c>
      <c r="E67">
        <v>85221.205673893797</v>
      </c>
      <c r="F67">
        <v>117514.38928497852</v>
      </c>
      <c r="G67">
        <v>378053.81664338143</v>
      </c>
      <c r="H67">
        <v>160871.12805553249</v>
      </c>
      <c r="I67">
        <v>0</v>
      </c>
      <c r="J67">
        <v>76986.936976239085</v>
      </c>
      <c r="K67">
        <v>106147.37410818409</v>
      </c>
      <c r="L67">
        <v>344005.43913995568</v>
      </c>
    </row>
    <row r="68" spans="1:12" x14ac:dyDescent="0.25">
      <c r="A68" t="s">
        <v>125</v>
      </c>
      <c r="B68" t="s">
        <v>126</v>
      </c>
      <c r="C68">
        <v>1562513.551787284</v>
      </c>
      <c r="D68">
        <v>0</v>
      </c>
      <c r="E68">
        <v>1003607.3322563852</v>
      </c>
      <c r="F68">
        <v>1383907.9346440674</v>
      </c>
      <c r="G68">
        <v>3950028.818687737</v>
      </c>
      <c r="H68">
        <v>1816037.172862188</v>
      </c>
      <c r="I68">
        <v>0</v>
      </c>
      <c r="J68">
        <v>1161391.1722458312</v>
      </c>
      <c r="K68">
        <v>1601292.7398887023</v>
      </c>
      <c r="L68">
        <v>4578721.0849967217</v>
      </c>
    </row>
    <row r="69" spans="1:12" x14ac:dyDescent="0.25">
      <c r="A69" t="s">
        <v>388</v>
      </c>
      <c r="B69" t="s">
        <v>389</v>
      </c>
      <c r="C69">
        <v>366794.80481459515</v>
      </c>
      <c r="D69">
        <v>0</v>
      </c>
      <c r="E69">
        <v>178296.90034998982</v>
      </c>
      <c r="F69">
        <v>245859.59785889517</v>
      </c>
      <c r="G69">
        <v>790951.30302348023</v>
      </c>
      <c r="H69">
        <v>342388.81800054532</v>
      </c>
      <c r="I69">
        <v>0</v>
      </c>
      <c r="J69">
        <v>163854.55035584583</v>
      </c>
      <c r="K69">
        <v>225917.94061527954</v>
      </c>
      <c r="L69">
        <v>732161.30897167069</v>
      </c>
    </row>
    <row r="70" spans="1:12" x14ac:dyDescent="0.25">
      <c r="A70" t="s">
        <v>390</v>
      </c>
      <c r="B70" t="s">
        <v>391</v>
      </c>
      <c r="C70">
        <v>235912.07710542248</v>
      </c>
      <c r="D70">
        <v>61786.678594989178</v>
      </c>
      <c r="E70">
        <v>126845.42214572165</v>
      </c>
      <c r="F70">
        <v>174911.42256411476</v>
      </c>
      <c r="G70">
        <v>599455.60041024804</v>
      </c>
      <c r="H70">
        <v>286471.04621653655</v>
      </c>
      <c r="I70">
        <v>75490.600950872729</v>
      </c>
      <c r="J70">
        <v>163521.98325590248</v>
      </c>
      <c r="K70">
        <v>225459.40666445286</v>
      </c>
      <c r="L70">
        <v>750943.03708776471</v>
      </c>
    </row>
    <row r="71" spans="1:12" x14ac:dyDescent="0.25">
      <c r="A71" t="s">
        <v>392</v>
      </c>
      <c r="B71" t="s">
        <v>393</v>
      </c>
      <c r="C71">
        <v>17888.809067025919</v>
      </c>
      <c r="D71">
        <v>4651.2337769731721</v>
      </c>
      <c r="E71">
        <v>12073.761038501698</v>
      </c>
      <c r="F71">
        <v>16352.060271549828</v>
      </c>
      <c r="G71">
        <v>50965.864154050621</v>
      </c>
      <c r="H71">
        <v>16099.928160323327</v>
      </c>
      <c r="I71">
        <v>4186.1103992758553</v>
      </c>
      <c r="J71">
        <v>10866.384934651529</v>
      </c>
      <c r="K71">
        <v>14716.854244394846</v>
      </c>
      <c r="L71">
        <v>45869.277738645556</v>
      </c>
    </row>
    <row r="72" spans="1:12" x14ac:dyDescent="0.25">
      <c r="A72" t="s">
        <v>394</v>
      </c>
      <c r="B72" t="s">
        <v>395</v>
      </c>
      <c r="C72">
        <v>54130.510842682546</v>
      </c>
      <c r="D72">
        <v>14177.080362548884</v>
      </c>
      <c r="E72">
        <v>26956.763345337975</v>
      </c>
      <c r="F72">
        <v>37171.58841602139</v>
      </c>
      <c r="G72">
        <v>132435.94296659081</v>
      </c>
      <c r="H72">
        <v>61939.685668440361</v>
      </c>
      <c r="I72">
        <v>16322.292097486003</v>
      </c>
      <c r="J72">
        <v>32342.294562688079</v>
      </c>
      <c r="K72">
        <v>44592.625389451459</v>
      </c>
      <c r="L72">
        <v>155196.89771806591</v>
      </c>
    </row>
    <row r="73" spans="1:12" x14ac:dyDescent="0.25">
      <c r="A73" t="s">
        <v>127</v>
      </c>
      <c r="B73" t="s">
        <v>128</v>
      </c>
      <c r="C73">
        <v>286002.99758671084</v>
      </c>
      <c r="D73">
        <v>0</v>
      </c>
      <c r="E73">
        <v>139024.45533897885</v>
      </c>
      <c r="F73">
        <v>191705.50141420457</v>
      </c>
      <c r="G73">
        <v>616732.95433989423</v>
      </c>
      <c r="H73">
        <v>255501.20338231648</v>
      </c>
      <c r="I73">
        <v>0</v>
      </c>
      <c r="J73">
        <v>122273.37049167385</v>
      </c>
      <c r="K73">
        <v>168587.00593652768</v>
      </c>
      <c r="L73">
        <v>546361.57981051807</v>
      </c>
    </row>
    <row r="74" spans="1:12" x14ac:dyDescent="0.25">
      <c r="A74" t="s">
        <v>396</v>
      </c>
      <c r="B74" t="s">
        <v>397</v>
      </c>
      <c r="C74">
        <v>283579.24336987437</v>
      </c>
      <c r="D74">
        <v>0</v>
      </c>
      <c r="E74">
        <v>137846.28198864846</v>
      </c>
      <c r="F74">
        <v>190080.87852086389</v>
      </c>
      <c r="G74">
        <v>611506.40387938672</v>
      </c>
      <c r="H74">
        <v>406049.05049310898</v>
      </c>
      <c r="I74">
        <v>107001.69263907487</v>
      </c>
      <c r="J74">
        <v>200310.43810690843</v>
      </c>
      <c r="K74">
        <v>276182.26996185863</v>
      </c>
      <c r="L74">
        <v>989543.45120095089</v>
      </c>
    </row>
    <row r="75" spans="1:12" x14ac:dyDescent="0.25">
      <c r="A75" t="s">
        <v>398</v>
      </c>
      <c r="B75" t="s">
        <v>399</v>
      </c>
      <c r="C75">
        <v>30453.039857778123</v>
      </c>
      <c r="D75">
        <v>7734.4662052945459</v>
      </c>
      <c r="E75">
        <v>20480.929348579735</v>
      </c>
      <c r="F75">
        <v>26987.560427353434</v>
      </c>
      <c r="G75">
        <v>85655.995839005831</v>
      </c>
      <c r="H75">
        <v>27407.73587200031</v>
      </c>
      <c r="I75">
        <v>6961.0195847650912</v>
      </c>
      <c r="J75">
        <v>18432.836413721761</v>
      </c>
      <c r="K75">
        <v>24288.804384618092</v>
      </c>
      <c r="L75">
        <v>77090.396255105254</v>
      </c>
    </row>
    <row r="76" spans="1:12" x14ac:dyDescent="0.25">
      <c r="A76" t="s">
        <v>129</v>
      </c>
      <c r="B76" t="s">
        <v>130</v>
      </c>
      <c r="C76">
        <v>1560089.7975704484</v>
      </c>
      <c r="D76">
        <v>0</v>
      </c>
      <c r="E76">
        <v>1001840.0722308895</v>
      </c>
      <c r="F76">
        <v>1381471.0003040559</v>
      </c>
      <c r="G76">
        <v>3943400.8701053937</v>
      </c>
      <c r="H76">
        <v>2022502.7917569897</v>
      </c>
      <c r="I76">
        <v>0</v>
      </c>
      <c r="J76">
        <v>1327921.7391275894</v>
      </c>
      <c r="K76">
        <v>1830900.2951120206</v>
      </c>
      <c r="L76">
        <v>5181324.8259965992</v>
      </c>
    </row>
    <row r="77" spans="1:12" x14ac:dyDescent="0.25">
      <c r="A77" t="s">
        <v>280</v>
      </c>
      <c r="B77" t="s">
        <v>281</v>
      </c>
      <c r="C77">
        <v>2445568.0047880611</v>
      </c>
      <c r="D77">
        <v>0</v>
      </c>
      <c r="E77">
        <v>1797696.1703790266</v>
      </c>
      <c r="F77">
        <v>2478903.7647557105</v>
      </c>
      <c r="G77">
        <v>6722167.9399227984</v>
      </c>
      <c r="H77">
        <v>2285746.4558478608</v>
      </c>
      <c r="I77">
        <v>0</v>
      </c>
      <c r="J77">
        <v>1579878.9874134629</v>
      </c>
      <c r="K77">
        <v>2178291.7012842586</v>
      </c>
      <c r="L77">
        <v>6043917.1445455821</v>
      </c>
    </row>
    <row r="78" spans="1:12" x14ac:dyDescent="0.25">
      <c r="A78" t="s">
        <v>400</v>
      </c>
      <c r="B78" t="s">
        <v>401</v>
      </c>
      <c r="C78">
        <v>15449.426012431477</v>
      </c>
      <c r="D78">
        <v>4016.9746255677373</v>
      </c>
      <c r="E78">
        <v>11583.064022103834</v>
      </c>
      <c r="F78">
        <v>15972.27689801759</v>
      </c>
      <c r="G78">
        <v>47021.741558120637</v>
      </c>
      <c r="H78">
        <v>13904.48341118833</v>
      </c>
      <c r="I78">
        <v>3615.2771630109637</v>
      </c>
      <c r="J78">
        <v>10424.757619893451</v>
      </c>
      <c r="K78">
        <v>14375.049208215831</v>
      </c>
      <c r="L78">
        <v>42319.567402308574</v>
      </c>
    </row>
    <row r="79" spans="1:12" x14ac:dyDescent="0.25">
      <c r="A79" t="s">
        <v>402</v>
      </c>
      <c r="B79" t="s">
        <v>403</v>
      </c>
      <c r="C79">
        <v>3300345.3252590783</v>
      </c>
      <c r="D79">
        <v>864378.70568674908</v>
      </c>
      <c r="E79">
        <v>2628701.1068120194</v>
      </c>
      <c r="F79">
        <v>3624804.4455253631</v>
      </c>
      <c r="G79">
        <v>10418229.58328321</v>
      </c>
      <c r="H79">
        <v>3669066.1024430296</v>
      </c>
      <c r="I79">
        <v>966869.10827469162</v>
      </c>
      <c r="J79">
        <v>2903889.6254647193</v>
      </c>
      <c r="K79">
        <v>4003799.4827383771</v>
      </c>
      <c r="L79">
        <v>11543624.318920817</v>
      </c>
    </row>
    <row r="80" spans="1:12" x14ac:dyDescent="0.25">
      <c r="A80" t="s">
        <v>131</v>
      </c>
      <c r="B80" t="s">
        <v>132</v>
      </c>
      <c r="C80">
        <v>832963.53251948825</v>
      </c>
      <c r="D80">
        <v>218157.75901175966</v>
      </c>
      <c r="E80">
        <v>471662.06458224164</v>
      </c>
      <c r="F80">
        <v>650390.6983007337</v>
      </c>
      <c r="G80">
        <v>2173174.0544142234</v>
      </c>
      <c r="H80">
        <v>708019.00264156493</v>
      </c>
      <c r="I80">
        <v>185434.09515999569</v>
      </c>
      <c r="J80">
        <v>400912.75489490537</v>
      </c>
      <c r="K80">
        <v>552832.09355562367</v>
      </c>
      <c r="L80">
        <v>1847197.9462520897</v>
      </c>
    </row>
    <row r="81" spans="1:12" x14ac:dyDescent="0.25">
      <c r="A81" t="s">
        <v>133</v>
      </c>
      <c r="B81" t="s">
        <v>134</v>
      </c>
      <c r="C81">
        <v>329630.57348976831</v>
      </c>
      <c r="D81">
        <v>0</v>
      </c>
      <c r="E81">
        <v>160231.57564492468</v>
      </c>
      <c r="F81">
        <v>220948.71349433751</v>
      </c>
      <c r="G81">
        <v>710810.86262903048</v>
      </c>
      <c r="H81">
        <v>310558.70175426325</v>
      </c>
      <c r="I81">
        <v>0</v>
      </c>
      <c r="J81">
        <v>148621.84090065409</v>
      </c>
      <c r="K81">
        <v>204915.51900029121</v>
      </c>
      <c r="L81">
        <v>664096.06165520858</v>
      </c>
    </row>
    <row r="82" spans="1:12" x14ac:dyDescent="0.25">
      <c r="A82" t="s">
        <v>404</v>
      </c>
      <c r="B82" t="s">
        <v>405</v>
      </c>
      <c r="C82">
        <v>145137.89208813399</v>
      </c>
      <c r="D82">
        <v>36862.136808212315</v>
      </c>
      <c r="E82">
        <v>65132.304647352226</v>
      </c>
      <c r="F82">
        <v>85824.328453391456</v>
      </c>
      <c r="G82">
        <v>332956.66199708998</v>
      </c>
      <c r="H82">
        <v>123367.20827491388</v>
      </c>
      <c r="I82">
        <v>31332.816286980466</v>
      </c>
      <c r="J82">
        <v>55362.458950249391</v>
      </c>
      <c r="K82">
        <v>72950.679185382731</v>
      </c>
      <c r="L82">
        <v>283013.16269752651</v>
      </c>
    </row>
    <row r="83" spans="1:12" x14ac:dyDescent="0.25">
      <c r="A83" t="s">
        <v>406</v>
      </c>
      <c r="B83" t="s">
        <v>407</v>
      </c>
      <c r="C83">
        <v>1033327.2144446415</v>
      </c>
      <c r="D83">
        <v>245564.73082058088</v>
      </c>
      <c r="E83">
        <v>617755.56002320233</v>
      </c>
      <c r="F83">
        <v>851843.93707498256</v>
      </c>
      <c r="G83">
        <v>2748491.4423634075</v>
      </c>
      <c r="H83">
        <v>1076202.0384891508</v>
      </c>
      <c r="I83">
        <v>208730.02119749374</v>
      </c>
      <c r="J83">
        <v>630304.8155648238</v>
      </c>
      <c r="K83">
        <v>869046.14844721847</v>
      </c>
      <c r="L83">
        <v>2784283.0236986866</v>
      </c>
    </row>
    <row r="84" spans="1:12" x14ac:dyDescent="0.25">
      <c r="A84" t="s">
        <v>135</v>
      </c>
      <c r="B84" t="s">
        <v>136</v>
      </c>
      <c r="C84">
        <v>46859.248192172949</v>
      </c>
      <c r="D84">
        <v>0</v>
      </c>
      <c r="E84">
        <v>22778.018106386353</v>
      </c>
      <c r="F84">
        <v>31409.375937920522</v>
      </c>
      <c r="G84">
        <v>101046.64223647982</v>
      </c>
      <c r="H84">
        <v>43013.670603083585</v>
      </c>
      <c r="I84">
        <v>0</v>
      </c>
      <c r="J84">
        <v>20584.742507015802</v>
      </c>
      <c r="K84">
        <v>28381.650831065272</v>
      </c>
      <c r="L84">
        <v>91980.063941164655</v>
      </c>
    </row>
    <row r="85" spans="1:12" x14ac:dyDescent="0.25">
      <c r="A85" t="s">
        <v>408</v>
      </c>
      <c r="B85" t="s">
        <v>409</v>
      </c>
      <c r="C85">
        <v>22639.6816965209</v>
      </c>
      <c r="D85">
        <v>5750.0286932978206</v>
      </c>
      <c r="E85">
        <v>12251.792705123034</v>
      </c>
      <c r="F85">
        <v>16144.091429905984</v>
      </c>
      <c r="G85">
        <v>56785.594524847736</v>
      </c>
      <c r="H85">
        <v>30109.569422158507</v>
      </c>
      <c r="I85">
        <v>7934.4475473890261</v>
      </c>
      <c r="J85">
        <v>21243.567483324106</v>
      </c>
      <c r="K85">
        <v>29290.019756738937</v>
      </c>
      <c r="L85">
        <v>88577.604209610581</v>
      </c>
    </row>
    <row r="86" spans="1:12" x14ac:dyDescent="0.25">
      <c r="A86" t="s">
        <v>137</v>
      </c>
      <c r="B86" t="s">
        <v>138</v>
      </c>
      <c r="C86">
        <v>12926.689156461511</v>
      </c>
      <c r="D86">
        <v>3385.5714298624193</v>
      </c>
      <c r="E86">
        <v>8826.1482004421196</v>
      </c>
      <c r="F86">
        <v>12170.672866124427</v>
      </c>
      <c r="G86">
        <v>37309.081652890476</v>
      </c>
      <c r="H86">
        <v>11634.02024081536</v>
      </c>
      <c r="I86">
        <v>3047.0142868761773</v>
      </c>
      <c r="J86">
        <v>7943.5333803979074</v>
      </c>
      <c r="K86">
        <v>10953.605579511985</v>
      </c>
      <c r="L86">
        <v>33578.173487601431</v>
      </c>
    </row>
    <row r="87" spans="1:12" x14ac:dyDescent="0.25">
      <c r="A87" t="s">
        <v>410</v>
      </c>
      <c r="B87" t="s">
        <v>411</v>
      </c>
      <c r="C87">
        <v>201979.51806971105</v>
      </c>
      <c r="D87">
        <v>52899.553591600299</v>
      </c>
      <c r="E87">
        <v>125891.36682095788</v>
      </c>
      <c r="F87">
        <v>173595.84356065973</v>
      </c>
      <c r="G87">
        <v>554366.28204292897</v>
      </c>
      <c r="H87">
        <v>193561.51771387612</v>
      </c>
      <c r="I87">
        <v>51007.162804643733</v>
      </c>
      <c r="J87">
        <v>113302.23013886208</v>
      </c>
      <c r="K87">
        <v>156236.25920459378</v>
      </c>
      <c r="L87">
        <v>514107.16986197571</v>
      </c>
    </row>
    <row r="88" spans="1:12" x14ac:dyDescent="0.25">
      <c r="A88" t="s">
        <v>412</v>
      </c>
      <c r="B88" t="s">
        <v>413</v>
      </c>
      <c r="C88">
        <v>80635.162082427429</v>
      </c>
      <c r="D88">
        <v>20965.788615901802</v>
      </c>
      <c r="E88">
        <v>37830.634999886905</v>
      </c>
      <c r="F88">
        <v>51235.801475322201</v>
      </c>
      <c r="G88">
        <v>190667.38717353833</v>
      </c>
      <c r="H88">
        <v>91188.98167853721</v>
      </c>
      <c r="I88">
        <v>24030.041143521063</v>
      </c>
      <c r="J88">
        <v>43705.051841818298</v>
      </c>
      <c r="K88">
        <v>60259.268266548665</v>
      </c>
      <c r="L88">
        <v>219183.34293042522</v>
      </c>
    </row>
    <row r="89" spans="1:12" x14ac:dyDescent="0.25">
      <c r="A89" t="s">
        <v>414</v>
      </c>
      <c r="B89" t="s">
        <v>415</v>
      </c>
      <c r="C89">
        <v>520026.62805948005</v>
      </c>
      <c r="D89">
        <v>133518.47326519914</v>
      </c>
      <c r="E89">
        <v>259605.76541566412</v>
      </c>
      <c r="F89">
        <v>357979.12897900533</v>
      </c>
      <c r="G89">
        <v>1271129.9957193488</v>
      </c>
      <c r="H89">
        <v>568640.72537276486</v>
      </c>
      <c r="I89">
        <v>149847.70939497565</v>
      </c>
      <c r="J89">
        <v>296694.39853225095</v>
      </c>
      <c r="K89">
        <v>409073.70202980633</v>
      </c>
      <c r="L89">
        <v>1424256.5353297978</v>
      </c>
    </row>
    <row r="90" spans="1:12" x14ac:dyDescent="0.25">
      <c r="A90" t="s">
        <v>416</v>
      </c>
      <c r="B90" t="s">
        <v>417</v>
      </c>
      <c r="C90">
        <v>327932.35911930294</v>
      </c>
      <c r="D90">
        <v>83288.294405950277</v>
      </c>
      <c r="E90">
        <v>199462.00315525001</v>
      </c>
      <c r="F90">
        <v>262829.52162454283</v>
      </c>
      <c r="G90">
        <v>873512.17830504617</v>
      </c>
      <c r="H90">
        <v>320021.7092869418</v>
      </c>
      <c r="I90">
        <v>84331.842503677675</v>
      </c>
      <c r="J90">
        <v>198187.74975195611</v>
      </c>
      <c r="K90">
        <v>273255.56831898453</v>
      </c>
      <c r="L90">
        <v>875796.86986156018</v>
      </c>
    </row>
    <row r="91" spans="1:12" x14ac:dyDescent="0.25">
      <c r="A91" t="s">
        <v>139</v>
      </c>
      <c r="B91" t="s">
        <v>140</v>
      </c>
      <c r="C91">
        <v>173702.38553995147</v>
      </c>
      <c r="D91">
        <v>0</v>
      </c>
      <c r="E91">
        <v>84435.756773673551</v>
      </c>
      <c r="F91">
        <v>116431.30735608473</v>
      </c>
      <c r="G91">
        <v>374569.44966970978</v>
      </c>
      <c r="H91">
        <v>189260.15065356772</v>
      </c>
      <c r="I91">
        <v>0</v>
      </c>
      <c r="J91">
        <v>90572.867030869544</v>
      </c>
      <c r="K91">
        <v>124879.26365668721</v>
      </c>
      <c r="L91">
        <v>404712.2813411245</v>
      </c>
    </row>
    <row r="92" spans="1:12" x14ac:dyDescent="0.25">
      <c r="A92" t="s">
        <v>418</v>
      </c>
      <c r="B92" t="s">
        <v>419</v>
      </c>
      <c r="C92">
        <v>38780.067469384521</v>
      </c>
      <c r="D92">
        <v>7926.45650117065</v>
      </c>
      <c r="E92">
        <v>18850.773605285271</v>
      </c>
      <c r="F92">
        <v>25993.966293451467</v>
      </c>
      <c r="G92">
        <v>91551.263869291899</v>
      </c>
      <c r="H92">
        <v>32963.057348976843</v>
      </c>
      <c r="I92">
        <v>6737.4880259950523</v>
      </c>
      <c r="J92">
        <v>16023.15756449248</v>
      </c>
      <c r="K92">
        <v>22094.871349433746</v>
      </c>
      <c r="L92">
        <v>77818.574288898119</v>
      </c>
    </row>
    <row r="93" spans="1:12" x14ac:dyDescent="0.25">
      <c r="A93" t="s">
        <v>420</v>
      </c>
      <c r="B93" t="s">
        <v>421</v>
      </c>
      <c r="C93">
        <v>35548.395180269152</v>
      </c>
      <c r="D93">
        <v>9310.3214321216565</v>
      </c>
      <c r="E93">
        <v>22218.159948420642</v>
      </c>
      <c r="F93">
        <v>30637.368677529128</v>
      </c>
      <c r="G93">
        <v>97714.245238340576</v>
      </c>
      <c r="H93">
        <v>36991.756718651865</v>
      </c>
      <c r="I93">
        <v>9748.0355582208031</v>
      </c>
      <c r="J93">
        <v>22494.913980325593</v>
      </c>
      <c r="K93">
        <v>31015.340310759391</v>
      </c>
      <c r="L93">
        <v>100250.04656795766</v>
      </c>
    </row>
    <row r="94" spans="1:12" x14ac:dyDescent="0.25">
      <c r="A94" t="s">
        <v>141</v>
      </c>
      <c r="B94" t="s">
        <v>142</v>
      </c>
      <c r="C94">
        <v>14542.525301019188</v>
      </c>
      <c r="D94">
        <v>0</v>
      </c>
      <c r="E94">
        <v>7069.0401019819737</v>
      </c>
      <c r="F94">
        <v>9747.7373600443025</v>
      </c>
      <c r="G94">
        <v>31359.302763045464</v>
      </c>
      <c r="H94">
        <v>13764.374592986747</v>
      </c>
      <c r="I94">
        <v>0</v>
      </c>
      <c r="J94">
        <v>6587.1176022450536</v>
      </c>
      <c r="K94">
        <v>9082.1282659408844</v>
      </c>
      <c r="L94">
        <v>29433.620461172686</v>
      </c>
    </row>
    <row r="95" spans="1:12" x14ac:dyDescent="0.25">
      <c r="A95" t="s">
        <v>143</v>
      </c>
      <c r="B95" t="s">
        <v>144</v>
      </c>
      <c r="C95">
        <v>57362.183131797916</v>
      </c>
      <c r="D95">
        <v>0</v>
      </c>
      <c r="E95">
        <v>27883.435957817775</v>
      </c>
      <c r="F95">
        <v>38449.408475730306</v>
      </c>
      <c r="G95">
        <v>123695.027565346</v>
      </c>
      <c r="H95">
        <v>48757.855662028225</v>
      </c>
      <c r="I95">
        <v>0</v>
      </c>
      <c r="J95">
        <v>23700.920564145108</v>
      </c>
      <c r="K95">
        <v>32681.99720437076</v>
      </c>
      <c r="L95">
        <v>105140.7734305441</v>
      </c>
    </row>
    <row r="96" spans="1:12" x14ac:dyDescent="0.25">
      <c r="A96" t="s">
        <v>422</v>
      </c>
      <c r="B96" t="s">
        <v>423</v>
      </c>
      <c r="C96">
        <v>24574.525587025502</v>
      </c>
      <c r="D96">
        <v>6389.5736734176908</v>
      </c>
      <c r="E96">
        <v>15294.527281309296</v>
      </c>
      <c r="F96">
        <v>20714.094898127012</v>
      </c>
      <c r="G96">
        <v>66972.721439879504</v>
      </c>
      <c r="H96">
        <v>20888.346748971675</v>
      </c>
      <c r="I96">
        <v>5431.1376224050373</v>
      </c>
      <c r="J96">
        <v>13000.348189112901</v>
      </c>
      <c r="K96">
        <v>17606.980663407961</v>
      </c>
      <c r="L96">
        <v>56926.813223897567</v>
      </c>
    </row>
    <row r="97" spans="1:12" x14ac:dyDescent="0.25">
      <c r="A97" t="s">
        <v>424</v>
      </c>
      <c r="B97" t="s">
        <v>425</v>
      </c>
      <c r="C97">
        <v>183397.40240729757</v>
      </c>
      <c r="D97">
        <v>48032.794661173066</v>
      </c>
      <c r="E97">
        <v>96674.209176232398</v>
      </c>
      <c r="F97">
        <v>133307.32135409542</v>
      </c>
      <c r="G97">
        <v>461411.72759879846</v>
      </c>
      <c r="H97">
        <v>203024.52524655449</v>
      </c>
      <c r="I97">
        <v>53500.846319537435</v>
      </c>
      <c r="J97">
        <v>108838.45010807489</v>
      </c>
      <c r="K97">
        <v>150063.32417852126</v>
      </c>
      <c r="L97">
        <v>515427.14585268812</v>
      </c>
    </row>
    <row r="98" spans="1:12" x14ac:dyDescent="0.25">
      <c r="A98" t="s">
        <v>60</v>
      </c>
      <c r="B98" t="s">
        <v>17</v>
      </c>
      <c r="C98">
        <v>2754417.3490333105</v>
      </c>
      <c r="D98">
        <v>721397.14740051981</v>
      </c>
      <c r="E98">
        <v>2113308.8511367096</v>
      </c>
      <c r="F98">
        <v>2914112.7146473411</v>
      </c>
      <c r="G98">
        <v>8503236.0622178819</v>
      </c>
      <c r="H98">
        <v>2596370.3321759012</v>
      </c>
      <c r="I98">
        <v>684193.25183328637</v>
      </c>
      <c r="J98">
        <v>1897231.2829631993</v>
      </c>
      <c r="K98">
        <v>2615847.9174798159</v>
      </c>
      <c r="L98">
        <v>7793642.7844522027</v>
      </c>
    </row>
    <row r="99" spans="1:12" x14ac:dyDescent="0.25">
      <c r="A99" t="s">
        <v>145</v>
      </c>
      <c r="B99" t="s">
        <v>146</v>
      </c>
      <c r="C99">
        <v>119571.87469726894</v>
      </c>
      <c r="D99">
        <v>0</v>
      </c>
      <c r="E99">
        <v>58123.218616296217</v>
      </c>
      <c r="F99">
        <v>80148.062738142035</v>
      </c>
      <c r="G99">
        <v>257843.15605170719</v>
      </c>
      <c r="H99">
        <v>101636.0934926786</v>
      </c>
      <c r="I99">
        <v>0</v>
      </c>
      <c r="J99">
        <v>0</v>
      </c>
      <c r="K99">
        <v>0</v>
      </c>
      <c r="L99">
        <v>101636.0934926786</v>
      </c>
    </row>
    <row r="100" spans="1:12" x14ac:dyDescent="0.25">
      <c r="A100" t="s">
        <v>426</v>
      </c>
      <c r="B100" t="s">
        <v>427</v>
      </c>
      <c r="C100">
        <v>113108.53011903817</v>
      </c>
      <c r="D100">
        <v>29623.750011296175</v>
      </c>
      <c r="E100">
        <v>64094.593880220447</v>
      </c>
      <c r="F100">
        <v>88382.193102557256</v>
      </c>
      <c r="G100">
        <v>295209.06711311208</v>
      </c>
      <c r="H100">
        <v>101797.67710713435</v>
      </c>
      <c r="I100">
        <v>26661.375010166557</v>
      </c>
      <c r="J100">
        <v>57685.134492198405</v>
      </c>
      <c r="K100">
        <v>79543.973792301535</v>
      </c>
      <c r="L100">
        <v>265688.16040180088</v>
      </c>
    </row>
    <row r="101" spans="1:12" x14ac:dyDescent="0.25">
      <c r="A101" t="s">
        <v>428</v>
      </c>
      <c r="B101" t="s">
        <v>429</v>
      </c>
      <c r="C101">
        <v>335285.99999572022</v>
      </c>
      <c r="D101">
        <v>87813.258962056498</v>
      </c>
      <c r="E101">
        <v>203186.99054906826</v>
      </c>
      <c r="F101">
        <v>280181.38110361114</v>
      </c>
      <c r="G101">
        <v>906467.63061045599</v>
      </c>
      <c r="H101">
        <v>426695.61238258908</v>
      </c>
      <c r="I101">
        <v>112442.45667157018</v>
      </c>
      <c r="J101">
        <v>299163.08553163247</v>
      </c>
      <c r="K101">
        <v>412477.45665067434</v>
      </c>
      <c r="L101">
        <v>1250778.6112364661</v>
      </c>
    </row>
    <row r="102" spans="1:12" x14ac:dyDescent="0.25">
      <c r="A102" t="s">
        <v>78</v>
      </c>
      <c r="B102" t="s">
        <v>44</v>
      </c>
      <c r="C102">
        <v>84397.936852825325</v>
      </c>
      <c r="D102">
        <v>22104.286742706343</v>
      </c>
      <c r="E102">
        <v>52055.662549781948</v>
      </c>
      <c r="F102">
        <v>71781.305427323838</v>
      </c>
      <c r="G102">
        <v>230339.19157263747</v>
      </c>
      <c r="H102">
        <v>64245.317579215407</v>
      </c>
      <c r="I102">
        <v>16826.204224916077</v>
      </c>
      <c r="J102">
        <v>39625.762157422403</v>
      </c>
      <c r="K102">
        <v>54641.297351508656</v>
      </c>
      <c r="L102">
        <v>175338.58131306255</v>
      </c>
    </row>
    <row r="103" spans="1:12" x14ac:dyDescent="0.25">
      <c r="A103" t="s">
        <v>1409</v>
      </c>
      <c r="B103" t="s">
        <v>1410</v>
      </c>
      <c r="C103">
        <v>37015.063995642609</v>
      </c>
      <c r="D103">
        <v>0</v>
      </c>
      <c r="E103">
        <v>25142.205381888307</v>
      </c>
      <c r="F103">
        <v>34669.433357186026</v>
      </c>
      <c r="G103">
        <v>96826.702734716935</v>
      </c>
      <c r="H103">
        <v>38988.094809922601</v>
      </c>
      <c r="I103">
        <v>0</v>
      </c>
      <c r="J103">
        <v>25406.037059244059</v>
      </c>
      <c r="K103">
        <v>35029.113071043364</v>
      </c>
      <c r="L103">
        <v>99423.244940210017</v>
      </c>
    </row>
    <row r="104" spans="1:12" x14ac:dyDescent="0.25">
      <c r="A104" t="s">
        <v>79</v>
      </c>
      <c r="B104" t="s">
        <v>48</v>
      </c>
      <c r="C104">
        <v>42125.626879061223</v>
      </c>
      <c r="D104">
        <v>11032.934814209921</v>
      </c>
      <c r="E104">
        <v>25982.595064360579</v>
      </c>
      <c r="F104">
        <v>35828.274980185735</v>
      </c>
      <c r="G104">
        <v>114969.43173781745</v>
      </c>
      <c r="H104">
        <v>46029.419607059906</v>
      </c>
      <c r="I104">
        <v>12055.359734314896</v>
      </c>
      <c r="J104">
        <v>28390.408862787444</v>
      </c>
      <c r="K104">
        <v>39148.490480501699</v>
      </c>
      <c r="L104">
        <v>125623.67868466394</v>
      </c>
    </row>
    <row r="105" spans="1:12" x14ac:dyDescent="0.25">
      <c r="A105" t="s">
        <v>83</v>
      </c>
      <c r="B105" t="s">
        <v>1405</v>
      </c>
      <c r="C105">
        <v>44370.107615102235</v>
      </c>
      <c r="D105">
        <v>0</v>
      </c>
      <c r="E105">
        <v>35686.942259079486</v>
      </c>
      <c r="F105">
        <v>49209.926002123</v>
      </c>
      <c r="G105">
        <v>129266.97587630471</v>
      </c>
      <c r="H105">
        <v>47435.404242576602</v>
      </c>
      <c r="I105">
        <v>0</v>
      </c>
      <c r="J105">
        <v>37809.847756311174</v>
      </c>
      <c r="K105">
        <v>52131.130454005877</v>
      </c>
      <c r="L105">
        <v>137376.38245289365</v>
      </c>
    </row>
    <row r="106" spans="1:12" x14ac:dyDescent="0.25">
      <c r="A106" t="s">
        <v>430</v>
      </c>
      <c r="B106" t="s">
        <v>431</v>
      </c>
      <c r="C106">
        <v>40477.006669537383</v>
      </c>
      <c r="D106">
        <v>10359.566139622068</v>
      </c>
      <c r="E106">
        <v>26051.148027354822</v>
      </c>
      <c r="F106">
        <v>34433.194556724091</v>
      </c>
      <c r="G106">
        <v>111320.91539323836</v>
      </c>
      <c r="H106">
        <v>38712.303542775211</v>
      </c>
      <c r="I106">
        <v>10201.43256092875</v>
      </c>
      <c r="J106">
        <v>24320.636547500337</v>
      </c>
      <c r="K106">
        <v>33532.594067919046</v>
      </c>
      <c r="L106">
        <v>106766.96671912333</v>
      </c>
    </row>
    <row r="107" spans="1:12" x14ac:dyDescent="0.25">
      <c r="A107" t="s">
        <v>432</v>
      </c>
      <c r="B107" t="s">
        <v>433</v>
      </c>
      <c r="C107">
        <v>0</v>
      </c>
      <c r="D107">
        <v>2537.0366056217304</v>
      </c>
      <c r="E107">
        <v>0</v>
      </c>
      <c r="F107">
        <v>0</v>
      </c>
      <c r="G107">
        <v>2537.0366056217304</v>
      </c>
      <c r="H107">
        <v>0</v>
      </c>
      <c r="I107">
        <v>2283.3329450595575</v>
      </c>
      <c r="J107">
        <v>0</v>
      </c>
      <c r="K107">
        <v>0</v>
      </c>
      <c r="L107">
        <v>2283.3329450595575</v>
      </c>
    </row>
    <row r="108" spans="1:12" x14ac:dyDescent="0.25">
      <c r="A108" t="s">
        <v>147</v>
      </c>
      <c r="B108" t="s">
        <v>148</v>
      </c>
      <c r="C108">
        <v>763482.57830350753</v>
      </c>
      <c r="D108">
        <v>0</v>
      </c>
      <c r="E108">
        <v>0</v>
      </c>
      <c r="F108">
        <v>0</v>
      </c>
      <c r="G108">
        <v>763482.57830350753</v>
      </c>
      <c r="H108">
        <v>736394.04072479089</v>
      </c>
      <c r="I108">
        <v>0</v>
      </c>
      <c r="J108">
        <v>0</v>
      </c>
      <c r="K108">
        <v>0</v>
      </c>
      <c r="L108">
        <v>736394.04072479089</v>
      </c>
    </row>
    <row r="109" spans="1:12" x14ac:dyDescent="0.25">
      <c r="A109" t="s">
        <v>149</v>
      </c>
      <c r="B109" t="s">
        <v>150</v>
      </c>
      <c r="C109">
        <v>11310.853011903815</v>
      </c>
      <c r="D109">
        <v>2962.375001129617</v>
      </c>
      <c r="E109">
        <v>6973.5393338264448</v>
      </c>
      <c r="F109">
        <v>9616.0481360149261</v>
      </c>
      <c r="G109">
        <v>30862.815482874801</v>
      </c>
      <c r="H109">
        <v>18926.015065356776</v>
      </c>
      <c r="I109">
        <v>4987.3670297873896</v>
      </c>
      <c r="J109">
        <v>16866.1087731234</v>
      </c>
      <c r="K109">
        <v>23254.505608433323</v>
      </c>
      <c r="L109">
        <v>64033.996476700893</v>
      </c>
    </row>
    <row r="110" spans="1:12" x14ac:dyDescent="0.25">
      <c r="A110" t="s">
        <v>151</v>
      </c>
      <c r="B110" t="s">
        <v>152</v>
      </c>
      <c r="C110">
        <v>101797.67710713435</v>
      </c>
      <c r="D110">
        <v>0</v>
      </c>
      <c r="E110">
        <v>49483.280713873814</v>
      </c>
      <c r="F110">
        <v>68234.161520310096</v>
      </c>
      <c r="G110">
        <v>219515.11934131826</v>
      </c>
      <c r="H110">
        <v>98931.442387092218</v>
      </c>
      <c r="I110">
        <v>0</v>
      </c>
      <c r="J110">
        <v>47344.907766136348</v>
      </c>
      <c r="K110">
        <v>65277.79691145011</v>
      </c>
      <c r="L110">
        <v>211554.14706467866</v>
      </c>
    </row>
    <row r="111" spans="1:12" x14ac:dyDescent="0.25">
      <c r="A111" t="s">
        <v>434</v>
      </c>
      <c r="B111" t="s">
        <v>435</v>
      </c>
      <c r="C111">
        <v>25045.460240644166</v>
      </c>
      <c r="D111">
        <v>6559.5446453584391</v>
      </c>
      <c r="E111">
        <v>19582.222893615344</v>
      </c>
      <c r="F111">
        <v>27002.586339733833</v>
      </c>
      <c r="G111">
        <v>78189.814119351795</v>
      </c>
      <c r="H111">
        <v>27528.749185973495</v>
      </c>
      <c r="I111">
        <v>7254.3520433271124</v>
      </c>
      <c r="J111">
        <v>21237.639077482079</v>
      </c>
      <c r="K111">
        <v>29281.845841299579</v>
      </c>
      <c r="L111">
        <v>85302.586148082264</v>
      </c>
    </row>
    <row r="112" spans="1:12" x14ac:dyDescent="0.25">
      <c r="A112" t="s">
        <v>436</v>
      </c>
      <c r="B112" t="s">
        <v>437</v>
      </c>
      <c r="C112">
        <v>720662.92047272902</v>
      </c>
      <c r="D112">
        <v>188745.60721482994</v>
      </c>
      <c r="E112">
        <v>389779.01673428382</v>
      </c>
      <c r="F112">
        <v>537479.40721355367</v>
      </c>
      <c r="G112">
        <v>1836666.9516353966</v>
      </c>
      <c r="H112">
        <v>805215.91368972487</v>
      </c>
      <c r="I112">
        <v>212189.79726731795</v>
      </c>
      <c r="J112">
        <v>435778.99887352454</v>
      </c>
      <c r="K112">
        <v>600839.54809365177</v>
      </c>
      <c r="L112">
        <v>2054024.2579242191</v>
      </c>
    </row>
    <row r="113" spans="1:12" x14ac:dyDescent="0.25">
      <c r="A113" t="s">
        <v>438</v>
      </c>
      <c r="B113" t="s">
        <v>439</v>
      </c>
      <c r="C113">
        <v>2151582.8586041536</v>
      </c>
      <c r="D113">
        <v>546459.23643364746</v>
      </c>
      <c r="E113">
        <v>1484302.059191159</v>
      </c>
      <c r="F113">
        <v>2046754.0751270801</v>
      </c>
      <c r="G113">
        <v>6229098.2293560402</v>
      </c>
      <c r="H113">
        <v>2447477.8573154551</v>
      </c>
      <c r="I113">
        <v>464490.35096860031</v>
      </c>
      <c r="J113">
        <v>1734676.2510662219</v>
      </c>
      <c r="K113">
        <v>2391721.7155338698</v>
      </c>
      <c r="L113">
        <v>7038366.1748841461</v>
      </c>
    </row>
    <row r="114" spans="1:12" x14ac:dyDescent="0.25">
      <c r="A114" t="s">
        <v>440</v>
      </c>
      <c r="B114" t="s">
        <v>441</v>
      </c>
      <c r="C114">
        <v>3665524.2939291149</v>
      </c>
      <c r="D114">
        <v>0</v>
      </c>
      <c r="E114">
        <v>2983724.009711558</v>
      </c>
      <c r="F114">
        <v>4114357.4773853654</v>
      </c>
      <c r="G114">
        <v>10763605.781026039</v>
      </c>
      <c r="H114">
        <v>3710359.2262219908</v>
      </c>
      <c r="I114">
        <v>0</v>
      </c>
      <c r="J114">
        <v>2943412.331078189</v>
      </c>
      <c r="K114">
        <v>4058292.2523340229</v>
      </c>
      <c r="L114">
        <v>10712063.809634203</v>
      </c>
    </row>
    <row r="115" spans="1:12" x14ac:dyDescent="0.25">
      <c r="A115" t="s">
        <v>442</v>
      </c>
      <c r="B115" t="s">
        <v>443</v>
      </c>
      <c r="C115">
        <v>136538.15421512464</v>
      </c>
      <c r="D115">
        <v>35760.098227921793</v>
      </c>
      <c r="E115">
        <v>73011.795244420602</v>
      </c>
      <c r="F115">
        <v>100678.4222412887</v>
      </c>
      <c r="G115">
        <v>345988.46992875572</v>
      </c>
      <c r="H115">
        <v>127320.46498512739</v>
      </c>
      <c r="I115">
        <v>33551.37820038788</v>
      </c>
      <c r="J115">
        <v>65710.615719978538</v>
      </c>
      <c r="K115">
        <v>90610.580017159838</v>
      </c>
      <c r="L115">
        <v>317193.03892265365</v>
      </c>
    </row>
    <row r="116" spans="1:12" x14ac:dyDescent="0.25">
      <c r="A116" t="s">
        <v>444</v>
      </c>
      <c r="B116" t="s">
        <v>1396</v>
      </c>
      <c r="C116">
        <v>221369.55180440319</v>
      </c>
      <c r="D116">
        <v>57977.910736393933</v>
      </c>
      <c r="E116">
        <v>108784.26031982779</v>
      </c>
      <c r="F116">
        <v>150006.27853378022</v>
      </c>
      <c r="G116">
        <v>538138.00139440515</v>
      </c>
      <c r="H116">
        <v>214208.07960335622</v>
      </c>
      <c r="I116">
        <v>49281.224125934845</v>
      </c>
      <c r="J116">
        <v>102512.01768493866</v>
      </c>
      <c r="K116">
        <v>141340.62113870503</v>
      </c>
      <c r="L116">
        <v>507341.94255293475</v>
      </c>
    </row>
    <row r="117" spans="1:12" x14ac:dyDescent="0.25">
      <c r="A117" t="s">
        <v>282</v>
      </c>
      <c r="B117" t="s">
        <v>283</v>
      </c>
      <c r="C117">
        <v>46859.248192172949</v>
      </c>
      <c r="D117">
        <v>0</v>
      </c>
      <c r="E117">
        <v>22778.018106386353</v>
      </c>
      <c r="F117">
        <v>31409.375937920522</v>
      </c>
      <c r="G117">
        <v>101046.64223647982</v>
      </c>
      <c r="H117">
        <v>49035.584487515254</v>
      </c>
      <c r="I117">
        <v>0</v>
      </c>
      <c r="J117">
        <v>23466.606457998012</v>
      </c>
      <c r="K117">
        <v>32355.081947414401</v>
      </c>
      <c r="L117">
        <v>104857.27289292766</v>
      </c>
    </row>
    <row r="118" spans="1:12" x14ac:dyDescent="0.25">
      <c r="A118" t="s">
        <v>445</v>
      </c>
      <c r="B118" t="s">
        <v>446</v>
      </c>
      <c r="C118">
        <v>12926.689156461511</v>
      </c>
      <c r="D118">
        <v>3385.5714298624193</v>
      </c>
      <c r="E118">
        <v>7233.3167394630318</v>
      </c>
      <c r="F118">
        <v>9974.2639454724449</v>
      </c>
      <c r="G118">
        <v>33519.841271259407</v>
      </c>
      <c r="H118">
        <v>14624.648005048422</v>
      </c>
      <c r="I118">
        <v>3853.8745230175286</v>
      </c>
      <c r="J118">
        <v>8399.3983325627269</v>
      </c>
      <c r="K118">
        <v>11580.848805107868</v>
      </c>
      <c r="L118">
        <v>38458.769665736545</v>
      </c>
    </row>
    <row r="119" spans="1:12" x14ac:dyDescent="0.25">
      <c r="A119" t="s">
        <v>153</v>
      </c>
      <c r="B119" t="s">
        <v>154</v>
      </c>
      <c r="C119">
        <v>126035.21927549965</v>
      </c>
      <c r="D119">
        <v>0</v>
      </c>
      <c r="E119">
        <v>61265.014217177108</v>
      </c>
      <c r="F119">
        <v>84480.390453717278</v>
      </c>
      <c r="G119">
        <v>271780.62394639401</v>
      </c>
      <c r="H119">
        <v>107129.9363841747</v>
      </c>
      <c r="I119">
        <v>0</v>
      </c>
      <c r="J119">
        <v>52075.262084600537</v>
      </c>
      <c r="K119">
        <v>71808.331885659689</v>
      </c>
      <c r="L119">
        <v>231013.53035443492</v>
      </c>
    </row>
    <row r="120" spans="1:12" x14ac:dyDescent="0.25">
      <c r="A120" t="s">
        <v>284</v>
      </c>
      <c r="B120" t="s">
        <v>285</v>
      </c>
      <c r="C120">
        <v>110684.7759022016</v>
      </c>
      <c r="D120">
        <v>28988.955368196966</v>
      </c>
      <c r="E120">
        <v>67678.067033917629</v>
      </c>
      <c r="F120">
        <v>93323.564863797656</v>
      </c>
      <c r="G120">
        <v>300675.36316811386</v>
      </c>
      <c r="H120">
        <v>99616.298311981445</v>
      </c>
      <c r="I120">
        <v>26090.059831377272</v>
      </c>
      <c r="J120">
        <v>60910.260330525867</v>
      </c>
      <c r="K120">
        <v>83991.20837741789</v>
      </c>
      <c r="L120">
        <v>270607.82685130247</v>
      </c>
    </row>
    <row r="121" spans="1:12" x14ac:dyDescent="0.25">
      <c r="A121" t="s">
        <v>447</v>
      </c>
      <c r="B121" t="s">
        <v>448</v>
      </c>
      <c r="C121">
        <v>0</v>
      </c>
      <c r="D121">
        <v>4607.7671010265385</v>
      </c>
      <c r="E121">
        <v>0</v>
      </c>
      <c r="F121">
        <v>0</v>
      </c>
      <c r="G121">
        <v>4607.7671010265385</v>
      </c>
      <c r="H121">
        <v>15484.92141711009</v>
      </c>
      <c r="I121">
        <v>4146.9903909238847</v>
      </c>
      <c r="J121">
        <v>8783.1185176360068</v>
      </c>
      <c r="K121">
        <v>12109.911158249757</v>
      </c>
      <c r="L121">
        <v>40524.941483919742</v>
      </c>
    </row>
    <row r="122" spans="1:12" x14ac:dyDescent="0.25">
      <c r="A122" t="s">
        <v>286</v>
      </c>
      <c r="B122" t="s">
        <v>287</v>
      </c>
      <c r="C122">
        <v>138153.9903596823</v>
      </c>
      <c r="D122">
        <v>0</v>
      </c>
      <c r="E122">
        <v>67155.880968828729</v>
      </c>
      <c r="F122">
        <v>92603.504920420834</v>
      </c>
      <c r="G122">
        <v>297913.37624893186</v>
      </c>
      <c r="H122">
        <v>141084.83957811413</v>
      </c>
      <c r="I122">
        <v>0</v>
      </c>
      <c r="J122">
        <v>67517.955423011808</v>
      </c>
      <c r="K122">
        <v>93091.814725894073</v>
      </c>
      <c r="L122">
        <v>301694.60972702003</v>
      </c>
    </row>
    <row r="123" spans="1:12" x14ac:dyDescent="0.25">
      <c r="A123" t="s">
        <v>449</v>
      </c>
      <c r="B123" t="s">
        <v>450</v>
      </c>
      <c r="C123">
        <v>33124.640963432605</v>
      </c>
      <c r="D123">
        <v>8675.5267890224532</v>
      </c>
      <c r="E123">
        <v>20715.900563748197</v>
      </c>
      <c r="F123">
        <v>28565.852641802703</v>
      </c>
      <c r="G123">
        <v>91081.920958005969</v>
      </c>
      <c r="H123">
        <v>34410.936482466866</v>
      </c>
      <c r="I123">
        <v>9067.9400541588893</v>
      </c>
      <c r="J123">
        <v>20920.088547197593</v>
      </c>
      <c r="K123">
        <v>28844.01630475415</v>
      </c>
      <c r="L123">
        <v>93242.981388577493</v>
      </c>
    </row>
    <row r="124" spans="1:12" x14ac:dyDescent="0.25">
      <c r="A124" t="s">
        <v>155</v>
      </c>
      <c r="B124" t="s">
        <v>156</v>
      </c>
      <c r="C124">
        <v>433044.08674146037</v>
      </c>
      <c r="D124">
        <v>0</v>
      </c>
      <c r="E124">
        <v>210500.30525901879</v>
      </c>
      <c r="F124">
        <v>290265.95694354147</v>
      </c>
      <c r="G124">
        <v>933810.34894402069</v>
      </c>
      <c r="H124">
        <v>500679.12581989291</v>
      </c>
      <c r="I124">
        <v>0</v>
      </c>
      <c r="J124">
        <v>239606.40278166387</v>
      </c>
      <c r="K124">
        <v>330362.41567359969</v>
      </c>
      <c r="L124">
        <v>1070647.9442751566</v>
      </c>
    </row>
    <row r="125" spans="1:12" x14ac:dyDescent="0.25">
      <c r="A125" t="s">
        <v>157</v>
      </c>
      <c r="B125" t="s">
        <v>158</v>
      </c>
      <c r="C125">
        <v>1253080.9301044871</v>
      </c>
      <c r="D125">
        <v>0</v>
      </c>
      <c r="E125">
        <v>0</v>
      </c>
      <c r="F125">
        <v>0</v>
      </c>
      <c r="G125">
        <v>1253080.9301044871</v>
      </c>
      <c r="H125">
        <v>1215566.3312431416</v>
      </c>
      <c r="I125">
        <v>0</v>
      </c>
      <c r="J125">
        <v>0</v>
      </c>
      <c r="K125">
        <v>0</v>
      </c>
      <c r="L125">
        <v>1215566.3312431416</v>
      </c>
    </row>
    <row r="126" spans="1:12" x14ac:dyDescent="0.25">
      <c r="A126" t="s">
        <v>159</v>
      </c>
      <c r="B126" t="s">
        <v>160</v>
      </c>
      <c r="C126">
        <v>249646.68433416271</v>
      </c>
      <c r="D126">
        <v>0</v>
      </c>
      <c r="E126">
        <v>121351.85508402389</v>
      </c>
      <c r="F126">
        <v>167336.15801409387</v>
      </c>
      <c r="G126">
        <v>538334.69743228052</v>
      </c>
      <c r="H126">
        <v>312279.24857838673</v>
      </c>
      <c r="I126">
        <v>0</v>
      </c>
      <c r="J126">
        <v>149445.23060093477</v>
      </c>
      <c r="K126">
        <v>206050.78503353387</v>
      </c>
      <c r="L126">
        <v>667775.26421285537</v>
      </c>
    </row>
    <row r="127" spans="1:12" x14ac:dyDescent="0.25">
      <c r="A127" t="s">
        <v>161</v>
      </c>
      <c r="B127" t="s">
        <v>162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</row>
    <row r="128" spans="1:12" x14ac:dyDescent="0.25">
      <c r="A128" t="s">
        <v>163</v>
      </c>
      <c r="B128" t="s">
        <v>164</v>
      </c>
      <c r="C128">
        <v>54938.428914961398</v>
      </c>
      <c r="D128">
        <v>0</v>
      </c>
      <c r="E128">
        <v>26705.262607487453</v>
      </c>
      <c r="F128">
        <v>36824.785582389566</v>
      </c>
      <c r="G128">
        <v>118468.47710483841</v>
      </c>
      <c r="H128">
        <v>67101.326140810357</v>
      </c>
      <c r="I128">
        <v>0</v>
      </c>
      <c r="J128">
        <v>32112.198310944648</v>
      </c>
      <c r="K128">
        <v>44275.375296461811</v>
      </c>
      <c r="L128">
        <v>143488.89974821682</v>
      </c>
    </row>
    <row r="129" spans="1:12" x14ac:dyDescent="0.25">
      <c r="A129" t="s">
        <v>451</v>
      </c>
      <c r="B129" t="s">
        <v>452</v>
      </c>
      <c r="C129">
        <v>54130.510842682546</v>
      </c>
      <c r="D129">
        <v>14177.080362548884</v>
      </c>
      <c r="E129">
        <v>31821.087656846801</v>
      </c>
      <c r="F129">
        <v>43879.168955757195</v>
      </c>
      <c r="G129">
        <v>144007.84781783543</v>
      </c>
      <c r="H129">
        <v>70542.419789057065</v>
      </c>
      <c r="I129">
        <v>18589.277111025724</v>
      </c>
      <c r="J129">
        <v>48670.06085739674</v>
      </c>
      <c r="K129">
        <v>67104.879874525359</v>
      </c>
      <c r="L129">
        <v>204906.63763200489</v>
      </c>
    </row>
    <row r="130" spans="1:12" x14ac:dyDescent="0.25">
      <c r="A130" t="s">
        <v>453</v>
      </c>
      <c r="B130" t="s">
        <v>454</v>
      </c>
      <c r="C130">
        <v>1011530.8399718293</v>
      </c>
      <c r="D130">
        <v>263006.1281161193</v>
      </c>
      <c r="E130">
        <v>579464.92613746668</v>
      </c>
      <c r="F130">
        <v>799043.69304140913</v>
      </c>
      <c r="G130">
        <v>2653045.5872668242</v>
      </c>
      <c r="H130">
        <v>1156207.4658108861</v>
      </c>
      <c r="I130">
        <v>304682.78581973858</v>
      </c>
      <c r="J130">
        <v>687736.24715939804</v>
      </c>
      <c r="K130">
        <v>948230.95426589053</v>
      </c>
      <c r="L130">
        <v>3096857.4530559136</v>
      </c>
    </row>
    <row r="131" spans="1:12" x14ac:dyDescent="0.25">
      <c r="A131" t="s">
        <v>455</v>
      </c>
      <c r="B131" t="s">
        <v>456</v>
      </c>
      <c r="C131">
        <v>48787.661091888862</v>
      </c>
      <c r="D131">
        <v>12685.183028108648</v>
      </c>
      <c r="E131">
        <v>29841.77679056253</v>
      </c>
      <c r="F131">
        <v>40416.116497032373</v>
      </c>
      <c r="G131">
        <v>131730.73740759242</v>
      </c>
      <c r="H131">
        <v>50756.131311638623</v>
      </c>
      <c r="I131">
        <v>13375.211579884359</v>
      </c>
      <c r="J131">
        <v>31049.150746026084</v>
      </c>
      <c r="K131">
        <v>42809.675893418527</v>
      </c>
      <c r="L131">
        <v>137990.1695309676</v>
      </c>
    </row>
    <row r="132" spans="1:12" x14ac:dyDescent="0.25">
      <c r="A132" t="s">
        <v>457</v>
      </c>
      <c r="B132" t="s">
        <v>458</v>
      </c>
      <c r="C132">
        <v>46051.330119894112</v>
      </c>
      <c r="D132">
        <v>12061.098218884868</v>
      </c>
      <c r="E132">
        <v>25912.096671822575</v>
      </c>
      <c r="F132">
        <v>35731.062373544388</v>
      </c>
      <c r="G132">
        <v>119755.58738414594</v>
      </c>
      <c r="H132">
        <v>41446.1971079047</v>
      </c>
      <c r="I132">
        <v>10854.988396996381</v>
      </c>
      <c r="J132">
        <v>23320.887004640317</v>
      </c>
      <c r="K132">
        <v>32157.95613618995</v>
      </c>
      <c r="L132">
        <v>107780.02864573135</v>
      </c>
    </row>
    <row r="133" spans="1:12" x14ac:dyDescent="0.25">
      <c r="A133" t="s">
        <v>80</v>
      </c>
      <c r="B133" t="s">
        <v>31</v>
      </c>
      <c r="C133">
        <v>0</v>
      </c>
      <c r="D133">
        <v>2156.2952641663801</v>
      </c>
      <c r="E133">
        <v>0</v>
      </c>
      <c r="F133">
        <v>0</v>
      </c>
      <c r="G133">
        <v>2156.2952641663801</v>
      </c>
      <c r="H133">
        <v>0</v>
      </c>
      <c r="I133">
        <v>1979.867947705975</v>
      </c>
      <c r="J133">
        <v>0</v>
      </c>
      <c r="K133">
        <v>0</v>
      </c>
      <c r="L133">
        <v>1979.867947705975</v>
      </c>
    </row>
    <row r="134" spans="1:12" x14ac:dyDescent="0.25">
      <c r="A134" t="s">
        <v>459</v>
      </c>
      <c r="B134" t="s">
        <v>460</v>
      </c>
      <c r="C134">
        <v>79581.911418073476</v>
      </c>
      <c r="D134">
        <v>20212.222073410525</v>
      </c>
      <c r="E134">
        <v>48202.012305030454</v>
      </c>
      <c r="F134">
        <v>63515.414640705843</v>
      </c>
      <c r="G134">
        <v>211511.56043722032</v>
      </c>
      <c r="H134">
        <v>71623.720276266133</v>
      </c>
      <c r="I134">
        <v>18190.999866069473</v>
      </c>
      <c r="J134">
        <v>43381.81107452741</v>
      </c>
      <c r="K134">
        <v>57163.873176635258</v>
      </c>
      <c r="L134">
        <v>190360.40439349826</v>
      </c>
    </row>
    <row r="135" spans="1:12" x14ac:dyDescent="0.25">
      <c r="A135" t="s">
        <v>165</v>
      </c>
      <c r="B135" t="s">
        <v>166</v>
      </c>
      <c r="C135">
        <v>339325.5903571145</v>
      </c>
      <c r="D135">
        <v>0</v>
      </c>
      <c r="E135">
        <v>164944.26904624605</v>
      </c>
      <c r="F135">
        <v>227447.20506770042</v>
      </c>
      <c r="G135">
        <v>731717.06447106088</v>
      </c>
      <c r="H135">
        <v>288426.75180354732</v>
      </c>
      <c r="I135">
        <v>0</v>
      </c>
      <c r="J135">
        <v>140202.62868930915</v>
      </c>
      <c r="K135">
        <v>193330.12430754534</v>
      </c>
      <c r="L135">
        <v>621959.50480040186</v>
      </c>
    </row>
    <row r="136" spans="1:12" x14ac:dyDescent="0.25">
      <c r="A136" t="s">
        <v>461</v>
      </c>
      <c r="B136" t="s">
        <v>462</v>
      </c>
      <c r="C136">
        <v>137210.19210012667</v>
      </c>
      <c r="D136">
        <v>34848.658747259527</v>
      </c>
      <c r="E136">
        <v>76780.163069229646</v>
      </c>
      <c r="F136">
        <v>105874.75148859073</v>
      </c>
      <c r="G136">
        <v>354713.76540520659</v>
      </c>
      <c r="H136">
        <v>164312.2217037793</v>
      </c>
      <c r="I136">
        <v>43299.413758608694</v>
      </c>
      <c r="J136">
        <v>106974.89278417223</v>
      </c>
      <c r="K136">
        <v>147493.90494713411</v>
      </c>
      <c r="L136">
        <v>462080.43319369433</v>
      </c>
    </row>
    <row r="137" spans="1:12" x14ac:dyDescent="0.25">
      <c r="A137" t="s">
        <v>463</v>
      </c>
      <c r="B137" t="s">
        <v>464</v>
      </c>
      <c r="C137">
        <v>21813.787951528786</v>
      </c>
      <c r="D137">
        <v>5713.1517878928353</v>
      </c>
      <c r="E137">
        <v>16874.976896781307</v>
      </c>
      <c r="F137">
        <v>23269.47370131909</v>
      </c>
      <c r="G137">
        <v>67671.390337522025</v>
      </c>
      <c r="H137">
        <v>19632.409156375907</v>
      </c>
      <c r="I137">
        <v>5141.8366091035523</v>
      </c>
      <c r="J137">
        <v>15187.479207103177</v>
      </c>
      <c r="K137">
        <v>20942.526331187182</v>
      </c>
      <c r="L137">
        <v>60904.251303769823</v>
      </c>
    </row>
    <row r="138" spans="1:12" x14ac:dyDescent="0.25">
      <c r="A138" t="s">
        <v>288</v>
      </c>
      <c r="B138" t="s">
        <v>289</v>
      </c>
      <c r="C138">
        <v>87255.151806115144</v>
      </c>
      <c r="D138">
        <v>22852.607151571341</v>
      </c>
      <c r="E138">
        <v>45635.543277697492</v>
      </c>
      <c r="F138">
        <v>62928.386844093322</v>
      </c>
      <c r="G138">
        <v>218671.68907947731</v>
      </c>
      <c r="H138">
        <v>104953.35627152391</v>
      </c>
      <c r="I138">
        <v>27657.217165184607</v>
      </c>
      <c r="J138">
        <v>58599.965672469851</v>
      </c>
      <c r="K138">
        <v>80795.946991399178</v>
      </c>
      <c r="L138">
        <v>272006.48610057752</v>
      </c>
    </row>
    <row r="139" spans="1:12" x14ac:dyDescent="0.25">
      <c r="A139" t="s">
        <v>465</v>
      </c>
      <c r="B139" t="s">
        <v>466</v>
      </c>
      <c r="C139">
        <v>45965.41435354243</v>
      </c>
      <c r="D139">
        <v>11674.300680331942</v>
      </c>
      <c r="E139">
        <v>25028.138560760191</v>
      </c>
      <c r="F139">
        <v>32979.382443869901</v>
      </c>
      <c r="G139">
        <v>115647.23603850446</v>
      </c>
      <c r="H139">
        <v>41368.872918188186</v>
      </c>
      <c r="I139">
        <v>10506.870612298748</v>
      </c>
      <c r="J139">
        <v>22525.324704684172</v>
      </c>
      <c r="K139">
        <v>29681.44419948291</v>
      </c>
      <c r="L139">
        <v>104082.51243465403</v>
      </c>
    </row>
    <row r="140" spans="1:12" x14ac:dyDescent="0.25">
      <c r="A140" t="s">
        <v>467</v>
      </c>
      <c r="B140" t="s">
        <v>468</v>
      </c>
      <c r="C140">
        <v>127651.05542005741</v>
      </c>
      <c r="D140">
        <v>33432.517869891402</v>
      </c>
      <c r="E140">
        <v>83411.511771563877</v>
      </c>
      <c r="F140">
        <v>115018.94144375893</v>
      </c>
      <c r="G140">
        <v>359514.02650527161</v>
      </c>
      <c r="H140">
        <v>132482.10545749741</v>
      </c>
      <c r="I140">
        <v>34911.569208511726</v>
      </c>
      <c r="J140">
        <v>84021.978575436835</v>
      </c>
      <c r="K140">
        <v>115847.08709620898</v>
      </c>
      <c r="L140">
        <v>367262.74033765495</v>
      </c>
    </row>
    <row r="141" spans="1:12" x14ac:dyDescent="0.25">
      <c r="A141" t="s">
        <v>167</v>
      </c>
      <c r="B141" t="s">
        <v>168</v>
      </c>
      <c r="C141">
        <v>1011513.4264931123</v>
      </c>
      <c r="D141">
        <v>0</v>
      </c>
      <c r="E141">
        <v>601850.21979374322</v>
      </c>
      <c r="F141">
        <v>829911.52801488305</v>
      </c>
      <c r="G141">
        <v>2443275.1743017384</v>
      </c>
      <c r="H141">
        <v>1286108.751032199</v>
      </c>
      <c r="I141">
        <v>0</v>
      </c>
      <c r="J141">
        <v>780985.13071617961</v>
      </c>
      <c r="K141">
        <v>1076799.8325306165</v>
      </c>
      <c r="L141">
        <v>3143893.7142789951</v>
      </c>
    </row>
    <row r="142" spans="1:12" x14ac:dyDescent="0.25">
      <c r="A142" t="s">
        <v>469</v>
      </c>
      <c r="B142" t="s">
        <v>470</v>
      </c>
      <c r="C142">
        <v>54130.510842682546</v>
      </c>
      <c r="D142">
        <v>0</v>
      </c>
      <c r="E142">
        <v>26312.538157377348</v>
      </c>
      <c r="F142">
        <v>36283.244617942684</v>
      </c>
      <c r="G142">
        <v>116726.29361800259</v>
      </c>
      <c r="H142">
        <v>63660.232492563693</v>
      </c>
      <c r="I142">
        <v>0</v>
      </c>
      <c r="J142">
        <v>30465.418910383381</v>
      </c>
      <c r="K142">
        <v>42004.843229976592</v>
      </c>
      <c r="L142">
        <v>136130.49463292366</v>
      </c>
    </row>
    <row r="143" spans="1:12" x14ac:dyDescent="0.25">
      <c r="A143" t="s">
        <v>169</v>
      </c>
      <c r="B143" t="s">
        <v>170</v>
      </c>
      <c r="C143">
        <v>820844.76143530547</v>
      </c>
      <c r="D143">
        <v>0</v>
      </c>
      <c r="E143">
        <v>462825.76445476414</v>
      </c>
      <c r="F143">
        <v>638206.02660067822</v>
      </c>
      <c r="G143">
        <v>1921876.5524907478</v>
      </c>
      <c r="H143">
        <v>886941.8878355833</v>
      </c>
      <c r="I143">
        <v>0</v>
      </c>
      <c r="J143">
        <v>494445.51501851942</v>
      </c>
      <c r="K143">
        <v>681727.25296218775</v>
      </c>
      <c r="L143">
        <v>2063114.6558162905</v>
      </c>
    </row>
    <row r="144" spans="1:12" x14ac:dyDescent="0.25">
      <c r="A144" t="s">
        <v>171</v>
      </c>
      <c r="B144" t="s">
        <v>172</v>
      </c>
      <c r="C144">
        <v>158198.50846647663</v>
      </c>
      <c r="D144">
        <v>0</v>
      </c>
      <c r="E144">
        <v>71904.271798312024</v>
      </c>
      <c r="F144">
        <v>97383.324258155742</v>
      </c>
      <c r="G144">
        <v>327486.10452294443</v>
      </c>
      <c r="H144">
        <v>181517.68994501271</v>
      </c>
      <c r="I144">
        <v>0</v>
      </c>
      <c r="J144">
        <v>86867.613379606686</v>
      </c>
      <c r="K144">
        <v>119770.56650709541</v>
      </c>
      <c r="L144">
        <v>388155.86983171484</v>
      </c>
    </row>
    <row r="145" spans="1:12" x14ac:dyDescent="0.25">
      <c r="A145" t="s">
        <v>173</v>
      </c>
      <c r="B145" t="s">
        <v>174</v>
      </c>
      <c r="C145">
        <v>148656.92529930733</v>
      </c>
      <c r="D145">
        <v>0</v>
      </c>
      <c r="E145">
        <v>0</v>
      </c>
      <c r="F145">
        <v>0</v>
      </c>
      <c r="G145">
        <v>148656.92529930733</v>
      </c>
      <c r="H145">
        <v>126358.38650441123</v>
      </c>
      <c r="I145">
        <v>0</v>
      </c>
      <c r="J145">
        <v>0</v>
      </c>
      <c r="K145">
        <v>0</v>
      </c>
      <c r="L145">
        <v>126358.38650441123</v>
      </c>
    </row>
    <row r="146" spans="1:12" x14ac:dyDescent="0.25">
      <c r="A146" t="s">
        <v>175</v>
      </c>
      <c r="B146" t="s">
        <v>176</v>
      </c>
      <c r="C146">
        <v>192284.50120236492</v>
      </c>
      <c r="D146">
        <v>0</v>
      </c>
      <c r="E146">
        <v>93468.419126206078</v>
      </c>
      <c r="F146">
        <v>128886.74953836355</v>
      </c>
      <c r="G146">
        <v>414639.66986693454</v>
      </c>
      <c r="H146">
        <v>176356.04947264274</v>
      </c>
      <c r="I146">
        <v>0</v>
      </c>
      <c r="J146">
        <v>84397.444278764757</v>
      </c>
      <c r="K146">
        <v>116364.76840736759</v>
      </c>
      <c r="L146">
        <v>377118.26215877506</v>
      </c>
    </row>
    <row r="147" spans="1:12" x14ac:dyDescent="0.25">
      <c r="A147" t="s">
        <v>471</v>
      </c>
      <c r="B147" t="s">
        <v>472</v>
      </c>
      <c r="C147">
        <v>83706.977780805624</v>
      </c>
      <c r="D147">
        <v>21764.485325079004</v>
      </c>
      <c r="E147">
        <v>40151.624612067884</v>
      </c>
      <c r="F147">
        <v>54695.637409137467</v>
      </c>
      <c r="G147">
        <v>200318.72512708997</v>
      </c>
      <c r="H147">
        <v>71150.931113684783</v>
      </c>
      <c r="I147">
        <v>18499.812526317153</v>
      </c>
      <c r="J147">
        <v>34128.880920257703</v>
      </c>
      <c r="K147">
        <v>46491.291797766848</v>
      </c>
      <c r="L147">
        <v>170270.91635802647</v>
      </c>
    </row>
    <row r="148" spans="1:12" x14ac:dyDescent="0.25">
      <c r="A148" t="s">
        <v>473</v>
      </c>
      <c r="B148" t="s">
        <v>474</v>
      </c>
      <c r="C148">
        <v>9695.0168673461303</v>
      </c>
      <c r="D148">
        <v>2539.1785723968155</v>
      </c>
      <c r="E148">
        <v>4851.3644046551963</v>
      </c>
      <c r="F148">
        <v>6689.7096879090714</v>
      </c>
      <c r="G148">
        <v>23775.269532307215</v>
      </c>
      <c r="H148">
        <v>15484.92141711009</v>
      </c>
      <c r="I148">
        <v>4080.5730243715007</v>
      </c>
      <c r="J148">
        <v>9914.4559658216021</v>
      </c>
      <c r="K148">
        <v>13669.766687925108</v>
      </c>
      <c r="L148">
        <v>43149.717095228305</v>
      </c>
    </row>
    <row r="149" spans="1:12" x14ac:dyDescent="0.25">
      <c r="A149" t="s">
        <v>177</v>
      </c>
      <c r="B149" t="s">
        <v>178</v>
      </c>
      <c r="C149">
        <v>329630.57348976831</v>
      </c>
      <c r="D149">
        <v>0</v>
      </c>
      <c r="E149">
        <v>160231.57564492468</v>
      </c>
      <c r="F149">
        <v>220948.71349433751</v>
      </c>
      <c r="G149">
        <v>710810.86262903048</v>
      </c>
      <c r="H149">
        <v>378520.30130713544</v>
      </c>
      <c r="I149">
        <v>0</v>
      </c>
      <c r="J149">
        <v>181145.73406173909</v>
      </c>
      <c r="K149">
        <v>249758.52731337442</v>
      </c>
      <c r="L149">
        <v>809424.562682249</v>
      </c>
    </row>
    <row r="150" spans="1:12" x14ac:dyDescent="0.25">
      <c r="A150" t="s">
        <v>475</v>
      </c>
      <c r="B150" t="s">
        <v>476</v>
      </c>
      <c r="C150">
        <v>134114.39999828811</v>
      </c>
      <c r="D150">
        <v>30928.722426136457</v>
      </c>
      <c r="E150">
        <v>65192.258718278186</v>
      </c>
      <c r="F150">
        <v>89895.800098186315</v>
      </c>
      <c r="G150">
        <v>320131.18124088907</v>
      </c>
      <c r="H150">
        <v>183238.23676913598</v>
      </c>
      <c r="I150">
        <v>48286.780788396092</v>
      </c>
      <c r="J150">
        <v>89285.126709115662</v>
      </c>
      <c r="K150">
        <v>123103.76434399743</v>
      </c>
      <c r="L150">
        <v>443913.90861064522</v>
      </c>
    </row>
    <row r="151" spans="1:12" x14ac:dyDescent="0.25">
      <c r="A151" t="s">
        <v>477</v>
      </c>
      <c r="B151" t="s">
        <v>478</v>
      </c>
      <c r="C151">
        <v>53322.592770403709</v>
      </c>
      <c r="D151">
        <v>13965.48214818248</v>
      </c>
      <c r="E151">
        <v>30124.243125256035</v>
      </c>
      <c r="F151">
        <v>41539.332910671445</v>
      </c>
      <c r="G151">
        <v>138951.65095451367</v>
      </c>
      <c r="H151">
        <v>45324.203854843152</v>
      </c>
      <c r="I151">
        <v>11870.659825955108</v>
      </c>
      <c r="J151">
        <v>25605.606656467629</v>
      </c>
      <c r="K151">
        <v>35308.432974070725</v>
      </c>
      <c r="L151">
        <v>118108.90331133662</v>
      </c>
    </row>
    <row r="152" spans="1:12" x14ac:dyDescent="0.25">
      <c r="A152" t="s">
        <v>479</v>
      </c>
      <c r="B152" t="s">
        <v>480</v>
      </c>
      <c r="C152">
        <v>1181113.1360264132</v>
      </c>
      <c r="D152">
        <v>307098.88467863784</v>
      </c>
      <c r="E152">
        <v>684661.30646790774</v>
      </c>
      <c r="F152">
        <v>927268.88607947784</v>
      </c>
      <c r="G152">
        <v>3100142.2132524364</v>
      </c>
      <c r="H152">
        <v>1185456.7618209831</v>
      </c>
      <c r="I152">
        <v>261034.05197684217</v>
      </c>
      <c r="J152">
        <v>708732.68451655412</v>
      </c>
      <c r="K152">
        <v>977180.23811357701</v>
      </c>
      <c r="L152">
        <v>3132403.7364279563</v>
      </c>
    </row>
    <row r="153" spans="1:12" x14ac:dyDescent="0.25">
      <c r="A153" t="s">
        <v>481</v>
      </c>
      <c r="B153" t="s">
        <v>482</v>
      </c>
      <c r="C153">
        <v>87255.151806115144</v>
      </c>
      <c r="D153">
        <v>22852.607151571341</v>
      </c>
      <c r="E153">
        <v>42414.240611891859</v>
      </c>
      <c r="F153">
        <v>58486.424160265815</v>
      </c>
      <c r="G153">
        <v>211008.42372984416</v>
      </c>
      <c r="H153">
        <v>108394.44991977059</v>
      </c>
      <c r="I153">
        <v>28564.011170600497</v>
      </c>
      <c r="J153">
        <v>57152.240731951439</v>
      </c>
      <c r="K153">
        <v>78799.865488450363</v>
      </c>
      <c r="L153">
        <v>272910.56731077284</v>
      </c>
    </row>
    <row r="154" spans="1:12" x14ac:dyDescent="0.25">
      <c r="A154" t="s">
        <v>483</v>
      </c>
      <c r="B154" t="s">
        <v>484</v>
      </c>
      <c r="C154">
        <v>210866.61686477831</v>
      </c>
      <c r="D154">
        <v>55227.133949630741</v>
      </c>
      <c r="E154">
        <v>143574.11900294817</v>
      </c>
      <c r="F154">
        <v>197979.18579470145</v>
      </c>
      <c r="G154">
        <v>607647.05561205861</v>
      </c>
      <c r="H154">
        <v>234854.64149283635</v>
      </c>
      <c r="I154">
        <v>61888.690869634411</v>
      </c>
      <c r="J154">
        <v>164838.64514087871</v>
      </c>
      <c r="K154">
        <v>227274.78219656026</v>
      </c>
      <c r="L154">
        <v>688856.75969990971</v>
      </c>
    </row>
    <row r="155" spans="1:12" x14ac:dyDescent="0.25">
      <c r="A155" t="s">
        <v>485</v>
      </c>
      <c r="B155" t="s">
        <v>486</v>
      </c>
      <c r="C155">
        <v>342557.26264622988</v>
      </c>
      <c r="D155">
        <v>89717.642891354131</v>
      </c>
      <c r="E155">
        <v>177548.81918119756</v>
      </c>
      <c r="F155">
        <v>244828.04355276845</v>
      </c>
      <c r="G155">
        <v>854651.76827154995</v>
      </c>
      <c r="H155">
        <v>291173.67324929539</v>
      </c>
      <c r="I155">
        <v>76259.99645765101</v>
      </c>
      <c r="J155">
        <v>150916.49630401793</v>
      </c>
      <c r="K155">
        <v>208103.83701985318</v>
      </c>
      <c r="L155">
        <v>726454.00303081749</v>
      </c>
    </row>
    <row r="156" spans="1:12" x14ac:dyDescent="0.25">
      <c r="A156" t="s">
        <v>179</v>
      </c>
      <c r="B156" t="s">
        <v>180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</row>
    <row r="157" spans="1:12" x14ac:dyDescent="0.25">
      <c r="A157" t="s">
        <v>487</v>
      </c>
      <c r="B157" t="s">
        <v>488</v>
      </c>
      <c r="C157">
        <v>771561.75902629609</v>
      </c>
      <c r="D157">
        <v>182966.97737669139</v>
      </c>
      <c r="E157">
        <v>426891.4772696892</v>
      </c>
      <c r="F157">
        <v>588655.02835378633</v>
      </c>
      <c r="G157">
        <v>1970075.2420264629</v>
      </c>
      <c r="H157">
        <v>794892.63274498458</v>
      </c>
      <c r="I157">
        <v>155521.93077018767</v>
      </c>
      <c r="J157">
        <v>428368.49157099891</v>
      </c>
      <c r="K157">
        <v>590622.15379446826</v>
      </c>
      <c r="L157">
        <v>1969405.2088806396</v>
      </c>
    </row>
    <row r="158" spans="1:12" x14ac:dyDescent="0.25">
      <c r="A158" t="s">
        <v>290</v>
      </c>
      <c r="B158" t="s">
        <v>291</v>
      </c>
      <c r="C158">
        <v>1535044.337329804</v>
      </c>
      <c r="D158">
        <v>0</v>
      </c>
      <c r="E158">
        <v>983578.38530076959</v>
      </c>
      <c r="F158">
        <v>1356289.3454572752</v>
      </c>
      <c r="G158">
        <v>3874912.0680878488</v>
      </c>
      <c r="H158">
        <v>2003576.7766916335</v>
      </c>
      <c r="I158">
        <v>0</v>
      </c>
      <c r="J158">
        <v>1309807.1657214162</v>
      </c>
      <c r="K158">
        <v>1805924.4423806833</v>
      </c>
      <c r="L158">
        <v>5119308.3847937332</v>
      </c>
    </row>
    <row r="159" spans="1:12" x14ac:dyDescent="0.25">
      <c r="A159" t="s">
        <v>489</v>
      </c>
      <c r="B159" t="s">
        <v>490</v>
      </c>
      <c r="C159">
        <v>167239.04096172069</v>
      </c>
      <c r="D159">
        <v>0</v>
      </c>
      <c r="E159">
        <v>81293.961172792726</v>
      </c>
      <c r="F159">
        <v>112098.97964050947</v>
      </c>
      <c r="G159">
        <v>360631.98177502287</v>
      </c>
      <c r="H159">
        <v>191840.97088975273</v>
      </c>
      <c r="I159">
        <v>0</v>
      </c>
      <c r="J159">
        <v>91807.951581290457</v>
      </c>
      <c r="K159">
        <v>126582.16270655111</v>
      </c>
      <c r="L159">
        <v>410231.08517759433</v>
      </c>
    </row>
    <row r="160" spans="1:12" x14ac:dyDescent="0.25">
      <c r="A160" t="s">
        <v>491</v>
      </c>
      <c r="B160" t="s">
        <v>492</v>
      </c>
      <c r="C160">
        <v>77104.505171821205</v>
      </c>
      <c r="D160">
        <v>19583.010179362784</v>
      </c>
      <c r="E160">
        <v>34555.936446761589</v>
      </c>
      <c r="F160">
        <v>46800.723793968049</v>
      </c>
      <c r="G160">
        <v>178044.17559191363</v>
      </c>
      <c r="H160">
        <v>65538.829396048022</v>
      </c>
      <c r="I160">
        <v>16645.558652458367</v>
      </c>
      <c r="J160">
        <v>29372.545979747349</v>
      </c>
      <c r="K160">
        <v>39780.615224872839</v>
      </c>
      <c r="L160">
        <v>151337.54925312658</v>
      </c>
    </row>
    <row r="161" spans="1:12" x14ac:dyDescent="0.25">
      <c r="A161" t="s">
        <v>493</v>
      </c>
      <c r="B161" t="s">
        <v>494</v>
      </c>
      <c r="C161">
        <v>39165.650154321884</v>
      </c>
      <c r="D161">
        <v>6639.1110930648738</v>
      </c>
      <c r="E161">
        <v>18850.773605285267</v>
      </c>
      <c r="F161">
        <v>25993.966293451467</v>
      </c>
      <c r="G161">
        <v>90649.501146123483</v>
      </c>
      <c r="H161">
        <v>33290.802631173603</v>
      </c>
      <c r="I161">
        <v>5643.2444291051424</v>
      </c>
      <c r="J161">
        <v>16023.157564492476</v>
      </c>
      <c r="K161">
        <v>22094.871349433746</v>
      </c>
      <c r="L161">
        <v>77052.07597420497</v>
      </c>
    </row>
    <row r="162" spans="1:12" x14ac:dyDescent="0.25">
      <c r="A162" t="s">
        <v>495</v>
      </c>
      <c r="B162" t="s">
        <v>496</v>
      </c>
      <c r="C162">
        <v>66676.470158914773</v>
      </c>
      <c r="D162">
        <v>17336.416805081826</v>
      </c>
      <c r="E162">
        <v>44631.800745773297</v>
      </c>
      <c r="F162">
        <v>60446.938902913309</v>
      </c>
      <c r="G162">
        <v>189091.62661268321</v>
      </c>
      <c r="H162">
        <v>60219.138844317014</v>
      </c>
      <c r="I162">
        <v>15868.895094778052</v>
      </c>
      <c r="J162">
        <v>42603.510808411607</v>
      </c>
      <c r="K162">
        <v>58740.495176451295</v>
      </c>
      <c r="L162">
        <v>177432.03992395796</v>
      </c>
    </row>
    <row r="163" spans="1:12" x14ac:dyDescent="0.25">
      <c r="A163" t="s">
        <v>497</v>
      </c>
      <c r="B163" t="s">
        <v>498</v>
      </c>
      <c r="C163">
        <v>253686.27469555702</v>
      </c>
      <c r="D163">
        <v>66441.839311050004</v>
      </c>
      <c r="E163">
        <v>159308.73209583346</v>
      </c>
      <c r="F163">
        <v>219676.17345903194</v>
      </c>
      <c r="G163">
        <v>699113.01956147247</v>
      </c>
      <c r="H163">
        <v>233994.36808077476</v>
      </c>
      <c r="I163">
        <v>61661.992368280458</v>
      </c>
      <c r="J163">
        <v>143377.85888625012</v>
      </c>
      <c r="K163">
        <v>197708.55611312875</v>
      </c>
      <c r="L163">
        <v>636742.77544843405</v>
      </c>
    </row>
    <row r="164" spans="1:12" x14ac:dyDescent="0.25">
      <c r="A164" t="s">
        <v>499</v>
      </c>
      <c r="B164" t="s">
        <v>500</v>
      </c>
      <c r="C164">
        <v>215795.0528110677</v>
      </c>
      <c r="D164">
        <v>56108.443819699081</v>
      </c>
      <c r="E164">
        <v>100472.86868087744</v>
      </c>
      <c r="F164">
        <v>136075.1135529431</v>
      </c>
      <c r="G164">
        <v>508451.47886458732</v>
      </c>
      <c r="H164">
        <v>183425.79488940752</v>
      </c>
      <c r="I164">
        <v>47692.177246744221</v>
      </c>
      <c r="J164">
        <v>85401.938378745821</v>
      </c>
      <c r="K164">
        <v>115663.84652000164</v>
      </c>
      <c r="L164">
        <v>432183.7570348992</v>
      </c>
    </row>
    <row r="165" spans="1:12" x14ac:dyDescent="0.25">
      <c r="A165" t="s">
        <v>181</v>
      </c>
      <c r="B165" t="s">
        <v>182</v>
      </c>
      <c r="C165">
        <v>243991.25782821089</v>
      </c>
      <c r="D165">
        <v>0</v>
      </c>
      <c r="E165">
        <v>118602.78393325309</v>
      </c>
      <c r="F165">
        <v>163545.37126296549</v>
      </c>
      <c r="G165">
        <v>526139.41302442946</v>
      </c>
      <c r="H165">
        <v>207392.56915397925</v>
      </c>
      <c r="I165">
        <v>0</v>
      </c>
      <c r="J165">
        <v>100812.36634326512</v>
      </c>
      <c r="K165">
        <v>139013.56557352067</v>
      </c>
      <c r="L165">
        <v>447218.50107076502</v>
      </c>
    </row>
    <row r="166" spans="1:12" x14ac:dyDescent="0.25">
      <c r="A166" t="s">
        <v>501</v>
      </c>
      <c r="B166" t="s">
        <v>502</v>
      </c>
      <c r="C166">
        <v>137346.07228740345</v>
      </c>
      <c r="D166">
        <v>35971.696442288201</v>
      </c>
      <c r="E166">
        <v>87755.348551230549</v>
      </c>
      <c r="F166">
        <v>121008.80420478916</v>
      </c>
      <c r="G166">
        <v>382081.92148571135</v>
      </c>
      <c r="H166">
        <v>142805.38640223743</v>
      </c>
      <c r="I166">
        <v>37631.951224759388</v>
      </c>
      <c r="J166">
        <v>89041.146048551265</v>
      </c>
      <c r="K166">
        <v>122767.37082752226</v>
      </c>
      <c r="L166">
        <v>392245.85450307035</v>
      </c>
    </row>
    <row r="167" spans="1:12" x14ac:dyDescent="0.25">
      <c r="A167" t="s">
        <v>503</v>
      </c>
      <c r="B167" t="s">
        <v>504</v>
      </c>
      <c r="C167">
        <v>299850.85344597133</v>
      </c>
      <c r="D167">
        <v>76156.150697521938</v>
      </c>
      <c r="E167">
        <v>137299.1975059282</v>
      </c>
      <c r="F167">
        <v>180918.07877728579</v>
      </c>
      <c r="G167">
        <v>694224.28042670724</v>
      </c>
      <c r="H167">
        <v>356153.19259353221</v>
      </c>
      <c r="I167">
        <v>93853.179560544508</v>
      </c>
      <c r="J167">
        <v>191909.35182546006</v>
      </c>
      <c r="K167">
        <v>264599.09386138263</v>
      </c>
      <c r="L167">
        <v>906514.81784091936</v>
      </c>
    </row>
    <row r="168" spans="1:12" x14ac:dyDescent="0.25">
      <c r="A168" t="s">
        <v>183</v>
      </c>
      <c r="B168" t="s">
        <v>184</v>
      </c>
      <c r="C168">
        <v>508988.38553567178</v>
      </c>
      <c r="D168">
        <v>0</v>
      </c>
      <c r="E168">
        <v>247416.40356936914</v>
      </c>
      <c r="F168">
        <v>341170.80760155054</v>
      </c>
      <c r="G168">
        <v>1097575.5967065915</v>
      </c>
      <c r="H168">
        <v>496377.75875958451</v>
      </c>
      <c r="I168">
        <v>0</v>
      </c>
      <c r="J168">
        <v>237547.92853096235</v>
      </c>
      <c r="K168">
        <v>327524.2505904932</v>
      </c>
      <c r="L168">
        <v>1061449.9378810399</v>
      </c>
    </row>
    <row r="169" spans="1:12" x14ac:dyDescent="0.25">
      <c r="A169" t="s">
        <v>505</v>
      </c>
      <c r="B169" t="s">
        <v>506</v>
      </c>
      <c r="C169">
        <v>324783.06505609531</v>
      </c>
      <c r="D169">
        <v>85062.482175293306</v>
      </c>
      <c r="E169">
        <v>163163.16548388416</v>
      </c>
      <c r="F169">
        <v>224991.18140869256</v>
      </c>
      <c r="G169">
        <v>797999.89412396541</v>
      </c>
      <c r="H169">
        <v>298514.8739853999</v>
      </c>
      <c r="I169">
        <v>72303.109848999302</v>
      </c>
      <c r="J169">
        <v>142858.11299868961</v>
      </c>
      <c r="K169">
        <v>196968.65676759297</v>
      </c>
      <c r="L169">
        <v>710644.75360068178</v>
      </c>
    </row>
    <row r="170" spans="1:12" x14ac:dyDescent="0.25">
      <c r="A170" t="s">
        <v>507</v>
      </c>
      <c r="B170" t="s">
        <v>508</v>
      </c>
      <c r="C170">
        <v>0</v>
      </c>
      <c r="D170">
        <v>1387.7069928850631</v>
      </c>
      <c r="E170">
        <v>0</v>
      </c>
      <c r="F170">
        <v>0</v>
      </c>
      <c r="G170">
        <v>1387.7069928850631</v>
      </c>
      <c r="H170">
        <v>0</v>
      </c>
      <c r="I170">
        <v>1179.5509439523037</v>
      </c>
      <c r="J170">
        <v>0</v>
      </c>
      <c r="K170">
        <v>0</v>
      </c>
      <c r="L170">
        <v>1179.5509439523037</v>
      </c>
    </row>
    <row r="171" spans="1:12" x14ac:dyDescent="0.25">
      <c r="A171" t="s">
        <v>185</v>
      </c>
      <c r="B171" t="s">
        <v>186</v>
      </c>
      <c r="C171">
        <v>1475258.399981169</v>
      </c>
      <c r="D171">
        <v>0</v>
      </c>
      <c r="E171">
        <v>939985.9713385473</v>
      </c>
      <c r="F171">
        <v>1296178.2984036685</v>
      </c>
      <c r="G171">
        <v>3711422.669723385</v>
      </c>
      <c r="H171">
        <v>1286969.0244442599</v>
      </c>
      <c r="I171">
        <v>0</v>
      </c>
      <c r="J171">
        <v>798988.07563776523</v>
      </c>
      <c r="K171">
        <v>1101751.5536431181</v>
      </c>
      <c r="L171">
        <v>3187708.6537251435</v>
      </c>
    </row>
    <row r="172" spans="1:12" x14ac:dyDescent="0.25">
      <c r="A172" t="s">
        <v>509</v>
      </c>
      <c r="B172" t="s">
        <v>510</v>
      </c>
      <c r="C172">
        <v>50898.838553567177</v>
      </c>
      <c r="D172">
        <v>13330.687505083279</v>
      </c>
      <c r="E172">
        <v>36654.062739125584</v>
      </c>
      <c r="F172">
        <v>50543.520988006043</v>
      </c>
      <c r="G172">
        <v>151427.10978578209</v>
      </c>
      <c r="H172">
        <v>62799.959080502042</v>
      </c>
      <c r="I172">
        <v>16548.990598839966</v>
      </c>
      <c r="J172">
        <v>50536.829401130482</v>
      </c>
      <c r="K172">
        <v>69678.726643442191</v>
      </c>
      <c r="L172">
        <v>199564.50572391468</v>
      </c>
    </row>
    <row r="173" spans="1:12" x14ac:dyDescent="0.25">
      <c r="A173" t="s">
        <v>187</v>
      </c>
      <c r="B173" t="s">
        <v>188</v>
      </c>
      <c r="C173">
        <v>844274.38553139195</v>
      </c>
      <c r="D173">
        <v>0</v>
      </c>
      <c r="E173">
        <v>0</v>
      </c>
      <c r="F173">
        <v>0</v>
      </c>
      <c r="G173">
        <v>844274.38553139195</v>
      </c>
      <c r="H173">
        <v>852530.95135311654</v>
      </c>
      <c r="I173">
        <v>0</v>
      </c>
      <c r="J173">
        <v>0</v>
      </c>
      <c r="K173">
        <v>0</v>
      </c>
      <c r="L173">
        <v>852530.95135311654</v>
      </c>
    </row>
    <row r="174" spans="1:12" x14ac:dyDescent="0.25">
      <c r="A174" t="s">
        <v>189</v>
      </c>
      <c r="B174" t="s">
        <v>190</v>
      </c>
      <c r="C174">
        <v>452434.12047615269</v>
      </c>
      <c r="D174">
        <v>0</v>
      </c>
      <c r="E174">
        <v>219925.69206166142</v>
      </c>
      <c r="F174">
        <v>303262.94009026705</v>
      </c>
      <c r="G174">
        <v>975622.75262808125</v>
      </c>
      <c r="H174">
        <v>384569.00240472978</v>
      </c>
      <c r="I174">
        <v>0</v>
      </c>
      <c r="J174">
        <v>186936.83825241221</v>
      </c>
      <c r="K174">
        <v>257773.49907672699</v>
      </c>
      <c r="L174">
        <v>829279.33973386895</v>
      </c>
    </row>
    <row r="175" spans="1:12" x14ac:dyDescent="0.25">
      <c r="A175" t="s">
        <v>191</v>
      </c>
      <c r="B175" t="s">
        <v>192</v>
      </c>
      <c r="C175">
        <v>9695.0168673461303</v>
      </c>
      <c r="D175">
        <v>0</v>
      </c>
      <c r="E175">
        <v>4712.6934013213167</v>
      </c>
      <c r="F175">
        <v>6498.4915733628668</v>
      </c>
      <c r="G175">
        <v>20906.201842030314</v>
      </c>
      <c r="H175">
        <v>14624.648005048422</v>
      </c>
      <c r="I175">
        <v>0</v>
      </c>
      <c r="J175">
        <v>6998.8124523853721</v>
      </c>
      <c r="K175">
        <v>9649.7612825621909</v>
      </c>
      <c r="L175">
        <v>31273.221739995985</v>
      </c>
    </row>
    <row r="176" spans="1:12" x14ac:dyDescent="0.25">
      <c r="A176" t="s">
        <v>511</v>
      </c>
      <c r="B176" t="s">
        <v>512</v>
      </c>
      <c r="C176">
        <v>64488.790287059564</v>
      </c>
      <c r="D176">
        <v>16702.157653676386</v>
      </c>
      <c r="E176">
        <v>34381.881705910215</v>
      </c>
      <c r="F176">
        <v>46564.993303371579</v>
      </c>
      <c r="G176">
        <v>162137.82295001775</v>
      </c>
      <c r="H176">
        <v>98071.168975030509</v>
      </c>
      <c r="I176">
        <v>25843.629154352828</v>
      </c>
      <c r="J176">
        <v>64963.903496453851</v>
      </c>
      <c r="K176">
        <v>89570.361399029644</v>
      </c>
      <c r="L176">
        <v>278449.06302486686</v>
      </c>
    </row>
    <row r="177" spans="1:12" x14ac:dyDescent="0.25">
      <c r="A177" t="s">
        <v>513</v>
      </c>
      <c r="B177" t="s">
        <v>514</v>
      </c>
      <c r="C177">
        <v>171278.63132311494</v>
      </c>
      <c r="D177">
        <v>44858.821445677066</v>
      </c>
      <c r="E177">
        <v>96782.188763790196</v>
      </c>
      <c r="F177">
        <v>133456.21804227008</v>
      </c>
      <c r="G177">
        <v>446375.85957485228</v>
      </c>
      <c r="H177">
        <v>164312.2217037793</v>
      </c>
      <c r="I177">
        <v>43299.413758608694</v>
      </c>
      <c r="J177">
        <v>87241.452888276603</v>
      </c>
      <c r="K177">
        <v>120286.00566783841</v>
      </c>
      <c r="L177">
        <v>415139.09401850298</v>
      </c>
    </row>
    <row r="178" spans="1:12" x14ac:dyDescent="0.25">
      <c r="A178" t="s">
        <v>515</v>
      </c>
      <c r="B178" t="s">
        <v>516</v>
      </c>
      <c r="C178">
        <v>158351.94216665343</v>
      </c>
      <c r="D178">
        <v>41473.250015814636</v>
      </c>
      <c r="E178">
        <v>118167.02670152215</v>
      </c>
      <c r="F178">
        <v>162944.49094733928</v>
      </c>
      <c r="G178">
        <v>480936.70983132947</v>
      </c>
      <c r="H178">
        <v>171194.40900027266</v>
      </c>
      <c r="I178">
        <v>45113.001769440474</v>
      </c>
      <c r="J178">
        <v>128010.13238095408</v>
      </c>
      <c r="K178">
        <v>176496.68820663722</v>
      </c>
      <c r="L178">
        <v>520814.23135730444</v>
      </c>
    </row>
    <row r="179" spans="1:12" x14ac:dyDescent="0.25">
      <c r="A179" t="s">
        <v>292</v>
      </c>
      <c r="B179" t="s">
        <v>293</v>
      </c>
      <c r="C179">
        <v>33124.640963432605</v>
      </c>
      <c r="D179">
        <v>0</v>
      </c>
      <c r="E179">
        <v>16101.702454514492</v>
      </c>
      <c r="F179">
        <v>22203.179542323138</v>
      </c>
      <c r="G179">
        <v>71429.522960270231</v>
      </c>
      <c r="H179">
        <v>28389.022598035164</v>
      </c>
      <c r="I179">
        <v>0</v>
      </c>
      <c r="J179">
        <v>13686.447086337319</v>
      </c>
      <c r="K179">
        <v>18872.702610974666</v>
      </c>
      <c r="L179">
        <v>60948.172295347147</v>
      </c>
    </row>
    <row r="180" spans="1:12" x14ac:dyDescent="0.25">
      <c r="A180" t="s">
        <v>517</v>
      </c>
      <c r="B180" t="s">
        <v>518</v>
      </c>
      <c r="C180">
        <v>210600.07037998692</v>
      </c>
      <c r="D180">
        <v>54757.706738002329</v>
      </c>
      <c r="E180">
        <v>132952.33931720001</v>
      </c>
      <c r="F180">
        <v>180063.58241028996</v>
      </c>
      <c r="G180">
        <v>578373.69884547917</v>
      </c>
      <c r="H180">
        <v>189540.06334198822</v>
      </c>
      <c r="I180">
        <v>49281.936064202098</v>
      </c>
      <c r="J180">
        <v>119657.10538548001</v>
      </c>
      <c r="K180">
        <v>162057.22416926097</v>
      </c>
      <c r="L180">
        <v>520536.32896093128</v>
      </c>
    </row>
    <row r="181" spans="1:12" x14ac:dyDescent="0.25">
      <c r="A181" t="s">
        <v>193</v>
      </c>
      <c r="B181" t="s">
        <v>194</v>
      </c>
      <c r="C181">
        <v>961422.50601182424</v>
      </c>
      <c r="D181">
        <v>0</v>
      </c>
      <c r="E181">
        <v>565326.84593350277</v>
      </c>
      <c r="F181">
        <v>779548.21832132072</v>
      </c>
      <c r="G181">
        <v>2306297.5702666477</v>
      </c>
      <c r="H181">
        <v>947161.02667990036</v>
      </c>
      <c r="I181">
        <v>0</v>
      </c>
      <c r="J181">
        <v>537673.47428325249</v>
      </c>
      <c r="K181">
        <v>741328.71970742487</v>
      </c>
      <c r="L181">
        <v>2226163.2206705776</v>
      </c>
    </row>
    <row r="182" spans="1:12" x14ac:dyDescent="0.25">
      <c r="A182" t="s">
        <v>519</v>
      </c>
      <c r="B182" t="s">
        <v>520</v>
      </c>
      <c r="C182">
        <v>402498.20400808321</v>
      </c>
      <c r="D182">
        <v>104652.75998189636</v>
      </c>
      <c r="E182">
        <v>260951.27917541607</v>
      </c>
      <c r="F182">
        <v>353418.54384952731</v>
      </c>
      <c r="G182">
        <v>1121520.7870149231</v>
      </c>
      <c r="H182">
        <v>362248.38360727491</v>
      </c>
      <c r="I182">
        <v>94187.483983706727</v>
      </c>
      <c r="J182">
        <v>234856.15125787447</v>
      </c>
      <c r="K182">
        <v>318076.68946457456</v>
      </c>
      <c r="L182">
        <v>1009368.7083134307</v>
      </c>
    </row>
    <row r="183" spans="1:12" x14ac:dyDescent="0.25">
      <c r="A183" t="s">
        <v>521</v>
      </c>
      <c r="B183" t="s">
        <v>522</v>
      </c>
      <c r="C183">
        <v>117956.03855271124</v>
      </c>
      <c r="D183">
        <v>30893.339297494589</v>
      </c>
      <c r="E183">
        <v>57571.754943451611</v>
      </c>
      <c r="F183">
        <v>79387.63091586571</v>
      </c>
      <c r="G183">
        <v>285808.76370952313</v>
      </c>
      <c r="H183">
        <v>112695.81698007898</v>
      </c>
      <c r="I183">
        <v>26259.338402870399</v>
      </c>
      <c r="J183">
        <v>53932.025368381408</v>
      </c>
      <c r="K183">
        <v>74359.925177390993</v>
      </c>
      <c r="L183">
        <v>267247.10592872178</v>
      </c>
    </row>
    <row r="184" spans="1:12" x14ac:dyDescent="0.25">
      <c r="A184" t="s">
        <v>523</v>
      </c>
      <c r="B184" t="s">
        <v>524</v>
      </c>
      <c r="C184">
        <v>14636.298327566663</v>
      </c>
      <c r="D184">
        <v>3805.5549084325935</v>
      </c>
      <c r="E184">
        <v>11652.788424494389</v>
      </c>
      <c r="F184">
        <v>15781.9173363892</v>
      </c>
      <c r="G184">
        <v>45876.558996882843</v>
      </c>
      <c r="H184">
        <v>16345.194829171758</v>
      </c>
      <c r="I184">
        <v>4307.2715257254713</v>
      </c>
      <c r="J184">
        <v>12433.081550525007</v>
      </c>
      <c r="K184">
        <v>17142.375193709267</v>
      </c>
      <c r="L184">
        <v>50227.923099131505</v>
      </c>
    </row>
    <row r="185" spans="1:12" x14ac:dyDescent="0.25">
      <c r="A185" t="s">
        <v>525</v>
      </c>
      <c r="B185" t="s">
        <v>526</v>
      </c>
      <c r="C185">
        <v>68673.036143701727</v>
      </c>
      <c r="D185">
        <v>0</v>
      </c>
      <c r="E185">
        <v>33381.578259359303</v>
      </c>
      <c r="F185">
        <v>46030.981977986987</v>
      </c>
      <c r="G185">
        <v>148085.59638104803</v>
      </c>
      <c r="H185">
        <v>67961.599552872023</v>
      </c>
      <c r="I185">
        <v>0</v>
      </c>
      <c r="J185">
        <v>32523.893161084965</v>
      </c>
      <c r="K185">
        <v>44843.008313083112</v>
      </c>
      <c r="L185">
        <v>145328.5010270401</v>
      </c>
    </row>
    <row r="186" spans="1:12" x14ac:dyDescent="0.25">
      <c r="A186" t="s">
        <v>294</v>
      </c>
      <c r="B186" t="s">
        <v>295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20646.561889480115</v>
      </c>
      <c r="I186">
        <v>0</v>
      </c>
      <c r="J186">
        <v>9880.6764033675863</v>
      </c>
      <c r="K186">
        <v>13623.192398911327</v>
      </c>
      <c r="L186">
        <v>44150.430691759029</v>
      </c>
    </row>
    <row r="187" spans="1:12" x14ac:dyDescent="0.25">
      <c r="A187" t="s">
        <v>527</v>
      </c>
      <c r="B187" t="s">
        <v>528</v>
      </c>
      <c r="C187">
        <v>25045.460240644166</v>
      </c>
      <c r="D187">
        <v>6559.5446453584391</v>
      </c>
      <c r="E187">
        <v>16337.445123804338</v>
      </c>
      <c r="F187">
        <v>22528.253044756493</v>
      </c>
      <c r="G187">
        <v>70470.703054563433</v>
      </c>
      <c r="H187">
        <v>30969.842834220181</v>
      </c>
      <c r="I187">
        <v>8161.1460487430013</v>
      </c>
      <c r="J187">
        <v>22156.428766911478</v>
      </c>
      <c r="K187">
        <v>30548.646635318761</v>
      </c>
      <c r="L187">
        <v>91836.064285193424</v>
      </c>
    </row>
    <row r="188" spans="1:12" x14ac:dyDescent="0.25">
      <c r="A188" t="s">
        <v>529</v>
      </c>
      <c r="B188" t="s">
        <v>530</v>
      </c>
      <c r="C188">
        <v>60171.448679996261</v>
      </c>
      <c r="D188">
        <v>15645.059068000668</v>
      </c>
      <c r="E188">
        <v>30284.323765961064</v>
      </c>
      <c r="F188">
        <v>41015.478600657952</v>
      </c>
      <c r="G188">
        <v>147116.31011461595</v>
      </c>
      <c r="H188">
        <v>51145.731377996824</v>
      </c>
      <c r="I188">
        <v>13298.300207800568</v>
      </c>
      <c r="J188">
        <v>25741.675201066904</v>
      </c>
      <c r="K188">
        <v>34863.15681055926</v>
      </c>
      <c r="L188">
        <v>125048.86359742355</v>
      </c>
    </row>
    <row r="189" spans="1:12" x14ac:dyDescent="0.25">
      <c r="A189" t="s">
        <v>531</v>
      </c>
      <c r="B189" t="s">
        <v>532</v>
      </c>
      <c r="C189">
        <v>246332.51475376848</v>
      </c>
      <c r="D189">
        <v>64048.428752107844</v>
      </c>
      <c r="E189">
        <v>216910.63543749013</v>
      </c>
      <c r="F189">
        <v>293772.23658007465</v>
      </c>
      <c r="G189">
        <v>821063.81552344107</v>
      </c>
      <c r="H189">
        <v>221699.26327839165</v>
      </c>
      <c r="I189">
        <v>57643.585876897057</v>
      </c>
      <c r="J189">
        <v>195219.57189374111</v>
      </c>
      <c r="K189">
        <v>264395.0129220672</v>
      </c>
      <c r="L189">
        <v>738957.43397109699</v>
      </c>
    </row>
    <row r="190" spans="1:12" x14ac:dyDescent="0.25">
      <c r="A190" t="s">
        <v>296</v>
      </c>
      <c r="B190" t="s">
        <v>297</v>
      </c>
      <c r="C190">
        <v>167239.04096172069</v>
      </c>
      <c r="D190">
        <v>0</v>
      </c>
      <c r="E190">
        <v>81293.961172792726</v>
      </c>
      <c r="F190">
        <v>112098.97964050947</v>
      </c>
      <c r="G190">
        <v>360631.98177502287</v>
      </c>
      <c r="H190">
        <v>152268.39393491583</v>
      </c>
      <c r="I190">
        <v>0</v>
      </c>
      <c r="J190">
        <v>72869.988474835933</v>
      </c>
      <c r="K190">
        <v>100471.04394197105</v>
      </c>
      <c r="L190">
        <v>325609.4263517228</v>
      </c>
    </row>
    <row r="191" spans="1:12" x14ac:dyDescent="0.25">
      <c r="A191" t="s">
        <v>533</v>
      </c>
      <c r="B191" t="s">
        <v>534</v>
      </c>
      <c r="C191">
        <v>725510.42890640197</v>
      </c>
      <c r="D191">
        <v>190015.19650102829</v>
      </c>
      <c r="E191">
        <v>403273.87319763488</v>
      </c>
      <c r="F191">
        <v>556087.91906502319</v>
      </c>
      <c r="G191">
        <v>1874887.4176700884</v>
      </c>
      <c r="H191">
        <v>652959.38601576176</v>
      </c>
      <c r="I191">
        <v>171013.67685092546</v>
      </c>
      <c r="J191">
        <v>362946.4858778714</v>
      </c>
      <c r="K191">
        <v>500479.12715852086</v>
      </c>
      <c r="L191">
        <v>1687398.6759030796</v>
      </c>
    </row>
    <row r="192" spans="1:12" x14ac:dyDescent="0.25">
      <c r="A192" t="s">
        <v>535</v>
      </c>
      <c r="B192" t="s">
        <v>536</v>
      </c>
      <c r="C192">
        <v>10570.659903242589</v>
      </c>
      <c r="D192">
        <v>2748.4563227568738</v>
      </c>
      <c r="E192">
        <v>5644.1116474905275</v>
      </c>
      <c r="F192">
        <v>7644.0848501814171</v>
      </c>
      <c r="G192">
        <v>26607.31272367141</v>
      </c>
      <c r="H192">
        <v>9513.5939129183298</v>
      </c>
      <c r="I192">
        <v>2473.6106904811863</v>
      </c>
      <c r="J192">
        <v>5079.7004827414748</v>
      </c>
      <c r="K192">
        <v>6882.4935632316647</v>
      </c>
      <c r="L192">
        <v>23949.398649372655</v>
      </c>
    </row>
    <row r="193" spans="1:12" x14ac:dyDescent="0.25">
      <c r="A193" t="s">
        <v>537</v>
      </c>
      <c r="B193" t="s">
        <v>538</v>
      </c>
      <c r="C193">
        <v>18582.115662413416</v>
      </c>
      <c r="D193">
        <v>0</v>
      </c>
      <c r="E193">
        <v>9032.6623525325231</v>
      </c>
      <c r="F193">
        <v>12455.44218227883</v>
      </c>
      <c r="G193">
        <v>40070.220197224771</v>
      </c>
      <c r="H193">
        <v>15794.798313051404</v>
      </c>
      <c r="I193">
        <v>0</v>
      </c>
      <c r="J193">
        <v>0</v>
      </c>
      <c r="K193">
        <v>0</v>
      </c>
      <c r="L193">
        <v>15794.798313051404</v>
      </c>
    </row>
    <row r="194" spans="1:12" x14ac:dyDescent="0.25">
      <c r="A194" t="s">
        <v>655</v>
      </c>
      <c r="B194" t="s">
        <v>656</v>
      </c>
      <c r="C194">
        <v>912526.7375883942</v>
      </c>
      <c r="D194">
        <v>225593.40680315011</v>
      </c>
      <c r="E194">
        <v>434478.05281586602</v>
      </c>
      <c r="F194">
        <v>577239.27160993672</v>
      </c>
      <c r="G194">
        <v>2149837.4688173472</v>
      </c>
      <c r="H194">
        <v>866900.40070897446</v>
      </c>
      <c r="I194">
        <v>214313.73646299259</v>
      </c>
      <c r="J194">
        <v>412754.15017507272</v>
      </c>
      <c r="K194">
        <v>548377.30802943988</v>
      </c>
      <c r="L194">
        <v>2042345.5953764794</v>
      </c>
    </row>
    <row r="195" spans="1:12" x14ac:dyDescent="0.25">
      <c r="A195" t="s">
        <v>539</v>
      </c>
      <c r="B195" t="s">
        <v>540</v>
      </c>
      <c r="C195">
        <v>2265402.2746698791</v>
      </c>
      <c r="D195">
        <v>507293.2160749216</v>
      </c>
      <c r="E195">
        <v>1622541.0656299179</v>
      </c>
      <c r="F195">
        <v>2237376.4946123902</v>
      </c>
      <c r="G195">
        <v>6632613.0509871086</v>
      </c>
      <c r="H195">
        <v>2082721.9306013067</v>
      </c>
      <c r="I195">
        <v>431199.23366368335</v>
      </c>
      <c r="J195">
        <v>1385559.0181472341</v>
      </c>
      <c r="K195">
        <v>1910368.9174390032</v>
      </c>
      <c r="L195">
        <v>5809849.0998512274</v>
      </c>
    </row>
    <row r="196" spans="1:12" x14ac:dyDescent="0.25">
      <c r="A196" t="s">
        <v>541</v>
      </c>
      <c r="B196" t="s">
        <v>542</v>
      </c>
      <c r="C196">
        <v>52220.866872429186</v>
      </c>
      <c r="D196">
        <v>13577.844056012593</v>
      </c>
      <c r="E196">
        <v>32895.541152987847</v>
      </c>
      <c r="F196">
        <v>44551.972652397075</v>
      </c>
      <c r="G196">
        <v>143246.2247338267</v>
      </c>
      <c r="H196">
        <v>44387.736841564809</v>
      </c>
      <c r="I196">
        <v>11541.167447610704</v>
      </c>
      <c r="J196">
        <v>27961.209980039668</v>
      </c>
      <c r="K196">
        <v>37869.176754537511</v>
      </c>
      <c r="L196">
        <v>121759.29102375268</v>
      </c>
    </row>
    <row r="197" spans="1:12" x14ac:dyDescent="0.25">
      <c r="A197" t="s">
        <v>195</v>
      </c>
      <c r="B197" t="s">
        <v>196</v>
      </c>
      <c r="C197">
        <v>8079.1807227884419</v>
      </c>
      <c r="D197">
        <v>0</v>
      </c>
      <c r="E197">
        <v>3927.244501101095</v>
      </c>
      <c r="F197">
        <v>5415.4096444690585</v>
      </c>
      <c r="G197">
        <v>17421.834868358594</v>
      </c>
      <c r="H197">
        <v>0</v>
      </c>
      <c r="I197">
        <v>0</v>
      </c>
      <c r="J197">
        <v>0</v>
      </c>
      <c r="K197">
        <v>0</v>
      </c>
      <c r="L197">
        <v>0</v>
      </c>
    </row>
    <row r="198" spans="1:12" x14ac:dyDescent="0.25">
      <c r="A198" t="s">
        <v>298</v>
      </c>
      <c r="B198" t="s">
        <v>299</v>
      </c>
      <c r="C198">
        <v>33022.018757565515</v>
      </c>
      <c r="D198">
        <v>0</v>
      </c>
      <c r="E198">
        <v>15009.144113239883</v>
      </c>
      <c r="F198">
        <v>20327.587102430563</v>
      </c>
      <c r="G198">
        <v>68358.749973235957</v>
      </c>
      <c r="H198">
        <v>28068.715943930685</v>
      </c>
      <c r="I198">
        <v>0</v>
      </c>
      <c r="J198">
        <v>12757.7724962539</v>
      </c>
      <c r="K198">
        <v>17278.449037065977</v>
      </c>
      <c r="L198">
        <v>58104.937477250562</v>
      </c>
    </row>
    <row r="199" spans="1:12" x14ac:dyDescent="0.25">
      <c r="A199" t="s">
        <v>197</v>
      </c>
      <c r="B199" t="s">
        <v>198</v>
      </c>
      <c r="C199">
        <v>515451.73011390259</v>
      </c>
      <c r="D199">
        <v>0</v>
      </c>
      <c r="E199">
        <v>250558.19917024989</v>
      </c>
      <c r="F199">
        <v>345503.13531712582</v>
      </c>
      <c r="G199">
        <v>1111513.0646012784</v>
      </c>
      <c r="H199">
        <v>459386.00204093277</v>
      </c>
      <c r="I199">
        <v>0</v>
      </c>
      <c r="J199">
        <v>0</v>
      </c>
      <c r="K199">
        <v>0</v>
      </c>
      <c r="L199">
        <v>459386.00204093277</v>
      </c>
    </row>
    <row r="200" spans="1:12" x14ac:dyDescent="0.25">
      <c r="A200" t="s">
        <v>87</v>
      </c>
      <c r="B200" t="s">
        <v>1406</v>
      </c>
      <c r="C200">
        <v>22450.489803870918</v>
      </c>
      <c r="D200">
        <v>0</v>
      </c>
      <c r="E200">
        <v>13059.260033584029</v>
      </c>
      <c r="F200">
        <v>18007.853271084059</v>
      </c>
      <c r="G200">
        <v>53517.603108539006</v>
      </c>
      <c r="H200">
        <v>23732.659631786646</v>
      </c>
      <c r="I200">
        <v>0</v>
      </c>
      <c r="J200">
        <v>13733.03213131986</v>
      </c>
      <c r="K200">
        <v>18936.940297682413</v>
      </c>
      <c r="L200">
        <v>56402.632060788921</v>
      </c>
    </row>
    <row r="201" spans="1:12" x14ac:dyDescent="0.25">
      <c r="A201" t="s">
        <v>543</v>
      </c>
      <c r="B201" t="s">
        <v>544</v>
      </c>
      <c r="C201">
        <v>201171.59999743209</v>
      </c>
      <c r="D201">
        <v>52687.955377233906</v>
      </c>
      <c r="E201">
        <v>102111.34173444932</v>
      </c>
      <c r="F201">
        <v>140804.76646752519</v>
      </c>
      <c r="G201">
        <v>496775.66357664054</v>
      </c>
      <c r="H201">
        <v>170995.85999781726</v>
      </c>
      <c r="I201">
        <v>44784.762070648816</v>
      </c>
      <c r="J201">
        <v>86794.640474281914</v>
      </c>
      <c r="K201">
        <v>119684.0514973964</v>
      </c>
      <c r="L201">
        <v>422259.31404014444</v>
      </c>
    </row>
    <row r="202" spans="1:12" x14ac:dyDescent="0.25">
      <c r="A202" t="s">
        <v>545</v>
      </c>
      <c r="B202" t="s">
        <v>546</v>
      </c>
      <c r="C202">
        <v>47667.166264451793</v>
      </c>
      <c r="D202">
        <v>12484.294647617675</v>
      </c>
      <c r="E202">
        <v>23890.783199550857</v>
      </c>
      <c r="F202">
        <v>32943.805183632598</v>
      </c>
      <c r="G202">
        <v>116986.04929525292</v>
      </c>
      <c r="H202">
        <v>55917.771784008648</v>
      </c>
      <c r="I202">
        <v>14735.402588008195</v>
      </c>
      <c r="J202">
        <v>28694.122402397192</v>
      </c>
      <c r="K202">
        <v>39562.630557614262</v>
      </c>
      <c r="L202">
        <v>138909.92733202828</v>
      </c>
    </row>
    <row r="203" spans="1:12" x14ac:dyDescent="0.25">
      <c r="A203" t="s">
        <v>547</v>
      </c>
      <c r="B203" t="s">
        <v>548</v>
      </c>
      <c r="C203">
        <v>578133.78393888311</v>
      </c>
      <c r="D203">
        <v>150319.41888308755</v>
      </c>
      <c r="E203">
        <v>270979.87057597557</v>
      </c>
      <c r="F203">
        <v>373663.26546836493</v>
      </c>
      <c r="G203">
        <v>1373096.3388663111</v>
      </c>
      <c r="H203">
        <v>518744.86747318791</v>
      </c>
      <c r="I203">
        <v>127771.50605062442</v>
      </c>
      <c r="J203">
        <v>248251.99463461054</v>
      </c>
      <c r="K203">
        <v>342282.70902264712</v>
      </c>
      <c r="L203">
        <v>1237051.0771810701</v>
      </c>
    </row>
    <row r="204" spans="1:12" x14ac:dyDescent="0.25">
      <c r="A204" t="s">
        <v>549</v>
      </c>
      <c r="B204" t="s">
        <v>550</v>
      </c>
      <c r="C204">
        <v>217329.96144300909</v>
      </c>
      <c r="D204">
        <v>56919.91966456193</v>
      </c>
      <c r="E204">
        <v>121684.70869171467</v>
      </c>
      <c r="F204">
        <v>167795.14105851075</v>
      </c>
      <c r="G204">
        <v>563729.7308577965</v>
      </c>
      <c r="H204">
        <v>184730.46722655772</v>
      </c>
      <c r="I204">
        <v>48381.931714877639</v>
      </c>
      <c r="J204">
        <v>103432.00238795746</v>
      </c>
      <c r="K204">
        <v>142625.86989973413</v>
      </c>
      <c r="L204">
        <v>479170.27122912696</v>
      </c>
    </row>
    <row r="205" spans="1:12" x14ac:dyDescent="0.25">
      <c r="A205" t="s">
        <v>551</v>
      </c>
      <c r="B205" t="s">
        <v>552</v>
      </c>
      <c r="C205">
        <v>39587.985541663358</v>
      </c>
      <c r="D205">
        <v>6526.5837864027608</v>
      </c>
      <c r="E205">
        <v>19243.498055395372</v>
      </c>
      <c r="F205">
        <v>26535.507257898378</v>
      </c>
      <c r="G205">
        <v>91893.574641359868</v>
      </c>
      <c r="H205">
        <v>42153.397191021919</v>
      </c>
      <c r="I205">
        <v>5547.5962184423461</v>
      </c>
      <c r="J205">
        <v>20173.047656875482</v>
      </c>
      <c r="K205">
        <v>27814.017814443967</v>
      </c>
      <c r="L205">
        <v>95688.058880783719</v>
      </c>
    </row>
    <row r="206" spans="1:12" x14ac:dyDescent="0.25">
      <c r="A206" t="s">
        <v>81</v>
      </c>
      <c r="B206" t="s">
        <v>35</v>
      </c>
      <c r="C206">
        <v>71371.675082509653</v>
      </c>
      <c r="D206">
        <v>18557.207727977278</v>
      </c>
      <c r="E206">
        <v>56913.968628857387</v>
      </c>
      <c r="F206">
        <v>77081.254328656403</v>
      </c>
      <c r="G206">
        <v>223924.10576800071</v>
      </c>
      <c r="H206">
        <v>54904.04342196689</v>
      </c>
      <c r="I206">
        <v>14468.265771697508</v>
      </c>
      <c r="J206">
        <v>46312.913131680521</v>
      </c>
      <c r="K206">
        <v>63854.91239566492</v>
      </c>
      <c r="L206">
        <v>179540.13472100985</v>
      </c>
    </row>
    <row r="207" spans="1:12" x14ac:dyDescent="0.25">
      <c r="A207" t="s">
        <v>553</v>
      </c>
      <c r="B207" t="s">
        <v>554</v>
      </c>
      <c r="C207">
        <v>363492.66723858559</v>
      </c>
      <c r="D207">
        <v>92319.905131281703</v>
      </c>
      <c r="E207">
        <v>154101.11279566705</v>
      </c>
      <c r="F207">
        <v>203057.83115178166</v>
      </c>
      <c r="G207">
        <v>812971.5163173161</v>
      </c>
      <c r="H207">
        <v>308968.76715279772</v>
      </c>
      <c r="I207">
        <v>78471.919361589447</v>
      </c>
      <c r="J207">
        <v>140799.63874798812</v>
      </c>
      <c r="K207">
        <v>194130.49168448642</v>
      </c>
      <c r="L207">
        <v>722370.81694686168</v>
      </c>
    </row>
    <row r="208" spans="1:12" x14ac:dyDescent="0.25">
      <c r="A208" t="s">
        <v>61</v>
      </c>
      <c r="B208" t="s">
        <v>1402</v>
      </c>
      <c r="C208">
        <v>285698.07870035851</v>
      </c>
      <c r="D208">
        <v>0</v>
      </c>
      <c r="E208">
        <v>138876.23597605119</v>
      </c>
      <c r="F208">
        <v>191501.11674519046</v>
      </c>
      <c r="G208">
        <v>616075.43142160017</v>
      </c>
      <c r="H208">
        <v>271016.78801015322</v>
      </c>
      <c r="I208">
        <v>0</v>
      </c>
      <c r="J208">
        <v>129698.55206608561</v>
      </c>
      <c r="K208">
        <v>178824.63269966983</v>
      </c>
      <c r="L208">
        <v>579539.97277590865</v>
      </c>
    </row>
    <row r="209" spans="1:12" x14ac:dyDescent="0.25">
      <c r="A209" t="s">
        <v>74</v>
      </c>
      <c r="B209" t="s">
        <v>1391</v>
      </c>
      <c r="C209">
        <v>14856.08269361475</v>
      </c>
      <c r="D209">
        <v>0</v>
      </c>
      <c r="E209">
        <v>7221.4585944136534</v>
      </c>
      <c r="F209">
        <v>9957.9123500859296</v>
      </c>
      <c r="G209">
        <v>32035.453638114333</v>
      </c>
      <c r="H209">
        <v>15454.25820638312</v>
      </c>
      <c r="I209">
        <v>0</v>
      </c>
      <c r="J209">
        <v>7395.8330306394901</v>
      </c>
      <c r="K209">
        <v>10197.161835224706</v>
      </c>
      <c r="L209">
        <v>33047.253072247317</v>
      </c>
    </row>
    <row r="210" spans="1:12" x14ac:dyDescent="0.25">
      <c r="A210" t="s">
        <v>199</v>
      </c>
      <c r="B210" t="s">
        <v>200</v>
      </c>
      <c r="C210">
        <v>1529388.9108238518</v>
      </c>
      <c r="D210">
        <v>0</v>
      </c>
      <c r="E210">
        <v>979454.77857461316</v>
      </c>
      <c r="F210">
        <v>1350603.1653305825</v>
      </c>
      <c r="G210">
        <v>3859446.854729047</v>
      </c>
      <c r="H210">
        <v>1590645.5389020308</v>
      </c>
      <c r="I210">
        <v>0</v>
      </c>
      <c r="J210">
        <v>999595.09614068759</v>
      </c>
      <c r="K210">
        <v>1378212.9643565291</v>
      </c>
      <c r="L210">
        <v>3968453.5993992477</v>
      </c>
    </row>
    <row r="211" spans="1:12" x14ac:dyDescent="0.25">
      <c r="A211" t="s">
        <v>555</v>
      </c>
      <c r="B211" t="s">
        <v>556</v>
      </c>
      <c r="C211">
        <v>0</v>
      </c>
      <c r="D211">
        <v>2758.8521508247122</v>
      </c>
      <c r="E211">
        <v>0</v>
      </c>
      <c r="F211">
        <v>0</v>
      </c>
      <c r="G211">
        <v>2758.8521508247122</v>
      </c>
      <c r="H211">
        <v>9463.0075326783881</v>
      </c>
      <c r="I211">
        <v>2620.9095432834765</v>
      </c>
      <c r="J211">
        <v>8014.0519528313907</v>
      </c>
      <c r="K211">
        <v>11049.54430155033</v>
      </c>
      <c r="L211">
        <v>31147.513330343583</v>
      </c>
    </row>
    <row r="212" spans="1:12" x14ac:dyDescent="0.25">
      <c r="A212" t="s">
        <v>557</v>
      </c>
      <c r="B212" t="s">
        <v>558</v>
      </c>
      <c r="C212">
        <v>23038.617737836408</v>
      </c>
      <c r="D212">
        <v>5990.2253188290833</v>
      </c>
      <c r="E212">
        <v>11024.338518626775</v>
      </c>
      <c r="F212">
        <v>15163.147004513359</v>
      </c>
      <c r="G212">
        <v>55216.328579805631</v>
      </c>
      <c r="H212">
        <v>24947.928949788471</v>
      </c>
      <c r="I212">
        <v>5091.6915210047209</v>
      </c>
      <c r="J212">
        <v>11939.150654069164</v>
      </c>
      <c r="K212">
        <v>16461.357482017851</v>
      </c>
      <c r="L212">
        <v>58440.1286068802</v>
      </c>
    </row>
    <row r="213" spans="1:12" x14ac:dyDescent="0.25">
      <c r="A213" t="s">
        <v>559</v>
      </c>
      <c r="B213" t="s">
        <v>560</v>
      </c>
      <c r="C213">
        <v>274024.02979944251</v>
      </c>
      <c r="D213">
        <v>71248.444674543571</v>
      </c>
      <c r="E213">
        <v>177649.29740624141</v>
      </c>
      <c r="F213">
        <v>240598.76695603624</v>
      </c>
      <c r="G213">
        <v>763520.5388362637</v>
      </c>
      <c r="H213">
        <v>246621.62681949825</v>
      </c>
      <c r="I213">
        <v>64123.600207089214</v>
      </c>
      <c r="J213">
        <v>159884.36766561729</v>
      </c>
      <c r="K213">
        <v>216538.89026043261</v>
      </c>
      <c r="L213">
        <v>687168.48495263734</v>
      </c>
    </row>
    <row r="214" spans="1:12" x14ac:dyDescent="0.25">
      <c r="A214" t="s">
        <v>561</v>
      </c>
      <c r="B214" t="s">
        <v>562</v>
      </c>
      <c r="C214">
        <v>447076.54259291297</v>
      </c>
      <c r="D214">
        <v>113548.54641815396</v>
      </c>
      <c r="E214">
        <v>220733.04824658891</v>
      </c>
      <c r="F214">
        <v>292812.22665288101</v>
      </c>
      <c r="G214">
        <v>1074170.3639105367</v>
      </c>
      <c r="H214">
        <v>410350.41755341738</v>
      </c>
      <c r="I214">
        <v>108135.18514584473</v>
      </c>
      <c r="J214">
        <v>198659.74342193003</v>
      </c>
      <c r="K214">
        <v>270760.94892836263</v>
      </c>
      <c r="L214">
        <v>987906.29504955467</v>
      </c>
    </row>
    <row r="215" spans="1:12" x14ac:dyDescent="0.25">
      <c r="A215" t="s">
        <v>72</v>
      </c>
      <c r="B215" t="s">
        <v>16</v>
      </c>
      <c r="C215">
        <v>45401.054598303781</v>
      </c>
      <c r="D215">
        <v>11890.787460980197</v>
      </c>
      <c r="E215">
        <v>34833.664755709484</v>
      </c>
      <c r="F215">
        <v>48033.312929047759</v>
      </c>
      <c r="G215">
        <v>140158.81974404122</v>
      </c>
      <c r="H215">
        <v>49269.88785428775</v>
      </c>
      <c r="I215">
        <v>12983.557996611195</v>
      </c>
      <c r="J215">
        <v>36002.711703651687</v>
      </c>
      <c r="K215">
        <v>49639.503248402958</v>
      </c>
      <c r="L215">
        <v>147895.66080295359</v>
      </c>
    </row>
    <row r="216" spans="1:12" x14ac:dyDescent="0.25">
      <c r="A216" t="s">
        <v>201</v>
      </c>
      <c r="B216" t="s">
        <v>202</v>
      </c>
      <c r="C216">
        <v>130074.80963689386</v>
      </c>
      <c r="D216">
        <v>34067.312512990597</v>
      </c>
      <c r="E216">
        <v>63228.636467727665</v>
      </c>
      <c r="F216">
        <v>87188.095275951782</v>
      </c>
      <c r="G216">
        <v>314558.85389356391</v>
      </c>
      <c r="H216">
        <v>110563.58819135977</v>
      </c>
      <c r="I216">
        <v>28957.215636042005</v>
      </c>
      <c r="J216">
        <v>53744.340997568514</v>
      </c>
      <c r="K216">
        <v>74109.880984559015</v>
      </c>
      <c r="L216">
        <v>267375.0258095293</v>
      </c>
    </row>
    <row r="217" spans="1:12" x14ac:dyDescent="0.25">
      <c r="A217" t="s">
        <v>75</v>
      </c>
      <c r="B217" t="s">
        <v>23</v>
      </c>
      <c r="C217">
        <v>61859.745539706004</v>
      </c>
      <c r="D217">
        <v>16201.409705369322</v>
      </c>
      <c r="E217">
        <v>53876.426558837673</v>
      </c>
      <c r="F217">
        <v>74292.018211358038</v>
      </c>
      <c r="G217">
        <v>206229.60001527105</v>
      </c>
      <c r="H217">
        <v>65588.011319609854</v>
      </c>
      <c r="I217">
        <v>16144.895399464869</v>
      </c>
      <c r="J217">
        <v>55078.844921876524</v>
      </c>
      <c r="K217">
        <v>75941.126988511227</v>
      </c>
      <c r="L217">
        <v>212752.8786294625</v>
      </c>
    </row>
    <row r="218" spans="1:12" x14ac:dyDescent="0.25">
      <c r="A218" t="s">
        <v>563</v>
      </c>
      <c r="B218" t="s">
        <v>564</v>
      </c>
      <c r="C218">
        <v>88870.987950672847</v>
      </c>
      <c r="D218">
        <v>23275.803580304135</v>
      </c>
      <c r="E218">
        <v>46184.061517166294</v>
      </c>
      <c r="F218">
        <v>63684.757109136328</v>
      </c>
      <c r="G218">
        <v>222015.61015727959</v>
      </c>
      <c r="H218">
        <v>97210.895562968872</v>
      </c>
      <c r="I218">
        <v>25616.930652998861</v>
      </c>
      <c r="J218">
        <v>51153.640917981938</v>
      </c>
      <c r="K218">
        <v>70529.168619769625</v>
      </c>
      <c r="L218">
        <v>244510.63575371931</v>
      </c>
    </row>
    <row r="219" spans="1:12" x14ac:dyDescent="0.25">
      <c r="A219" t="s">
        <v>565</v>
      </c>
      <c r="B219" t="s">
        <v>566</v>
      </c>
      <c r="C219">
        <v>101369.9180464802</v>
      </c>
      <c r="D219">
        <v>26356.991402847972</v>
      </c>
      <c r="E219">
        <v>46410.664589699933</v>
      </c>
      <c r="F219">
        <v>63360.292840287955</v>
      </c>
      <c r="G219">
        <v>237497.86687931608</v>
      </c>
      <c r="H219">
        <v>108394.44991977059</v>
      </c>
      <c r="I219">
        <v>22403.442692420776</v>
      </c>
      <c r="J219">
        <v>51873.551117679825</v>
      </c>
      <c r="K219">
        <v>71521.760094284487</v>
      </c>
      <c r="L219">
        <v>254193.20382415567</v>
      </c>
    </row>
    <row r="220" spans="1:12" x14ac:dyDescent="0.25">
      <c r="A220" t="s">
        <v>567</v>
      </c>
      <c r="B220" t="s">
        <v>1408</v>
      </c>
      <c r="C220">
        <v>1961431.0315907416</v>
      </c>
      <c r="D220">
        <v>0</v>
      </c>
      <c r="E220">
        <v>1332287.3585864604</v>
      </c>
      <c r="F220">
        <v>1837135.8872284263</v>
      </c>
      <c r="G220">
        <v>5130854.277405628</v>
      </c>
      <c r="H220">
        <v>1950824.3072887254</v>
      </c>
      <c r="I220">
        <v>0</v>
      </c>
      <c r="J220">
        <v>1271226.8934576819</v>
      </c>
      <c r="K220">
        <v>1752731.0727777588</v>
      </c>
      <c r="L220">
        <v>4974782.2735241661</v>
      </c>
    </row>
    <row r="221" spans="1:12" x14ac:dyDescent="0.25">
      <c r="A221" t="s">
        <v>568</v>
      </c>
      <c r="B221" t="s">
        <v>569</v>
      </c>
      <c r="C221">
        <v>73994.619322698141</v>
      </c>
      <c r="D221">
        <v>19239.194259298121</v>
      </c>
      <c r="E221">
        <v>44932.301422996585</v>
      </c>
      <c r="F221">
        <v>61958.662977582375</v>
      </c>
      <c r="G221">
        <v>200124.77798257521</v>
      </c>
      <c r="H221">
        <v>76564.333673488742</v>
      </c>
      <c r="I221">
        <v>20176.166620503525</v>
      </c>
      <c r="J221">
        <v>49823.176963154721</v>
      </c>
      <c r="K221">
        <v>68694.763190779966</v>
      </c>
      <c r="L221">
        <v>215258.44044792693</v>
      </c>
    </row>
    <row r="222" spans="1:12" x14ac:dyDescent="0.25">
      <c r="A222" t="s">
        <v>203</v>
      </c>
      <c r="B222" t="s">
        <v>204</v>
      </c>
      <c r="C222">
        <v>1224803.7975747276</v>
      </c>
      <c r="D222">
        <v>0</v>
      </c>
      <c r="E222">
        <v>757369.10203734657</v>
      </c>
      <c r="F222">
        <v>1044361.7499358575</v>
      </c>
      <c r="G222">
        <v>3026534.6495479317</v>
      </c>
      <c r="H222">
        <v>1154486.9189867631</v>
      </c>
      <c r="I222">
        <v>0</v>
      </c>
      <c r="J222">
        <v>686501.16260897694</v>
      </c>
      <c r="K222">
        <v>946528.05521602673</v>
      </c>
      <c r="L222">
        <v>2787516.1368117668</v>
      </c>
    </row>
    <row r="223" spans="1:12" x14ac:dyDescent="0.25">
      <c r="A223" t="s">
        <v>205</v>
      </c>
      <c r="B223" t="s">
        <v>206</v>
      </c>
      <c r="C223">
        <v>214098.28915389362</v>
      </c>
      <c r="D223">
        <v>0</v>
      </c>
      <c r="E223">
        <v>104071.97927917904</v>
      </c>
      <c r="F223">
        <v>143508.35557842994</v>
      </c>
      <c r="G223">
        <v>461678.6240115026</v>
      </c>
      <c r="H223">
        <v>181983.54578080957</v>
      </c>
      <c r="I223">
        <v>0</v>
      </c>
      <c r="J223">
        <v>0</v>
      </c>
      <c r="K223">
        <v>0</v>
      </c>
      <c r="L223">
        <v>181983.54578080957</v>
      </c>
    </row>
    <row r="224" spans="1:12" x14ac:dyDescent="0.25">
      <c r="A224" t="s">
        <v>207</v>
      </c>
      <c r="B224" t="s">
        <v>208</v>
      </c>
      <c r="C224">
        <v>46051.330119894112</v>
      </c>
      <c r="D224">
        <v>0</v>
      </c>
      <c r="E224">
        <v>22385.293656276241</v>
      </c>
      <c r="F224">
        <v>30867.834973473622</v>
      </c>
      <c r="G224">
        <v>99304.458749643978</v>
      </c>
      <c r="H224">
        <v>51616.404723700296</v>
      </c>
      <c r="I224">
        <v>0</v>
      </c>
      <c r="J224">
        <v>24701.691008418959</v>
      </c>
      <c r="K224">
        <v>34057.980997278333</v>
      </c>
      <c r="L224">
        <v>110376.07672939758</v>
      </c>
    </row>
    <row r="225" spans="1:12" x14ac:dyDescent="0.25">
      <c r="A225" t="s">
        <v>300</v>
      </c>
      <c r="B225" t="s">
        <v>301</v>
      </c>
      <c r="C225">
        <v>223474.59205701313</v>
      </c>
      <c r="D225">
        <v>0</v>
      </c>
      <c r="E225">
        <v>106428.32597983969</v>
      </c>
      <c r="F225">
        <v>146757.60136511145</v>
      </c>
      <c r="G225">
        <v>476660.51940196427</v>
      </c>
      <c r="H225">
        <v>231413.54784458969</v>
      </c>
      <c r="I225">
        <v>0</v>
      </c>
      <c r="J225">
        <v>110745.91468774501</v>
      </c>
      <c r="K225">
        <v>152693.28147113114</v>
      </c>
      <c r="L225">
        <v>494852.74400346586</v>
      </c>
    </row>
    <row r="226" spans="1:12" x14ac:dyDescent="0.25">
      <c r="A226" t="s">
        <v>209</v>
      </c>
      <c r="B226" t="s">
        <v>210</v>
      </c>
      <c r="C226">
        <v>168854.87710627841</v>
      </c>
      <c r="D226">
        <v>0</v>
      </c>
      <c r="E226">
        <v>82079.410073012914</v>
      </c>
      <c r="F226">
        <v>113182.06156940326</v>
      </c>
      <c r="G226">
        <v>364116.34874869458</v>
      </c>
      <c r="H226">
        <v>143526.64554033664</v>
      </c>
      <c r="I226">
        <v>0</v>
      </c>
      <c r="J226">
        <v>0</v>
      </c>
      <c r="K226">
        <v>0</v>
      </c>
      <c r="L226">
        <v>143526.64554033664</v>
      </c>
    </row>
    <row r="227" spans="1:12" x14ac:dyDescent="0.25">
      <c r="A227" t="s">
        <v>570</v>
      </c>
      <c r="B227" t="s">
        <v>571</v>
      </c>
      <c r="C227">
        <v>294082.17830949934</v>
      </c>
      <c r="D227">
        <v>68851.377059188206</v>
      </c>
      <c r="E227">
        <v>142951.69984007996</v>
      </c>
      <c r="F227">
        <v>197120.91105867364</v>
      </c>
      <c r="G227">
        <v>703006.16626744112</v>
      </c>
      <c r="H227">
        <v>249969.85156307442</v>
      </c>
      <c r="I227">
        <v>58523.670500309971</v>
      </c>
      <c r="J227">
        <v>121508.94486406796</v>
      </c>
      <c r="K227">
        <v>167552.77439987258</v>
      </c>
      <c r="L227">
        <v>597555.24132732488</v>
      </c>
    </row>
    <row r="228" spans="1:12" x14ac:dyDescent="0.25">
      <c r="A228" t="s">
        <v>302</v>
      </c>
      <c r="B228" t="s">
        <v>303</v>
      </c>
      <c r="C228">
        <v>8079.1807227884419</v>
      </c>
      <c r="D228">
        <v>2115.9821436640118</v>
      </c>
      <c r="E228">
        <v>5044.5357435531041</v>
      </c>
      <c r="F228">
        <v>6956.0801497963921</v>
      </c>
      <c r="G228">
        <v>22195.778759801949</v>
      </c>
      <c r="H228">
        <v>0</v>
      </c>
      <c r="I228">
        <v>1798.5848221144099</v>
      </c>
      <c r="J228">
        <v>0</v>
      </c>
      <c r="K228">
        <v>0</v>
      </c>
      <c r="L228">
        <v>1798.5848221144099</v>
      </c>
    </row>
    <row r="229" spans="1:12" x14ac:dyDescent="0.25">
      <c r="A229" t="s">
        <v>1411</v>
      </c>
      <c r="B229" t="s">
        <v>1412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</row>
    <row r="230" spans="1:12" x14ac:dyDescent="0.25">
      <c r="A230" t="s">
        <v>572</v>
      </c>
      <c r="B230" t="s">
        <v>573</v>
      </c>
      <c r="C230">
        <v>30700.886746596065</v>
      </c>
      <c r="D230">
        <v>8040.7321459232453</v>
      </c>
      <c r="E230">
        <v>15102.611453434374</v>
      </c>
      <c r="F230">
        <v>20825.499328770202</v>
      </c>
      <c r="G230">
        <v>74669.729674723887</v>
      </c>
      <c r="H230">
        <v>28389.022598035164</v>
      </c>
      <c r="I230">
        <v>6834.6223240347581</v>
      </c>
      <c r="J230">
        <v>13585.930054630429</v>
      </c>
      <c r="K230">
        <v>18731.889548503073</v>
      </c>
      <c r="L230">
        <v>67541.464525203424</v>
      </c>
    </row>
    <row r="231" spans="1:12" x14ac:dyDescent="0.25">
      <c r="A231" t="s">
        <v>574</v>
      </c>
      <c r="B231" t="s">
        <v>575</v>
      </c>
      <c r="C231">
        <v>269541.7995922488</v>
      </c>
      <c r="D231">
        <v>68458.254072394295</v>
      </c>
      <c r="E231">
        <v>136673.51696712265</v>
      </c>
      <c r="F231">
        <v>180093.62442456346</v>
      </c>
      <c r="G231">
        <v>654767.19505632925</v>
      </c>
      <c r="H231">
        <v>242587.61963302392</v>
      </c>
      <c r="I231">
        <v>61612.428665154868</v>
      </c>
      <c r="J231">
        <v>123006.16527041039</v>
      </c>
      <c r="K231">
        <v>162084.26198210713</v>
      </c>
      <c r="L231">
        <v>589290.47555069625</v>
      </c>
    </row>
    <row r="232" spans="1:12" x14ac:dyDescent="0.25">
      <c r="A232" t="s">
        <v>211</v>
      </c>
      <c r="B232" t="s">
        <v>212</v>
      </c>
      <c r="C232">
        <v>96950.168673461274</v>
      </c>
      <c r="D232">
        <v>0</v>
      </c>
      <c r="E232">
        <v>47126.934013213162</v>
      </c>
      <c r="F232">
        <v>64984.915733628666</v>
      </c>
      <c r="G232">
        <v>209062.01842030312</v>
      </c>
      <c r="H232">
        <v>82407.643372442079</v>
      </c>
      <c r="I232">
        <v>0</v>
      </c>
      <c r="J232">
        <v>40057.893911231185</v>
      </c>
      <c r="K232">
        <v>55237.178373584364</v>
      </c>
      <c r="L232">
        <v>177702.71565725765</v>
      </c>
    </row>
    <row r="233" spans="1:12" x14ac:dyDescent="0.25">
      <c r="A233" t="s">
        <v>576</v>
      </c>
      <c r="B233" t="s">
        <v>577</v>
      </c>
      <c r="C233">
        <v>17774.197590134576</v>
      </c>
      <c r="D233">
        <v>4655.1607160608282</v>
      </c>
      <c r="E233">
        <v>9980.2279057581927</v>
      </c>
      <c r="F233">
        <v>13762.072221296325</v>
      </c>
      <c r="G233">
        <v>46171.658433249919</v>
      </c>
      <c r="H233">
        <v>15996.777831121119</v>
      </c>
      <c r="I233">
        <v>4189.6446444547455</v>
      </c>
      <c r="J233">
        <v>8982.2051151823744</v>
      </c>
      <c r="K233">
        <v>12385.864999166692</v>
      </c>
      <c r="L233">
        <v>41554.492589924928</v>
      </c>
    </row>
    <row r="234" spans="1:12" x14ac:dyDescent="0.25">
      <c r="A234" t="s">
        <v>86</v>
      </c>
      <c r="B234" t="s">
        <v>54</v>
      </c>
      <c r="C234">
        <v>15812.640371767773</v>
      </c>
      <c r="D234">
        <v>2171.4103386478887</v>
      </c>
      <c r="E234">
        <v>11907.521423752907</v>
      </c>
      <c r="F234">
        <v>16419.682131284098</v>
      </c>
      <c r="G234">
        <v>46311.254265452662</v>
      </c>
      <c r="H234">
        <v>18843.975139539496</v>
      </c>
      <c r="I234">
        <v>0</v>
      </c>
      <c r="J234">
        <v>13359.157822830792</v>
      </c>
      <c r="K234">
        <v>18419.222518593659</v>
      </c>
      <c r="L234">
        <v>50622.355480963946</v>
      </c>
    </row>
    <row r="235" spans="1:12" x14ac:dyDescent="0.25">
      <c r="A235" t="s">
        <v>85</v>
      </c>
      <c r="B235" t="s">
        <v>50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</row>
    <row r="236" spans="1:12" x14ac:dyDescent="0.25">
      <c r="A236" t="s">
        <v>62</v>
      </c>
      <c r="B236" t="s">
        <v>24</v>
      </c>
      <c r="C236">
        <v>5592102.5008489871</v>
      </c>
      <c r="D236">
        <v>1464602.5931762252</v>
      </c>
      <c r="E236">
        <v>4870412.8519749297</v>
      </c>
      <c r="F236">
        <v>6715976.2331416188</v>
      </c>
      <c r="G236">
        <v>18643094.17914176</v>
      </c>
      <c r="H236">
        <v>4981204.749301061</v>
      </c>
      <c r="I236">
        <v>1226154.4148501807</v>
      </c>
      <c r="J236">
        <v>4183066.3621422932</v>
      </c>
      <c r="K236">
        <v>5767491.5706637297</v>
      </c>
      <c r="L236">
        <v>16157917.096957264</v>
      </c>
    </row>
    <row r="237" spans="1:12" x14ac:dyDescent="0.25">
      <c r="A237" t="s">
        <v>304</v>
      </c>
      <c r="B237" t="s">
        <v>305</v>
      </c>
      <c r="C237">
        <v>525954.66505352745</v>
      </c>
      <c r="D237">
        <v>0</v>
      </c>
      <c r="E237">
        <v>255663.61702168139</v>
      </c>
      <c r="F237">
        <v>352543.16785493563</v>
      </c>
      <c r="G237">
        <v>1134161.4499301445</v>
      </c>
      <c r="H237">
        <v>534229.78889029787</v>
      </c>
      <c r="I237">
        <v>0</v>
      </c>
      <c r="J237">
        <v>255662.50193713623</v>
      </c>
      <c r="K237">
        <v>352500.10332183063</v>
      </c>
      <c r="L237">
        <v>1142392.3941492648</v>
      </c>
    </row>
    <row r="238" spans="1:12" x14ac:dyDescent="0.25">
      <c r="A238" t="s">
        <v>578</v>
      </c>
      <c r="B238" t="s">
        <v>579</v>
      </c>
      <c r="C238">
        <v>375681.90360966249</v>
      </c>
      <c r="D238">
        <v>0</v>
      </c>
      <c r="E238">
        <v>182616.86930120099</v>
      </c>
      <c r="F238">
        <v>251816.54846781114</v>
      </c>
      <c r="G238">
        <v>810115.32137867459</v>
      </c>
      <c r="H238">
        <v>410350.41755341738</v>
      </c>
      <c r="I238">
        <v>0</v>
      </c>
      <c r="J238">
        <v>196378.44351693074</v>
      </c>
      <c r="K238">
        <v>270760.94892836263</v>
      </c>
      <c r="L238">
        <v>877489.80999871087</v>
      </c>
    </row>
    <row r="239" spans="1:12" x14ac:dyDescent="0.25">
      <c r="A239" t="s">
        <v>580</v>
      </c>
      <c r="B239" t="s">
        <v>581</v>
      </c>
      <c r="C239">
        <v>63017.609637749825</v>
      </c>
      <c r="D239">
        <v>16504.660720579297</v>
      </c>
      <c r="E239">
        <v>43388.265974943679</v>
      </c>
      <c r="F239">
        <v>59829.540521762916</v>
      </c>
      <c r="G239">
        <v>182740.0768550357</v>
      </c>
      <c r="H239">
        <v>73983.513437303729</v>
      </c>
      <c r="I239">
        <v>19496.071116441606</v>
      </c>
      <c r="J239">
        <v>52205.130149982848</v>
      </c>
      <c r="K239">
        <v>71978.931725871269</v>
      </c>
      <c r="L239">
        <v>217663.64642959944</v>
      </c>
    </row>
    <row r="240" spans="1:12" x14ac:dyDescent="0.25">
      <c r="A240" t="s">
        <v>582</v>
      </c>
      <c r="B240" t="s">
        <v>583</v>
      </c>
      <c r="C240">
        <v>403151.11806714331</v>
      </c>
      <c r="D240">
        <v>105587.5089688342</v>
      </c>
      <c r="E240">
        <v>195969.50060494465</v>
      </c>
      <c r="F240">
        <v>270228.94125900586</v>
      </c>
      <c r="G240">
        <v>974937.06889992789</v>
      </c>
      <c r="H240">
        <v>363895.6533020871</v>
      </c>
      <c r="I240">
        <v>89749.382623509067</v>
      </c>
      <c r="J240">
        <v>174146.92160935371</v>
      </c>
      <c r="K240">
        <v>240108.76603081211</v>
      </c>
      <c r="L240">
        <v>867900.72356576193</v>
      </c>
    </row>
    <row r="241" spans="1:12" x14ac:dyDescent="0.25">
      <c r="A241" t="s">
        <v>213</v>
      </c>
      <c r="B241" t="s">
        <v>214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</row>
    <row r="242" spans="1:12" x14ac:dyDescent="0.25">
      <c r="A242" t="s">
        <v>584</v>
      </c>
      <c r="B242" t="s">
        <v>585</v>
      </c>
      <c r="C242">
        <v>704574.33643415046</v>
      </c>
      <c r="D242">
        <v>178947.86266717769</v>
      </c>
      <c r="E242">
        <v>397232.45695130317</v>
      </c>
      <c r="F242">
        <v>530234.34726660419</v>
      </c>
      <c r="G242">
        <v>1810989.0033192355</v>
      </c>
      <c r="H242">
        <v>634116.90279073548</v>
      </c>
      <c r="I242">
        <v>161053.07640045992</v>
      </c>
      <c r="J242">
        <v>357509.21125617286</v>
      </c>
      <c r="K242">
        <v>477210.91253994376</v>
      </c>
      <c r="L242">
        <v>1629890.102987312</v>
      </c>
    </row>
    <row r="243" spans="1:12" x14ac:dyDescent="0.25">
      <c r="A243" t="s">
        <v>215</v>
      </c>
      <c r="B243" t="s">
        <v>216</v>
      </c>
      <c r="C243">
        <v>654413.63854586368</v>
      </c>
      <c r="D243">
        <v>0</v>
      </c>
      <c r="E243">
        <v>341473.90937074041</v>
      </c>
      <c r="F243">
        <v>470869.86858658452</v>
      </c>
      <c r="G243">
        <v>1466757.4165031887</v>
      </c>
      <c r="H243">
        <v>556251.59276398411</v>
      </c>
      <c r="I243">
        <v>0</v>
      </c>
      <c r="J243">
        <v>290252.82296512934</v>
      </c>
      <c r="K243">
        <v>400239.38829859684</v>
      </c>
      <c r="L243">
        <v>1246743.8040277101</v>
      </c>
    </row>
    <row r="244" spans="1:12" x14ac:dyDescent="0.25">
      <c r="A244" t="s">
        <v>306</v>
      </c>
      <c r="B244" t="s">
        <v>307</v>
      </c>
      <c r="C244">
        <v>11310.853011903815</v>
      </c>
      <c r="D244">
        <v>0</v>
      </c>
      <c r="E244">
        <v>5498.1423015415357</v>
      </c>
      <c r="F244">
        <v>7581.5735022566796</v>
      </c>
      <c r="G244">
        <v>24390.56881570203</v>
      </c>
      <c r="H244">
        <v>11183.554356801733</v>
      </c>
      <c r="I244">
        <v>0</v>
      </c>
      <c r="J244">
        <v>5352.033051824109</v>
      </c>
      <c r="K244">
        <v>7379.2292160769684</v>
      </c>
      <c r="L244">
        <v>23914.816624702809</v>
      </c>
    </row>
    <row r="245" spans="1:12" x14ac:dyDescent="0.25">
      <c r="A245" t="s">
        <v>217</v>
      </c>
      <c r="B245" t="s">
        <v>218</v>
      </c>
      <c r="C245">
        <v>8079.1807227884419</v>
      </c>
      <c r="D245">
        <v>0</v>
      </c>
      <c r="E245">
        <v>3927.244501101095</v>
      </c>
      <c r="F245">
        <v>5415.4096444690585</v>
      </c>
      <c r="G245">
        <v>17421.834868358594</v>
      </c>
      <c r="H245">
        <v>0</v>
      </c>
      <c r="I245">
        <v>0</v>
      </c>
      <c r="J245">
        <v>0</v>
      </c>
      <c r="K245">
        <v>0</v>
      </c>
      <c r="L245">
        <v>0</v>
      </c>
    </row>
    <row r="246" spans="1:12" x14ac:dyDescent="0.25">
      <c r="A246" t="s">
        <v>219</v>
      </c>
      <c r="B246" t="s">
        <v>220</v>
      </c>
      <c r="C246">
        <v>420925.31565727771</v>
      </c>
      <c r="D246">
        <v>0</v>
      </c>
      <c r="E246">
        <v>0</v>
      </c>
      <c r="F246">
        <v>0</v>
      </c>
      <c r="G246">
        <v>420925.31565727771</v>
      </c>
      <c r="H246">
        <v>484333.9309907211</v>
      </c>
      <c r="I246">
        <v>0</v>
      </c>
      <c r="J246">
        <v>231784.2006289979</v>
      </c>
      <c r="K246">
        <v>319577.3883577949</v>
      </c>
      <c r="L246">
        <v>1035695.5199775139</v>
      </c>
    </row>
    <row r="247" spans="1:12" x14ac:dyDescent="0.25">
      <c r="A247" t="s">
        <v>221</v>
      </c>
      <c r="B247" t="s">
        <v>222</v>
      </c>
      <c r="C247">
        <v>319935.55662242236</v>
      </c>
      <c r="D247">
        <v>0</v>
      </c>
      <c r="E247">
        <v>155518.88224360347</v>
      </c>
      <c r="F247">
        <v>214450.22192097467</v>
      </c>
      <c r="G247">
        <v>689904.66078700055</v>
      </c>
      <c r="H247">
        <v>271945.22312905901</v>
      </c>
      <c r="I247">
        <v>0</v>
      </c>
      <c r="J247">
        <v>0</v>
      </c>
      <c r="K247">
        <v>0</v>
      </c>
      <c r="L247">
        <v>271945.22312905901</v>
      </c>
    </row>
    <row r="248" spans="1:12" x14ac:dyDescent="0.25">
      <c r="A248" t="s">
        <v>586</v>
      </c>
      <c r="B248" t="s">
        <v>587</v>
      </c>
      <c r="C248">
        <v>117090.3866205333</v>
      </c>
      <c r="D248">
        <v>30444.439267460748</v>
      </c>
      <c r="E248">
        <v>78306.449938480073</v>
      </c>
      <c r="F248">
        <v>106054.09407738505</v>
      </c>
      <c r="G248">
        <v>331895.36990385916</v>
      </c>
      <c r="H248">
        <v>135923.19910574405</v>
      </c>
      <c r="I248">
        <v>35818.363213927616</v>
      </c>
      <c r="J248">
        <v>91746.578171505855</v>
      </c>
      <c r="K248">
        <v>126497.5428145983</v>
      </c>
      <c r="L248">
        <v>389985.68330577586</v>
      </c>
    </row>
    <row r="249" spans="1:12" x14ac:dyDescent="0.25">
      <c r="A249" t="s">
        <v>588</v>
      </c>
      <c r="B249" t="s">
        <v>589</v>
      </c>
      <c r="C249">
        <v>66249.281926865209</v>
      </c>
      <c r="D249">
        <v>17351.053578044906</v>
      </c>
      <c r="E249">
        <v>38413.026460612498</v>
      </c>
      <c r="F249">
        <v>52969.015275143196</v>
      </c>
      <c r="G249">
        <v>174982.37724066581</v>
      </c>
      <c r="H249">
        <v>82586.247557920462</v>
      </c>
      <c r="I249">
        <v>21763.056129981334</v>
      </c>
      <c r="J249">
        <v>54118.440796524927</v>
      </c>
      <c r="K249">
        <v>74616.949407317123</v>
      </c>
      <c r="L249">
        <v>233084.69389174384</v>
      </c>
    </row>
    <row r="250" spans="1:12" x14ac:dyDescent="0.25">
      <c r="A250" t="s">
        <v>223</v>
      </c>
      <c r="B250" t="s">
        <v>224</v>
      </c>
      <c r="C250">
        <v>871627.70441481087</v>
      </c>
      <c r="D250">
        <v>0</v>
      </c>
      <c r="E250">
        <v>496403.7049391786</v>
      </c>
      <c r="F250">
        <v>684507.77906088857</v>
      </c>
      <c r="G250">
        <v>2052539.188414878</v>
      </c>
      <c r="H250">
        <v>998777.43140360049</v>
      </c>
      <c r="I250">
        <v>0</v>
      </c>
      <c r="J250">
        <v>574726.01079588104</v>
      </c>
      <c r="K250">
        <v>792415.69120334217</v>
      </c>
      <c r="L250">
        <v>2365919.1334028239</v>
      </c>
    </row>
    <row r="251" spans="1:12" x14ac:dyDescent="0.25">
      <c r="A251" t="s">
        <v>225</v>
      </c>
      <c r="B251" t="s">
        <v>226</v>
      </c>
      <c r="C251">
        <v>144617.33493791311</v>
      </c>
      <c r="D251">
        <v>0</v>
      </c>
      <c r="E251">
        <v>70297.676569709613</v>
      </c>
      <c r="F251">
        <v>96935.832635996107</v>
      </c>
      <c r="G251">
        <v>311850.84414361883</v>
      </c>
      <c r="H251">
        <v>122924.73469722614</v>
      </c>
      <c r="I251">
        <v>0</v>
      </c>
      <c r="J251">
        <v>59753.025084253168</v>
      </c>
      <c r="K251">
        <v>82395.457740596685</v>
      </c>
      <c r="L251">
        <v>265073.21752207598</v>
      </c>
    </row>
    <row r="252" spans="1:12" x14ac:dyDescent="0.25">
      <c r="A252" t="s">
        <v>590</v>
      </c>
      <c r="B252" t="s">
        <v>591</v>
      </c>
      <c r="C252">
        <v>45309.281551078268</v>
      </c>
      <c r="D252">
        <v>11780.776460363866</v>
      </c>
      <c r="E252">
        <v>20826.042629284922</v>
      </c>
      <c r="F252">
        <v>28205.685304352664</v>
      </c>
      <c r="G252">
        <v>106121.78594507973</v>
      </c>
      <c r="H252">
        <v>49895.857899576942</v>
      </c>
      <c r="I252">
        <v>13148.513078530386</v>
      </c>
      <c r="J252">
        <v>24853.524069150706</v>
      </c>
      <c r="K252">
        <v>34267.324053808268</v>
      </c>
      <c r="L252">
        <v>122165.21910106629</v>
      </c>
    </row>
    <row r="253" spans="1:12" x14ac:dyDescent="0.25">
      <c r="A253" t="s">
        <v>64</v>
      </c>
      <c r="B253" t="s">
        <v>32</v>
      </c>
      <c r="C253">
        <v>4449078.8007688252</v>
      </c>
      <c r="D253">
        <v>1156796.157699259</v>
      </c>
      <c r="E253">
        <v>3547832.2598081236</v>
      </c>
      <c r="F253">
        <v>4804995.4575654408</v>
      </c>
      <c r="G253">
        <v>13958702.675841648</v>
      </c>
      <c r="H253">
        <v>5174918.7154237162</v>
      </c>
      <c r="I253">
        <v>1363690.079185056</v>
      </c>
      <c r="J253">
        <v>4365171.4153176015</v>
      </c>
      <c r="K253">
        <v>6018572.7795752632</v>
      </c>
      <c r="L253">
        <v>16922352.989501636</v>
      </c>
    </row>
    <row r="254" spans="1:12" x14ac:dyDescent="0.25">
      <c r="A254" t="s">
        <v>82</v>
      </c>
      <c r="B254" t="s">
        <v>37</v>
      </c>
      <c r="C254">
        <v>119837.16163350159</v>
      </c>
      <c r="D254">
        <v>0</v>
      </c>
      <c r="E254">
        <v>95561.838080662201</v>
      </c>
      <c r="F254">
        <v>129423.8747124475</v>
      </c>
      <c r="G254">
        <v>344822.87442661129</v>
      </c>
      <c r="H254">
        <v>113564.67928859494</v>
      </c>
      <c r="I254">
        <v>0</v>
      </c>
      <c r="J254">
        <v>95794.604530265715</v>
      </c>
      <c r="K254">
        <v>132078.84511313881</v>
      </c>
      <c r="L254">
        <v>341438.12893199944</v>
      </c>
    </row>
    <row r="255" spans="1:12" x14ac:dyDescent="0.25">
      <c r="A255" t="s">
        <v>592</v>
      </c>
      <c r="B255" t="s">
        <v>593</v>
      </c>
      <c r="C255">
        <v>18582.115662413416</v>
      </c>
      <c r="D255">
        <v>4866.7589304272287</v>
      </c>
      <c r="E255">
        <v>10025.037765515757</v>
      </c>
      <c r="F255">
        <v>13823.862045339712</v>
      </c>
      <c r="G255">
        <v>47297.774403696123</v>
      </c>
      <c r="H255">
        <v>19786.288477418446</v>
      </c>
      <c r="I255">
        <v>5214.065531141363</v>
      </c>
      <c r="J255">
        <v>10364.973640330141</v>
      </c>
      <c r="K255">
        <v>14290.9274980138</v>
      </c>
      <c r="L255">
        <v>49656.25514690375</v>
      </c>
    </row>
    <row r="256" spans="1:12" x14ac:dyDescent="0.25">
      <c r="A256" t="s">
        <v>594</v>
      </c>
      <c r="B256" t="s">
        <v>595</v>
      </c>
      <c r="C256">
        <v>17774.197590134576</v>
      </c>
      <c r="D256">
        <v>0</v>
      </c>
      <c r="E256">
        <v>8639.9379024224127</v>
      </c>
      <c r="F256">
        <v>11913.901217831923</v>
      </c>
      <c r="G256">
        <v>38328.036710388915</v>
      </c>
      <c r="H256">
        <v>19786.288477418446</v>
      </c>
      <c r="I256">
        <v>0</v>
      </c>
      <c r="J256">
        <v>9468.9815532272696</v>
      </c>
      <c r="K256">
        <v>13055.559382290021</v>
      </c>
      <c r="L256">
        <v>42310.829412935738</v>
      </c>
    </row>
    <row r="257" spans="1:12" x14ac:dyDescent="0.25">
      <c r="A257" t="s">
        <v>227</v>
      </c>
      <c r="B257" t="s">
        <v>228</v>
      </c>
      <c r="C257">
        <v>326398.901200653</v>
      </c>
      <c r="D257">
        <v>0</v>
      </c>
      <c r="E257">
        <v>158660.67784448428</v>
      </c>
      <c r="F257">
        <v>218782.54963654987</v>
      </c>
      <c r="G257">
        <v>703842.12868168717</v>
      </c>
      <c r="H257">
        <v>348410.73188497697</v>
      </c>
      <c r="I257">
        <v>0</v>
      </c>
      <c r="J257">
        <v>166736.41430682797</v>
      </c>
      <c r="K257">
        <v>229891.37173162863</v>
      </c>
      <c r="L257">
        <v>745038.51792343357</v>
      </c>
    </row>
    <row r="258" spans="1:12" x14ac:dyDescent="0.25">
      <c r="A258" t="s">
        <v>229</v>
      </c>
      <c r="B258" t="s">
        <v>230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</row>
    <row r="259" spans="1:12" x14ac:dyDescent="0.25">
      <c r="A259" t="s">
        <v>596</v>
      </c>
      <c r="B259" t="s">
        <v>597</v>
      </c>
      <c r="C259">
        <v>0</v>
      </c>
      <c r="D259">
        <v>1941.4144765062795</v>
      </c>
      <c r="E259">
        <v>0</v>
      </c>
      <c r="F259">
        <v>0</v>
      </c>
      <c r="G259">
        <v>1941.4144765062795</v>
      </c>
      <c r="H259">
        <v>13764.374592986747</v>
      </c>
      <c r="I259">
        <v>3627.1760216635562</v>
      </c>
      <c r="J259">
        <v>21434.840910699284</v>
      </c>
      <c r="K259">
        <v>29553.742056261188</v>
      </c>
      <c r="L259">
        <v>68380.133581610775</v>
      </c>
    </row>
    <row r="260" spans="1:12" x14ac:dyDescent="0.25">
      <c r="A260" t="s">
        <v>231</v>
      </c>
      <c r="B260" t="s">
        <v>232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</row>
    <row r="261" spans="1:12" x14ac:dyDescent="0.25">
      <c r="A261" t="s">
        <v>233</v>
      </c>
      <c r="B261" t="s">
        <v>234</v>
      </c>
      <c r="C261">
        <v>212482.45300933596</v>
      </c>
      <c r="D261">
        <v>0</v>
      </c>
      <c r="E261">
        <v>103286.53037895885</v>
      </c>
      <c r="F261">
        <v>142425.2736495361</v>
      </c>
      <c r="G261">
        <v>458194.25703783089</v>
      </c>
      <c r="H261">
        <v>239156.00855314478</v>
      </c>
      <c r="I261">
        <v>0</v>
      </c>
      <c r="J261">
        <v>114451.16833900785</v>
      </c>
      <c r="K261">
        <v>157801.97862072289</v>
      </c>
      <c r="L261">
        <v>511409.15551287553</v>
      </c>
    </row>
    <row r="262" spans="1:12" x14ac:dyDescent="0.25">
      <c r="A262" t="s">
        <v>598</v>
      </c>
      <c r="B262" t="s">
        <v>599</v>
      </c>
      <c r="C262">
        <v>0</v>
      </c>
      <c r="D262">
        <v>2114.1971713514413</v>
      </c>
      <c r="E262">
        <v>0</v>
      </c>
      <c r="F262">
        <v>0</v>
      </c>
      <c r="G262">
        <v>2114.1971713514413</v>
      </c>
      <c r="H262">
        <v>0</v>
      </c>
      <c r="I262">
        <v>1797.067595648725</v>
      </c>
      <c r="J262">
        <v>0</v>
      </c>
      <c r="K262">
        <v>0</v>
      </c>
      <c r="L262">
        <v>1797.067595648725</v>
      </c>
    </row>
    <row r="263" spans="1:12" x14ac:dyDescent="0.25">
      <c r="A263" t="s">
        <v>600</v>
      </c>
      <c r="B263" t="s">
        <v>601</v>
      </c>
      <c r="C263">
        <v>107513.5494432366</v>
      </c>
      <c r="D263">
        <v>24556.473082058084</v>
      </c>
      <c r="E263">
        <v>51054.178514314262</v>
      </c>
      <c r="F263">
        <v>70400.325378097725</v>
      </c>
      <c r="G263">
        <v>253524.52641770669</v>
      </c>
      <c r="H263">
        <v>119578.00427657239</v>
      </c>
      <c r="I263">
        <v>31511.091688202137</v>
      </c>
      <c r="J263">
        <v>57225.584169503927</v>
      </c>
      <c r="K263">
        <v>78900.989310361445</v>
      </c>
      <c r="L263">
        <v>287215.66944463988</v>
      </c>
    </row>
    <row r="264" spans="1:12" x14ac:dyDescent="0.25">
      <c r="A264" t="s">
        <v>235</v>
      </c>
      <c r="B264" t="s">
        <v>236</v>
      </c>
      <c r="C264">
        <v>204403.27228654758</v>
      </c>
      <c r="D264">
        <v>0</v>
      </c>
      <c r="E264">
        <v>99359.285877857736</v>
      </c>
      <c r="F264">
        <v>137009.86400506709</v>
      </c>
      <c r="G264">
        <v>440772.42216947238</v>
      </c>
      <c r="H264">
        <v>192701.24430181441</v>
      </c>
      <c r="I264">
        <v>0</v>
      </c>
      <c r="J264">
        <v>92219.646431430796</v>
      </c>
      <c r="K264">
        <v>127149.79572317238</v>
      </c>
      <c r="L264">
        <v>412070.68645641755</v>
      </c>
    </row>
    <row r="265" spans="1:12" x14ac:dyDescent="0.25">
      <c r="A265" t="s">
        <v>602</v>
      </c>
      <c r="B265" t="s">
        <v>603</v>
      </c>
      <c r="C265">
        <v>21813.787951528786</v>
      </c>
      <c r="D265">
        <v>5713.1517878928353</v>
      </c>
      <c r="E265">
        <v>13742.361229921742</v>
      </c>
      <c r="F265">
        <v>18949.804505787786</v>
      </c>
      <c r="G265">
        <v>60219.105475131146</v>
      </c>
      <c r="H265">
        <v>19632.409156375907</v>
      </c>
      <c r="I265">
        <v>5141.8366091035523</v>
      </c>
      <c r="J265">
        <v>12368.125106929569</v>
      </c>
      <c r="K265">
        <v>17054.824055209006</v>
      </c>
      <c r="L265">
        <v>54197.194927618031</v>
      </c>
    </row>
    <row r="266" spans="1:12" x14ac:dyDescent="0.25">
      <c r="A266" t="s">
        <v>76</v>
      </c>
      <c r="B266" t="s">
        <v>27</v>
      </c>
      <c r="C266">
        <v>67614.356767869074</v>
      </c>
      <c r="D266">
        <v>17708.574233596246</v>
      </c>
      <c r="E266">
        <v>58888.375549313016</v>
      </c>
      <c r="F266">
        <v>81203.163390375354</v>
      </c>
      <c r="G266">
        <v>225414.46994115369</v>
      </c>
      <c r="H266">
        <v>95993.0496796933</v>
      </c>
      <c r="I266">
        <v>23629.283995243142</v>
      </c>
      <c r="J266">
        <v>80612.084289633363</v>
      </c>
      <c r="K266">
        <v>111145.62294344953</v>
      </c>
      <c r="L266">
        <v>311380.04090801935</v>
      </c>
    </row>
    <row r="267" spans="1:12" x14ac:dyDescent="0.25">
      <c r="A267" t="s">
        <v>84</v>
      </c>
      <c r="B267" t="s">
        <v>42</v>
      </c>
      <c r="C267">
        <v>17533.600898853398</v>
      </c>
      <c r="D267">
        <v>2560.3551453745126</v>
      </c>
      <c r="E267">
        <v>14102.30077193117</v>
      </c>
      <c r="F267">
        <v>19446.137256824069</v>
      </c>
      <c r="G267">
        <v>53642.394072983152</v>
      </c>
      <c r="H267">
        <v>19862.115076940998</v>
      </c>
      <c r="I267">
        <v>0</v>
      </c>
      <c r="J267">
        <v>15831.709651657435</v>
      </c>
      <c r="K267">
        <v>21828.305855125676</v>
      </c>
      <c r="L267">
        <v>57522.130583724109</v>
      </c>
    </row>
    <row r="268" spans="1:12" x14ac:dyDescent="0.25">
      <c r="A268" t="s">
        <v>77</v>
      </c>
      <c r="B268" t="s">
        <v>29</v>
      </c>
      <c r="C268">
        <v>27045.74270714763</v>
      </c>
      <c r="D268">
        <v>0</v>
      </c>
      <c r="E268">
        <v>23555.350219725206</v>
      </c>
      <c r="F268">
        <v>32481.265356150139</v>
      </c>
      <c r="G268">
        <v>83082.358283022972</v>
      </c>
      <c r="H268">
        <v>36920.403722959076</v>
      </c>
      <c r="I268">
        <v>0</v>
      </c>
      <c r="J268">
        <v>31004.647803705233</v>
      </c>
      <c r="K268">
        <v>42748.316516711486</v>
      </c>
      <c r="L268">
        <v>110673.36804337578</v>
      </c>
    </row>
    <row r="269" spans="1:12" x14ac:dyDescent="0.25">
      <c r="A269" t="s">
        <v>237</v>
      </c>
      <c r="B269" t="s">
        <v>238</v>
      </c>
      <c r="C269">
        <v>526762.58312580653</v>
      </c>
      <c r="D269">
        <v>0</v>
      </c>
      <c r="E269">
        <v>256056.3414717915</v>
      </c>
      <c r="F269">
        <v>353084.70881938242</v>
      </c>
      <c r="G269">
        <v>1135903.6334169805</v>
      </c>
      <c r="H269">
        <v>484333.9309907211</v>
      </c>
      <c r="I269">
        <v>0</v>
      </c>
      <c r="J269">
        <v>231784.2006289979</v>
      </c>
      <c r="K269">
        <v>319577.3883577949</v>
      </c>
      <c r="L269">
        <v>1035695.5199775139</v>
      </c>
    </row>
    <row r="270" spans="1:12" x14ac:dyDescent="0.25">
      <c r="A270" t="s">
        <v>604</v>
      </c>
      <c r="B270" t="s">
        <v>605</v>
      </c>
      <c r="C270">
        <v>1050293.4939624972</v>
      </c>
      <c r="D270">
        <v>275077.67867632152</v>
      </c>
      <c r="E270">
        <v>630126.38020167081</v>
      </c>
      <c r="F270">
        <v>868902.47745506011</v>
      </c>
      <c r="G270">
        <v>2824400.0302955494</v>
      </c>
      <c r="H270">
        <v>1031467.8210619444</v>
      </c>
      <c r="I270">
        <v>271811.50312341272</v>
      </c>
      <c r="J270">
        <v>598192.61725387932</v>
      </c>
      <c r="K270">
        <v>824770.77315075661</v>
      </c>
      <c r="L270">
        <v>2726242.714589993</v>
      </c>
    </row>
    <row r="271" spans="1:12" x14ac:dyDescent="0.25">
      <c r="A271" t="s">
        <v>70</v>
      </c>
      <c r="B271" t="s">
        <v>12</v>
      </c>
      <c r="C271">
        <v>14184.318531403884</v>
      </c>
      <c r="D271">
        <v>3714.9515232200738</v>
      </c>
      <c r="E271">
        <v>7744.5641563441086</v>
      </c>
      <c r="F271">
        <v>10679.24021861037</v>
      </c>
      <c r="G271">
        <v>36323.074429578439</v>
      </c>
      <c r="H271">
        <v>15494.230345822674</v>
      </c>
      <c r="I271">
        <v>4083.0261051697285</v>
      </c>
      <c r="J271">
        <v>8687.2062007525492</v>
      </c>
      <c r="K271">
        <v>11977.67001473014</v>
      </c>
      <c r="L271">
        <v>40242.132666475089</v>
      </c>
    </row>
    <row r="272" spans="1:12" x14ac:dyDescent="0.25">
      <c r="A272" t="s">
        <v>65</v>
      </c>
      <c r="B272" t="s">
        <v>39</v>
      </c>
      <c r="C272">
        <v>3399300.7784178485</v>
      </c>
      <c r="D272">
        <v>0</v>
      </c>
      <c r="E272">
        <v>2734062.5732300743</v>
      </c>
      <c r="F272">
        <v>3770090.9183272896</v>
      </c>
      <c r="G272">
        <v>9903454.2699752115</v>
      </c>
      <c r="H272">
        <v>3730809.5949327624</v>
      </c>
      <c r="I272">
        <v>0</v>
      </c>
      <c r="J272">
        <v>2973756.5230988436</v>
      </c>
      <c r="K272">
        <v>4100129.9514156361</v>
      </c>
      <c r="L272">
        <v>10804696.069447242</v>
      </c>
    </row>
    <row r="273" spans="1:12" x14ac:dyDescent="0.25">
      <c r="A273" t="s">
        <v>606</v>
      </c>
      <c r="B273" t="s">
        <v>607</v>
      </c>
      <c r="C273">
        <v>59785.93734863447</v>
      </c>
      <c r="D273">
        <v>15658.267863113693</v>
      </c>
      <c r="E273">
        <v>34750.478238885626</v>
      </c>
      <c r="F273">
        <v>47918.604240711335</v>
      </c>
      <c r="G273">
        <v>158113.28769134512</v>
      </c>
      <c r="H273">
        <v>74843.78684936541</v>
      </c>
      <c r="I273">
        <v>19722.769617795584</v>
      </c>
      <c r="J273">
        <v>49277.588655377534</v>
      </c>
      <c r="K273">
        <v>67942.521726328021</v>
      </c>
      <c r="L273">
        <v>211786.66684886656</v>
      </c>
    </row>
    <row r="274" spans="1:12" x14ac:dyDescent="0.25">
      <c r="A274" t="s">
        <v>239</v>
      </c>
      <c r="B274" t="s">
        <v>240</v>
      </c>
      <c r="C274">
        <v>363563.13252547989</v>
      </c>
      <c r="D274">
        <v>0</v>
      </c>
      <c r="E274">
        <v>0</v>
      </c>
      <c r="F274">
        <v>0</v>
      </c>
      <c r="G274">
        <v>363563.13252547989</v>
      </c>
      <c r="H274">
        <v>328624.4434075586</v>
      </c>
      <c r="I274">
        <v>0</v>
      </c>
      <c r="J274">
        <v>0</v>
      </c>
      <c r="K274">
        <v>0</v>
      </c>
      <c r="L274">
        <v>328624.4434075586</v>
      </c>
    </row>
    <row r="275" spans="1:12" x14ac:dyDescent="0.25">
      <c r="A275" t="s">
        <v>241</v>
      </c>
      <c r="B275" t="s">
        <v>242</v>
      </c>
      <c r="C275">
        <v>21813.787951528786</v>
      </c>
      <c r="D275">
        <v>5713.1517878928353</v>
      </c>
      <c r="E275">
        <v>11030.294540462606</v>
      </c>
      <c r="F275">
        <v>15210.044452034461</v>
      </c>
      <c r="G275">
        <v>53767.27873191869</v>
      </c>
      <c r="H275">
        <v>24087.655537726801</v>
      </c>
      <c r="I275">
        <v>6347.5580379112216</v>
      </c>
      <c r="J275">
        <v>12331.681108935451</v>
      </c>
      <c r="K275">
        <v>17002.567181715436</v>
      </c>
      <c r="L275">
        <v>59769.461866288912</v>
      </c>
    </row>
    <row r="276" spans="1:12" x14ac:dyDescent="0.25">
      <c r="A276" t="s">
        <v>308</v>
      </c>
      <c r="B276" t="s">
        <v>309</v>
      </c>
      <c r="C276">
        <v>173702.38553995147</v>
      </c>
      <c r="D276">
        <v>0</v>
      </c>
      <c r="E276">
        <v>84435.756773673565</v>
      </c>
      <c r="F276">
        <v>116431.30735608473</v>
      </c>
      <c r="G276">
        <v>374569.44966970978</v>
      </c>
      <c r="H276">
        <v>166032.76852790269</v>
      </c>
      <c r="I276">
        <v>0</v>
      </c>
      <c r="J276">
        <v>79457.106077081</v>
      </c>
      <c r="K276">
        <v>109553.17220791192</v>
      </c>
      <c r="L276">
        <v>355043.04681289563</v>
      </c>
    </row>
    <row r="277" spans="1:12" x14ac:dyDescent="0.25">
      <c r="A277" t="s">
        <v>243</v>
      </c>
      <c r="B277" t="s">
        <v>244</v>
      </c>
      <c r="C277">
        <v>25045.460240644166</v>
      </c>
      <c r="D277">
        <v>6559.5446453584391</v>
      </c>
      <c r="E277">
        <v>12174.457953413397</v>
      </c>
      <c r="F277">
        <v>16787.769897854068</v>
      </c>
      <c r="G277">
        <v>60567.232737270067</v>
      </c>
      <c r="H277">
        <v>21506.835301541792</v>
      </c>
      <c r="I277">
        <v>5575.6129485546735</v>
      </c>
      <c r="J277">
        <v>10348.289260401387</v>
      </c>
      <c r="K277">
        <v>14269.604413175957</v>
      </c>
      <c r="L277">
        <v>51700.341923673812</v>
      </c>
    </row>
    <row r="278" spans="1:12" x14ac:dyDescent="0.25">
      <c r="A278" t="s">
        <v>245</v>
      </c>
      <c r="B278" t="s">
        <v>246</v>
      </c>
      <c r="C278">
        <v>82171.069931616512</v>
      </c>
      <c r="D278">
        <v>0</v>
      </c>
      <c r="E278">
        <v>38879.720560900867</v>
      </c>
      <c r="F278">
        <v>53612.555480243645</v>
      </c>
      <c r="G278">
        <v>174663.34597276102</v>
      </c>
      <c r="H278">
        <v>77424.607085550422</v>
      </c>
      <c r="I278">
        <v>0</v>
      </c>
      <c r="J278">
        <v>37052.536512628431</v>
      </c>
      <c r="K278">
        <v>51086.971495917482</v>
      </c>
      <c r="L278">
        <v>165564.11509409634</v>
      </c>
    </row>
    <row r="279" spans="1:12" x14ac:dyDescent="0.25">
      <c r="A279" t="s">
        <v>608</v>
      </c>
      <c r="B279" t="s">
        <v>609</v>
      </c>
      <c r="C279">
        <v>280529.05127836089</v>
      </c>
      <c r="D279">
        <v>72939.802411624754</v>
      </c>
      <c r="E279">
        <v>211841.42636701601</v>
      </c>
      <c r="F279">
        <v>286906.76922610379</v>
      </c>
      <c r="G279">
        <v>852217.04928310541</v>
      </c>
      <c r="H279">
        <v>252476.14615052482</v>
      </c>
      <c r="I279">
        <v>65645.822170462285</v>
      </c>
      <c r="J279">
        <v>190657.2837303144</v>
      </c>
      <c r="K279">
        <v>258216.09230349341</v>
      </c>
      <c r="L279">
        <v>766995.34435479483</v>
      </c>
    </row>
    <row r="280" spans="1:12" x14ac:dyDescent="0.25">
      <c r="A280" t="s">
        <v>610</v>
      </c>
      <c r="B280" t="s">
        <v>611</v>
      </c>
      <c r="C280">
        <v>634215.68673889257</v>
      </c>
      <c r="D280">
        <v>166104.59827762499</v>
      </c>
      <c r="E280">
        <v>378955.50143491558</v>
      </c>
      <c r="F280">
        <v>522554.49761782476</v>
      </c>
      <c r="G280">
        <v>1701830.284069258</v>
      </c>
      <c r="H280">
        <v>623698.22374471161</v>
      </c>
      <c r="I280">
        <v>164356.41348162989</v>
      </c>
      <c r="J280">
        <v>355408.13607655728</v>
      </c>
      <c r="K280">
        <v>490026.51440534886</v>
      </c>
      <c r="L280">
        <v>1633489.2877082475</v>
      </c>
    </row>
    <row r="281" spans="1:12" x14ac:dyDescent="0.25">
      <c r="A281" t="s">
        <v>247</v>
      </c>
      <c r="B281" t="s">
        <v>248</v>
      </c>
      <c r="C281">
        <v>16158.361445576884</v>
      </c>
      <c r="D281">
        <v>0</v>
      </c>
      <c r="E281">
        <v>7854.48900220219</v>
      </c>
      <c r="F281">
        <v>10830.819288938117</v>
      </c>
      <c r="G281">
        <v>34843.669736717187</v>
      </c>
      <c r="H281">
        <v>24087.655537726801</v>
      </c>
      <c r="I281">
        <v>0</v>
      </c>
      <c r="J281">
        <v>11527.455803928849</v>
      </c>
      <c r="K281">
        <v>15893.724465396548</v>
      </c>
      <c r="L281">
        <v>51508.835807052194</v>
      </c>
    </row>
    <row r="282" spans="1:12" x14ac:dyDescent="0.25">
      <c r="A282" t="s">
        <v>249</v>
      </c>
      <c r="B282" t="s">
        <v>250</v>
      </c>
      <c r="C282">
        <v>70288.872288259445</v>
      </c>
      <c r="D282">
        <v>0</v>
      </c>
      <c r="E282">
        <v>34167.027159579542</v>
      </c>
      <c r="F282">
        <v>47114.063906880787</v>
      </c>
      <c r="G282">
        <v>151569.96335471977</v>
      </c>
      <c r="H282">
        <v>65380.779316687032</v>
      </c>
      <c r="I282">
        <v>0</v>
      </c>
      <c r="J282">
        <v>31288.808610664018</v>
      </c>
      <c r="K282">
        <v>43140.109263219201</v>
      </c>
      <c r="L282">
        <v>139809.69719057024</v>
      </c>
    </row>
    <row r="283" spans="1:12" x14ac:dyDescent="0.25">
      <c r="A283" t="s">
        <v>612</v>
      </c>
      <c r="B283" t="s">
        <v>613</v>
      </c>
      <c r="C283">
        <v>38780.067469384521</v>
      </c>
      <c r="D283">
        <v>10156.714289587262</v>
      </c>
      <c r="E283">
        <v>24702.230458368351</v>
      </c>
      <c r="F283">
        <v>34062.737124372798</v>
      </c>
      <c r="G283">
        <v>107701.74934171293</v>
      </c>
      <c r="H283">
        <v>34902.060722446069</v>
      </c>
      <c r="I283">
        <v>9141.0428606285368</v>
      </c>
      <c r="J283">
        <v>22232.007412531515</v>
      </c>
      <c r="K283">
        <v>30656.463411935518</v>
      </c>
      <c r="L283">
        <v>96931.57440754163</v>
      </c>
    </row>
    <row r="284" spans="1:12" x14ac:dyDescent="0.25">
      <c r="A284" t="s">
        <v>63</v>
      </c>
      <c r="B284" t="s">
        <v>45</v>
      </c>
      <c r="C284">
        <v>438926.62689563795</v>
      </c>
      <c r="D284">
        <v>114957.3127223343</v>
      </c>
      <c r="E284">
        <v>270724.82131449744</v>
      </c>
      <c r="F284">
        <v>373311.56945604976</v>
      </c>
      <c r="G284">
        <v>1197920.3303885194</v>
      </c>
      <c r="H284">
        <v>397259.39581929479</v>
      </c>
      <c r="I284">
        <v>104044.43430574227</v>
      </c>
      <c r="J284">
        <v>245024.95943189863</v>
      </c>
      <c r="K284">
        <v>337873.16477777541</v>
      </c>
      <c r="L284">
        <v>1084201.9543347112</v>
      </c>
    </row>
    <row r="285" spans="1:12" x14ac:dyDescent="0.25">
      <c r="A285" t="s">
        <v>251</v>
      </c>
      <c r="B285" t="s">
        <v>252</v>
      </c>
      <c r="C285">
        <v>596243.5373417869</v>
      </c>
      <c r="D285">
        <v>0</v>
      </c>
      <c r="E285">
        <v>299059.66875884857</v>
      </c>
      <c r="F285">
        <v>412383.44442631863</v>
      </c>
      <c r="G285">
        <v>1307686.6505269541</v>
      </c>
      <c r="H285">
        <v>572942.09243307309</v>
      </c>
      <c r="I285">
        <v>0</v>
      </c>
      <c r="J285">
        <v>274188.77019345039</v>
      </c>
      <c r="K285">
        <v>378043.58906978933</v>
      </c>
      <c r="L285">
        <v>1225174.4516963128</v>
      </c>
    </row>
    <row r="286" spans="1:12" x14ac:dyDescent="0.25">
      <c r="A286" t="s">
        <v>614</v>
      </c>
      <c r="B286" t="s">
        <v>615</v>
      </c>
      <c r="C286">
        <v>127651.05542005741</v>
      </c>
      <c r="D286">
        <v>33432.517869891402</v>
      </c>
      <c r="E286">
        <v>70820.962263258858</v>
      </c>
      <c r="F286">
        <v>97657.408894073393</v>
      </c>
      <c r="G286">
        <v>329561.94444728107</v>
      </c>
      <c r="H286">
        <v>173775.22923645767</v>
      </c>
      <c r="I286">
        <v>45793.097273502404</v>
      </c>
      <c r="J286">
        <v>113641.46749249438</v>
      </c>
      <c r="K286">
        <v>156685.58638528295</v>
      </c>
      <c r="L286">
        <v>489895.38038773742</v>
      </c>
    </row>
    <row r="287" spans="1:12" x14ac:dyDescent="0.25">
      <c r="A287" t="s">
        <v>253</v>
      </c>
      <c r="B287" t="s">
        <v>254</v>
      </c>
      <c r="C287">
        <v>378105.65782649897</v>
      </c>
      <c r="D287">
        <v>0</v>
      </c>
      <c r="E287">
        <v>183795.04265153126</v>
      </c>
      <c r="F287">
        <v>253441.17136115182</v>
      </c>
      <c r="G287">
        <v>815341.8718391821</v>
      </c>
      <c r="H287">
        <v>401747.68343280058</v>
      </c>
      <c r="I287">
        <v>0</v>
      </c>
      <c r="J287">
        <v>192261.49501552765</v>
      </c>
      <c r="K287">
        <v>265084.61876214959</v>
      </c>
      <c r="L287">
        <v>859093.79721047787</v>
      </c>
    </row>
    <row r="288" spans="1:12" x14ac:dyDescent="0.25">
      <c r="A288" t="s">
        <v>616</v>
      </c>
      <c r="B288" t="s">
        <v>617</v>
      </c>
      <c r="C288">
        <v>58170.101204076753</v>
      </c>
      <c r="D288">
        <v>15235.071434380892</v>
      </c>
      <c r="E288">
        <v>38385.506294771025</v>
      </c>
      <c r="F288">
        <v>52931.066792059552</v>
      </c>
      <c r="G288">
        <v>164721.74572528823</v>
      </c>
      <c r="H288">
        <v>57638.318608132009</v>
      </c>
      <c r="I288">
        <v>15188.799590716144</v>
      </c>
      <c r="J288">
        <v>35442.644970639747</v>
      </c>
      <c r="K288">
        <v>48867.299347721528</v>
      </c>
      <c r="L288">
        <v>157137.06251720944</v>
      </c>
    </row>
    <row r="289" spans="1:12" x14ac:dyDescent="0.25">
      <c r="A289" t="s">
        <v>66</v>
      </c>
      <c r="B289" t="s">
        <v>51</v>
      </c>
      <c r="C289">
        <v>2623793.9901927393</v>
      </c>
      <c r="D289">
        <v>0</v>
      </c>
      <c r="E289">
        <v>1975816.9676403874</v>
      </c>
      <c r="F289">
        <v>2724520.5281375782</v>
      </c>
      <c r="G289">
        <v>7324131.4859707039</v>
      </c>
      <c r="H289">
        <v>2419048.0439163158</v>
      </c>
      <c r="I289">
        <v>0</v>
      </c>
      <c r="J289">
        <v>1714948.3779502544</v>
      </c>
      <c r="K289">
        <v>2364521.4915706059</v>
      </c>
      <c r="L289">
        <v>6498517.9134371765</v>
      </c>
    </row>
    <row r="290" spans="1:12" x14ac:dyDescent="0.25">
      <c r="A290" t="s">
        <v>255</v>
      </c>
      <c r="B290" t="s">
        <v>256</v>
      </c>
      <c r="C290">
        <v>121995.62891410544</v>
      </c>
      <c r="D290">
        <v>0</v>
      </c>
      <c r="E290">
        <v>59301.391966626543</v>
      </c>
      <c r="F290">
        <v>81772.685631482746</v>
      </c>
      <c r="G290">
        <v>263069.70651221473</v>
      </c>
      <c r="H290">
        <v>103696.28457698962</v>
      </c>
      <c r="I290">
        <v>0</v>
      </c>
      <c r="J290">
        <v>50406.183171632561</v>
      </c>
      <c r="K290">
        <v>69506.782786760334</v>
      </c>
      <c r="L290">
        <v>223609.25053538251</v>
      </c>
    </row>
    <row r="291" spans="1:12" x14ac:dyDescent="0.25">
      <c r="A291" t="s">
        <v>618</v>
      </c>
      <c r="B291" t="s">
        <v>619</v>
      </c>
      <c r="C291">
        <v>74328.462649653666</v>
      </c>
      <c r="D291">
        <v>19467.035721708915</v>
      </c>
      <c r="E291">
        <v>40696.719138002802</v>
      </c>
      <c r="F291">
        <v>56118.075983401955</v>
      </c>
      <c r="G291">
        <v>190610.29349276732</v>
      </c>
      <c r="H291">
        <v>95490.348738845554</v>
      </c>
      <c r="I291">
        <v>25163.533650290916</v>
      </c>
      <c r="J291">
        <v>56639.279241047836</v>
      </c>
      <c r="K291">
        <v>78092.608940565609</v>
      </c>
      <c r="L291">
        <v>255385.77057074991</v>
      </c>
    </row>
    <row r="292" spans="1:12" x14ac:dyDescent="0.25">
      <c r="A292" t="s">
        <v>620</v>
      </c>
      <c r="B292" t="s">
        <v>621</v>
      </c>
      <c r="C292">
        <v>271855.68930646963</v>
      </c>
      <c r="D292">
        <v>70684.658762183215</v>
      </c>
      <c r="E292">
        <v>123563.65153690509</v>
      </c>
      <c r="F292">
        <v>167348.04265721905</v>
      </c>
      <c r="G292">
        <v>633452.04226277699</v>
      </c>
      <c r="H292">
        <v>302816.24104570842</v>
      </c>
      <c r="I292">
        <v>79797.872476598233</v>
      </c>
      <c r="J292">
        <v>156813.66268977613</v>
      </c>
      <c r="K292">
        <v>216210.16723841862</v>
      </c>
      <c r="L292">
        <v>755637.94345050142</v>
      </c>
    </row>
    <row r="293" spans="1:12" x14ac:dyDescent="0.25">
      <c r="A293" t="s">
        <v>622</v>
      </c>
      <c r="B293" t="s">
        <v>623</v>
      </c>
      <c r="C293">
        <v>30700.886746596065</v>
      </c>
      <c r="D293">
        <v>6414.0564797406378</v>
      </c>
      <c r="E293">
        <v>14923.529104184163</v>
      </c>
      <c r="F293">
        <v>20578.556648982416</v>
      </c>
      <c r="G293">
        <v>72617.028979503288</v>
      </c>
      <c r="H293">
        <v>26095.753734606653</v>
      </c>
      <c r="I293">
        <v>5451.9480077795415</v>
      </c>
      <c r="J293">
        <v>12684.999738556538</v>
      </c>
      <c r="K293">
        <v>17491.773151635054</v>
      </c>
      <c r="L293">
        <v>61724.474632577789</v>
      </c>
    </row>
    <row r="294" spans="1:12" x14ac:dyDescent="0.25">
      <c r="A294" t="s">
        <v>624</v>
      </c>
      <c r="B294" t="s">
        <v>1407</v>
      </c>
      <c r="C294">
        <v>684306.60722018103</v>
      </c>
      <c r="D294">
        <v>0</v>
      </c>
      <c r="E294">
        <v>363270.11635185138</v>
      </c>
      <c r="F294">
        <v>500925.39211338776</v>
      </c>
      <c r="G294">
        <v>1548502.1156854201</v>
      </c>
      <c r="H294">
        <v>703703.65106644784</v>
      </c>
      <c r="I294">
        <v>0</v>
      </c>
      <c r="J294">
        <v>362909.01039868867</v>
      </c>
      <c r="K294">
        <v>500368.50415168056</v>
      </c>
      <c r="L294">
        <v>1566981.1656168171</v>
      </c>
    </row>
    <row r="295" spans="1:12" x14ac:dyDescent="0.25">
      <c r="A295" t="s">
        <v>625</v>
      </c>
      <c r="B295" t="s">
        <v>626</v>
      </c>
      <c r="C295">
        <v>702080.80481031537</v>
      </c>
      <c r="D295">
        <v>183878.84828440272</v>
      </c>
      <c r="E295">
        <v>459207.36827934097</v>
      </c>
      <c r="F295">
        <v>633216.49830917444</v>
      </c>
      <c r="G295">
        <v>1978383.5196832335</v>
      </c>
      <c r="H295">
        <v>733813.22048860567</v>
      </c>
      <c r="I295">
        <v>193373.82165493834</v>
      </c>
      <c r="J295">
        <v>471787.58016990969</v>
      </c>
      <c r="K295">
        <v>650487.1441676718</v>
      </c>
      <c r="L295">
        <v>2049461.7664811253</v>
      </c>
    </row>
    <row r="296" spans="1:12" x14ac:dyDescent="0.25">
      <c r="A296" t="s">
        <v>627</v>
      </c>
      <c r="B296" t="s">
        <v>628</v>
      </c>
      <c r="C296">
        <v>152913.13630714122</v>
      </c>
      <c r="D296">
        <v>38836.894137223666</v>
      </c>
      <c r="E296">
        <v>73591.811567493729</v>
      </c>
      <c r="F296">
        <v>96971.354562768945</v>
      </c>
      <c r="G296">
        <v>362313.19657462754</v>
      </c>
      <c r="H296">
        <v>153988.94075903919</v>
      </c>
      <c r="I296">
        <v>40579.031742361025</v>
      </c>
      <c r="J296">
        <v>87351.251904809033</v>
      </c>
      <c r="K296">
        <v>120437.3933933713</v>
      </c>
      <c r="L296">
        <v>402356.61779958056</v>
      </c>
    </row>
    <row r="297" spans="1:12" x14ac:dyDescent="0.25">
      <c r="A297" t="s">
        <v>257</v>
      </c>
      <c r="B297" t="s">
        <v>258</v>
      </c>
      <c r="C297">
        <v>252878.35662327809</v>
      </c>
      <c r="D297">
        <v>0</v>
      </c>
      <c r="E297">
        <v>122922.75288446431</v>
      </c>
      <c r="F297">
        <v>169502.32187188146</v>
      </c>
      <c r="G297">
        <v>545303.43137962383</v>
      </c>
      <c r="H297">
        <v>235714.91490489803</v>
      </c>
      <c r="I297">
        <v>0</v>
      </c>
      <c r="J297">
        <v>112804.38893844659</v>
      </c>
      <c r="K297">
        <v>155531.44655423766</v>
      </c>
      <c r="L297">
        <v>504050.75039758231</v>
      </c>
    </row>
    <row r="298" spans="1:12" x14ac:dyDescent="0.25">
      <c r="A298" t="s">
        <v>629</v>
      </c>
      <c r="B298" t="s">
        <v>630</v>
      </c>
      <c r="C298">
        <v>0</v>
      </c>
      <c r="D298">
        <v>2139.3204397623217</v>
      </c>
      <c r="E298">
        <v>0</v>
      </c>
      <c r="F298">
        <v>0</v>
      </c>
      <c r="G298">
        <v>2139.3204397623217</v>
      </c>
      <c r="H298">
        <v>0</v>
      </c>
      <c r="I298">
        <v>1818.4223737979735</v>
      </c>
      <c r="J298">
        <v>0</v>
      </c>
      <c r="K298">
        <v>0</v>
      </c>
      <c r="L298">
        <v>1818.4223737979735</v>
      </c>
    </row>
    <row r="299" spans="1:12" x14ac:dyDescent="0.25">
      <c r="A299" t="s">
        <v>631</v>
      </c>
      <c r="B299" t="s">
        <v>632</v>
      </c>
      <c r="C299">
        <v>42011.739758499876</v>
      </c>
      <c r="D299">
        <v>11003.107147052866</v>
      </c>
      <c r="E299">
        <v>20421.671405725705</v>
      </c>
      <c r="F299">
        <v>28160.1301512391</v>
      </c>
      <c r="G299">
        <v>101596.64846251754</v>
      </c>
      <c r="H299">
        <v>36131.483306590191</v>
      </c>
      <c r="I299">
        <v>9352.6410749949355</v>
      </c>
      <c r="J299">
        <v>17358.420694866847</v>
      </c>
      <c r="K299">
        <v>23936.110628553233</v>
      </c>
      <c r="L299">
        <v>86778.655705005207</v>
      </c>
    </row>
    <row r="300" spans="1:12" x14ac:dyDescent="0.25">
      <c r="A300" t="s">
        <v>633</v>
      </c>
      <c r="B300" t="s">
        <v>634</v>
      </c>
      <c r="C300">
        <v>65441.36385458638</v>
      </c>
      <c r="D300">
        <v>17139.455363678495</v>
      </c>
      <c r="E300">
        <v>44635.246099412849</v>
      </c>
      <c r="F300">
        <v>60982.576004739145</v>
      </c>
      <c r="G300">
        <v>188198.64132241686</v>
      </c>
      <c r="H300">
        <v>64520.505904625388</v>
      </c>
      <c r="I300">
        <v>17002.387601547918</v>
      </c>
      <c r="J300">
        <v>40534.394245833901</v>
      </c>
      <c r="K300">
        <v>55887.656779865079</v>
      </c>
      <c r="L300">
        <v>177944.94453187229</v>
      </c>
    </row>
    <row r="301" spans="1:12" x14ac:dyDescent="0.25">
      <c r="A301" t="s">
        <v>67</v>
      </c>
      <c r="B301" t="s">
        <v>1397</v>
      </c>
      <c r="C301">
        <v>894177.19076770253</v>
      </c>
      <c r="D301">
        <v>204734.93756714149</v>
      </c>
      <c r="E301">
        <v>520135.30895533948</v>
      </c>
      <c r="F301">
        <v>717232.08671013394</v>
      </c>
      <c r="G301">
        <v>2336279.5240003173</v>
      </c>
      <c r="H301">
        <v>762557.23899258091</v>
      </c>
      <c r="I301">
        <v>173687.31340474205</v>
      </c>
      <c r="J301">
        <v>441257.87954374752</v>
      </c>
      <c r="K301">
        <v>608465.34406228003</v>
      </c>
      <c r="L301">
        <v>1985967.7760033505</v>
      </c>
    </row>
    <row r="302" spans="1:12" x14ac:dyDescent="0.25">
      <c r="A302" t="s">
        <v>310</v>
      </c>
      <c r="B302" t="s">
        <v>1393</v>
      </c>
      <c r="C302">
        <v>339435.63467078982</v>
      </c>
      <c r="D302">
        <v>0</v>
      </c>
      <c r="E302">
        <v>154280.03948958201</v>
      </c>
      <c r="F302">
        <v>208948.68602963505</v>
      </c>
      <c r="G302">
        <v>702664.3601900069</v>
      </c>
      <c r="H302">
        <v>369917.56718651857</v>
      </c>
      <c r="I302">
        <v>0</v>
      </c>
      <c r="J302">
        <v>177028.78556033588</v>
      </c>
      <c r="K302">
        <v>244082.19714716132</v>
      </c>
      <c r="L302">
        <v>791028.54989401577</v>
      </c>
    </row>
    <row r="303" spans="1:12" x14ac:dyDescent="0.25">
      <c r="A303" t="s">
        <v>259</v>
      </c>
      <c r="B303" t="s">
        <v>1392</v>
      </c>
      <c r="C303">
        <v>614017.73493192135</v>
      </c>
      <c r="D303">
        <v>0</v>
      </c>
      <c r="E303">
        <v>312019.57561248221</v>
      </c>
      <c r="F303">
        <v>430254.29625306663</v>
      </c>
      <c r="G303">
        <v>1356291.6067974702</v>
      </c>
      <c r="H303">
        <v>637462.59833769826</v>
      </c>
      <c r="I303">
        <v>0</v>
      </c>
      <c r="J303">
        <v>315358.25520748214</v>
      </c>
      <c r="K303">
        <v>434806.89073191996</v>
      </c>
      <c r="L303">
        <v>1387627.7442771003</v>
      </c>
    </row>
    <row r="304" spans="1:12" x14ac:dyDescent="0.25">
      <c r="A304" t="s">
        <v>71</v>
      </c>
      <c r="B304" t="s">
        <v>1389</v>
      </c>
      <c r="C304">
        <v>9614.6000607706683</v>
      </c>
      <c r="D304">
        <v>0</v>
      </c>
      <c r="E304">
        <v>6118.2888850737545</v>
      </c>
      <c r="F304">
        <v>8436.7145021367051</v>
      </c>
      <c r="G304">
        <v>24169.603447981128</v>
      </c>
      <c r="H304">
        <v>0</v>
      </c>
      <c r="I304">
        <v>0</v>
      </c>
      <c r="J304">
        <v>0</v>
      </c>
      <c r="K304">
        <v>0</v>
      </c>
      <c r="L304">
        <v>0</v>
      </c>
    </row>
    <row r="305" spans="1:12" x14ac:dyDescent="0.25">
      <c r="A305" t="s">
        <v>635</v>
      </c>
      <c r="B305" t="s">
        <v>636</v>
      </c>
      <c r="C305">
        <v>90486.82409523052</v>
      </c>
      <c r="D305">
        <v>23699.000009036936</v>
      </c>
      <c r="E305">
        <v>58008.582349309087</v>
      </c>
      <c r="F305">
        <v>79989.986930619998</v>
      </c>
      <c r="G305">
        <v>252184.39338419656</v>
      </c>
      <c r="H305">
        <v>76913.800480945938</v>
      </c>
      <c r="I305">
        <v>20144.150007681394</v>
      </c>
      <c r="J305">
        <v>49307.294996912722</v>
      </c>
      <c r="K305">
        <v>67991.488891026995</v>
      </c>
      <c r="L305">
        <v>214356.73437656707</v>
      </c>
    </row>
    <row r="306" spans="1:12" x14ac:dyDescent="0.25">
      <c r="A306" t="s">
        <v>260</v>
      </c>
      <c r="B306" t="s">
        <v>261</v>
      </c>
      <c r="C306">
        <v>232680.40481630701</v>
      </c>
      <c r="D306">
        <v>0</v>
      </c>
      <c r="E306">
        <v>113104.64163171158</v>
      </c>
      <c r="F306">
        <v>155963.79776070884</v>
      </c>
      <c r="G306">
        <v>501748.84420872742</v>
      </c>
      <c r="H306">
        <v>197778.34409386094</v>
      </c>
      <c r="I306">
        <v>0</v>
      </c>
      <c r="J306">
        <v>0</v>
      </c>
      <c r="K306">
        <v>0</v>
      </c>
      <c r="L306">
        <v>197778.34409386094</v>
      </c>
    </row>
    <row r="307" spans="1:12" x14ac:dyDescent="0.25">
      <c r="A307" t="s">
        <v>311</v>
      </c>
      <c r="B307" t="s">
        <v>312</v>
      </c>
      <c r="C307">
        <v>132498.56385373042</v>
      </c>
      <c r="D307">
        <v>0</v>
      </c>
      <c r="E307">
        <v>64406.809818057969</v>
      </c>
      <c r="F307">
        <v>88812.718169292551</v>
      </c>
      <c r="G307">
        <v>285718.09184108092</v>
      </c>
      <c r="H307">
        <v>127320.46498512739</v>
      </c>
      <c r="I307">
        <v>0</v>
      </c>
      <c r="J307">
        <v>60930.837820766763</v>
      </c>
      <c r="K307">
        <v>84009.686459953184</v>
      </c>
      <c r="L307">
        <v>272260.98926584731</v>
      </c>
    </row>
    <row r="308" spans="1:12" x14ac:dyDescent="0.25">
      <c r="A308" t="s">
        <v>73</v>
      </c>
      <c r="B308" t="s">
        <v>1404</v>
      </c>
      <c r="C308">
        <v>36411.305074022493</v>
      </c>
      <c r="D308">
        <v>9536.3223088718059</v>
      </c>
      <c r="E308">
        <v>27936.337723612032</v>
      </c>
      <c r="F308">
        <v>38522.356501403592</v>
      </c>
      <c r="G308">
        <v>112406.32160790992</v>
      </c>
      <c r="H308">
        <v>39273.099014287531</v>
      </c>
      <c r="I308">
        <v>10349.212895849554</v>
      </c>
      <c r="J308">
        <v>28697.813676823946</v>
      </c>
      <c r="K308">
        <v>39567.719980611248</v>
      </c>
      <c r="L308">
        <v>117887.84556757228</v>
      </c>
    </row>
    <row r="309" spans="1:12" x14ac:dyDescent="0.25">
      <c r="A309" t="s">
        <v>262</v>
      </c>
      <c r="B309" t="s">
        <v>263</v>
      </c>
      <c r="C309">
        <v>24237.542168365319</v>
      </c>
      <c r="D309">
        <v>0</v>
      </c>
      <c r="E309">
        <v>11781.73350330329</v>
      </c>
      <c r="F309">
        <v>16246.228933407167</v>
      </c>
      <c r="G309">
        <v>52265.504605075781</v>
      </c>
      <c r="H309">
        <v>28389.022598035164</v>
      </c>
      <c r="I309">
        <v>0</v>
      </c>
      <c r="J309">
        <v>13585.930054630429</v>
      </c>
      <c r="K309">
        <v>18731.889548503073</v>
      </c>
      <c r="L309">
        <v>60706.842201168671</v>
      </c>
    </row>
    <row r="310" spans="1:12" x14ac:dyDescent="0.25">
      <c r="A310" t="s">
        <v>637</v>
      </c>
      <c r="B310" t="s">
        <v>638</v>
      </c>
      <c r="C310">
        <v>51227.044146483327</v>
      </c>
      <c r="D310">
        <v>13319.442179514079</v>
      </c>
      <c r="E310">
        <v>27343.95126818238</v>
      </c>
      <c r="F310">
        <v>34509.548440193255</v>
      </c>
      <c r="G310">
        <v>126399.98603437305</v>
      </c>
      <c r="H310">
        <v>43542.987524510827</v>
      </c>
      <c r="I310">
        <v>11321.525852586967</v>
      </c>
      <c r="J310">
        <v>23242.358577955023</v>
      </c>
      <c r="K310">
        <v>29333.116174164265</v>
      </c>
      <c r="L310">
        <v>107439.98812921709</v>
      </c>
    </row>
    <row r="311" spans="1:12" x14ac:dyDescent="0.25">
      <c r="A311" t="s">
        <v>639</v>
      </c>
      <c r="B311" t="s">
        <v>640</v>
      </c>
      <c r="C311">
        <v>11626.869827496843</v>
      </c>
      <c r="D311">
        <v>2952.9935984753406</v>
      </c>
      <c r="E311">
        <v>5328.460274099566</v>
      </c>
      <c r="F311">
        <v>7021.2704308745797</v>
      </c>
      <c r="G311">
        <v>26929.594130946331</v>
      </c>
      <c r="H311">
        <v>12904.101180925074</v>
      </c>
      <c r="I311">
        <v>2510.0445587040394</v>
      </c>
      <c r="J311">
        <v>6175.4227521047396</v>
      </c>
      <c r="K311">
        <v>8514.4952493195833</v>
      </c>
      <c r="L311">
        <v>30104.063741053433</v>
      </c>
    </row>
    <row r="312" spans="1:12" x14ac:dyDescent="0.25">
      <c r="A312" t="s">
        <v>641</v>
      </c>
      <c r="B312" t="s">
        <v>642</v>
      </c>
      <c r="C312">
        <v>99834.010197291136</v>
      </c>
      <c r="D312">
        <v>25957.643048259361</v>
      </c>
      <c r="E312">
        <v>46734.209563103039</v>
      </c>
      <c r="F312">
        <v>64443.374769181777</v>
      </c>
      <c r="G312">
        <v>236969.2375778353</v>
      </c>
      <c r="H312">
        <v>87747.888030290516</v>
      </c>
      <c r="I312">
        <v>22063.996591020456</v>
      </c>
      <c r="J312">
        <v>41992.874714312224</v>
      </c>
      <c r="K312">
        <v>57898.567695373153</v>
      </c>
      <c r="L312">
        <v>209703.32703099636</v>
      </c>
    </row>
    <row r="313" spans="1:12" x14ac:dyDescent="0.25">
      <c r="A313" t="s">
        <v>643</v>
      </c>
      <c r="B313" t="s">
        <v>644</v>
      </c>
      <c r="C313">
        <v>16966.279517855728</v>
      </c>
      <c r="D313">
        <v>2314.4821029367145</v>
      </c>
      <c r="E313">
        <v>8247.2134523123041</v>
      </c>
      <c r="F313">
        <v>11372.360253385017</v>
      </c>
      <c r="G313">
        <v>38900.33532648976</v>
      </c>
      <c r="H313">
        <v>18065.741653295096</v>
      </c>
      <c r="I313">
        <v>1967.3097874962073</v>
      </c>
      <c r="J313">
        <v>8645.5918529466326</v>
      </c>
      <c r="K313">
        <v>11920.29334904741</v>
      </c>
      <c r="L313">
        <v>40598.936642785346</v>
      </c>
    </row>
    <row r="314" spans="1:12" x14ac:dyDescent="0.25">
      <c r="A314" t="s">
        <v>645</v>
      </c>
      <c r="B314" t="s">
        <v>646</v>
      </c>
      <c r="C314">
        <v>12118.771084182659</v>
      </c>
      <c r="D314">
        <v>3173.9732154960188</v>
      </c>
      <c r="E314">
        <v>10352.020142677437</v>
      </c>
      <c r="F314">
        <v>14274.749052338208</v>
      </c>
      <c r="G314">
        <v>39919.513494694322</v>
      </c>
      <c r="H314">
        <v>13764.374592986747</v>
      </c>
      <c r="I314">
        <v>3627.1760216635562</v>
      </c>
      <c r="J314">
        <v>12399.579882094837</v>
      </c>
      <c r="K314">
        <v>17096.184056981707</v>
      </c>
      <c r="L314">
        <v>46887.314553726843</v>
      </c>
    </row>
    <row r="315" spans="1:12" x14ac:dyDescent="0.25">
      <c r="A315" t="s">
        <v>647</v>
      </c>
      <c r="B315" t="s">
        <v>648</v>
      </c>
      <c r="C315">
        <v>214906.20722617253</v>
      </c>
      <c r="D315">
        <v>0</v>
      </c>
      <c r="E315">
        <v>104464.70372928915</v>
      </c>
      <c r="F315">
        <v>144049.89654287684</v>
      </c>
      <c r="G315">
        <v>463420.80749833852</v>
      </c>
      <c r="H315">
        <v>211627.25936717121</v>
      </c>
      <c r="I315">
        <v>0</v>
      </c>
      <c r="J315">
        <v>101276.93313451773</v>
      </c>
      <c r="K315">
        <v>139637.72208884114</v>
      </c>
      <c r="L315">
        <v>452541.9145905301</v>
      </c>
    </row>
    <row r="316" spans="1:12" x14ac:dyDescent="0.25">
      <c r="A316" t="s">
        <v>649</v>
      </c>
      <c r="B316" t="s">
        <v>650</v>
      </c>
      <c r="C316">
        <v>3269032.8267855183</v>
      </c>
      <c r="D316">
        <v>830269.29465345829</v>
      </c>
      <c r="E316">
        <v>2238333.0034025693</v>
      </c>
      <c r="F316">
        <v>3086512.7268651389</v>
      </c>
      <c r="G316">
        <v>9424147.8517066836</v>
      </c>
      <c r="H316">
        <v>3695734.578216942</v>
      </c>
      <c r="I316">
        <v>973896.7618166646</v>
      </c>
      <c r="J316">
        <v>2929414.7061734186</v>
      </c>
      <c r="K316">
        <v>4038992.7297688983</v>
      </c>
      <c r="L316">
        <v>11638038.775975924</v>
      </c>
    </row>
    <row r="317" spans="1:12" x14ac:dyDescent="0.25">
      <c r="A317" t="s">
        <v>651</v>
      </c>
      <c r="B317" t="s">
        <v>652</v>
      </c>
      <c r="C317">
        <v>600283.12770318112</v>
      </c>
      <c r="D317">
        <v>0</v>
      </c>
      <c r="E317">
        <v>302005.10213467438</v>
      </c>
      <c r="F317">
        <v>416445.00165967044</v>
      </c>
      <c r="G317">
        <v>1318733.2314975259</v>
      </c>
      <c r="H317">
        <v>517884.59406112629</v>
      </c>
      <c r="I317">
        <v>0</v>
      </c>
      <c r="J317">
        <v>256704.33681447321</v>
      </c>
      <c r="K317">
        <v>353978.25141071988</v>
      </c>
      <c r="L317">
        <v>1128567.1822863193</v>
      </c>
    </row>
    <row r="318" spans="1:12" x14ac:dyDescent="0.25">
      <c r="A318" t="s">
        <v>653</v>
      </c>
      <c r="B318" t="s">
        <v>654</v>
      </c>
      <c r="C318">
        <v>138961.90843196114</v>
      </c>
      <c r="D318">
        <v>33726.295308902583</v>
      </c>
      <c r="E318">
        <v>67548.605418938852</v>
      </c>
      <c r="F318">
        <v>93145.045884867781</v>
      </c>
      <c r="G318">
        <v>333381.85504467034</v>
      </c>
      <c r="H318">
        <v>128180.73839718908</v>
      </c>
      <c r="I318">
        <v>28667.351012567196</v>
      </c>
      <c r="J318">
        <v>61342.532670907087</v>
      </c>
      <c r="K318">
        <v>84577.319476574499</v>
      </c>
      <c r="L318">
        <v>302767.94155723788</v>
      </c>
    </row>
  </sheetData>
  <sheetProtection algorithmName="SHA-512" hashValue="Pb3JVhTaJ/d6DkdJvYy5ydqlCVuenTe5KR5JIbNcDtcfynQo2LK9qvR7qXjCatkLGNRXUWCmMRxIv7A3yMYZCw==" saltValue="wyI3waSJUsbVzNyhYowZgw==" spinCount="100000" sheet="1" objects="1" scenarios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601FD-8A5A-4690-AAC1-9C9831E8E4DF}">
  <sheetPr>
    <tabColor theme="4" tint="0.79998168889431442"/>
  </sheetPr>
  <dimension ref="A1:L318"/>
  <sheetViews>
    <sheetView topLeftCell="D1" workbookViewId="0"/>
  </sheetViews>
  <sheetFormatPr defaultRowHeight="15" x14ac:dyDescent="0.25"/>
  <cols>
    <col min="1" max="1" width="8.28515625" bestFit="1" customWidth="1"/>
    <col min="2" max="2" width="47.5703125" bestFit="1" customWidth="1"/>
    <col min="3" max="3" width="50.5703125" bestFit="1" customWidth="1"/>
    <col min="4" max="4" width="42.140625" bestFit="1" customWidth="1"/>
    <col min="5" max="5" width="54.85546875" bestFit="1" customWidth="1"/>
    <col min="6" max="6" width="49.5703125" bestFit="1" customWidth="1"/>
    <col min="7" max="7" width="25.85546875" bestFit="1" customWidth="1"/>
    <col min="8" max="8" width="20.85546875" bestFit="1" customWidth="1"/>
    <col min="9" max="9" width="21.28515625" bestFit="1" customWidth="1"/>
    <col min="10" max="10" width="24.140625" bestFit="1" customWidth="1"/>
    <col min="11" max="11" width="20.42578125" bestFit="1" customWidth="1"/>
    <col min="12" max="12" width="26.42578125" bestFit="1" customWidth="1"/>
    <col min="13" max="13" width="26.42578125" customWidth="1"/>
    <col min="14" max="14" width="26.42578125" bestFit="1" customWidth="1"/>
  </cols>
  <sheetData>
    <row r="1" spans="1:12" x14ac:dyDescent="0.25">
      <c r="A1" t="s">
        <v>4</v>
      </c>
      <c r="B1" t="s">
        <v>1284</v>
      </c>
      <c r="C1" t="s">
        <v>1332</v>
      </c>
      <c r="D1" t="s">
        <v>1366</v>
      </c>
      <c r="E1" t="s">
        <v>1333</v>
      </c>
      <c r="F1" t="s">
        <v>1334</v>
      </c>
      <c r="G1" t="s">
        <v>1367</v>
      </c>
      <c r="H1" t="s">
        <v>1335</v>
      </c>
      <c r="I1" t="s">
        <v>1336</v>
      </c>
      <c r="J1" t="s">
        <v>1337</v>
      </c>
      <c r="K1" t="s">
        <v>1338</v>
      </c>
      <c r="L1" t="s">
        <v>1339</v>
      </c>
    </row>
    <row r="2" spans="1:12" x14ac:dyDescent="0.25">
      <c r="A2" t="s">
        <v>313</v>
      </c>
      <c r="B2" t="s">
        <v>1388</v>
      </c>
      <c r="C2">
        <v>608362.30842596956</v>
      </c>
      <c r="D2">
        <v>159333.45541790014</v>
      </c>
      <c r="E2">
        <v>355016.67821700493</v>
      </c>
      <c r="F2">
        <v>489544.44843571616</v>
      </c>
      <c r="G2">
        <v>1612256.8904965906</v>
      </c>
      <c r="H2">
        <v>713166.65859912592</v>
      </c>
      <c r="I2">
        <v>187933.05762244295</v>
      </c>
      <c r="J2">
        <v>446620.38579443697</v>
      </c>
      <c r="K2">
        <v>615787.34051849949</v>
      </c>
      <c r="L2">
        <v>1963507.4425345054</v>
      </c>
    </row>
    <row r="3" spans="1:12" x14ac:dyDescent="0.25">
      <c r="A3" t="s">
        <v>264</v>
      </c>
      <c r="B3" t="s">
        <v>265</v>
      </c>
      <c r="C3">
        <v>37494.159715491551</v>
      </c>
      <c r="D3">
        <v>0</v>
      </c>
      <c r="E3">
        <v>17279.875804844825</v>
      </c>
      <c r="F3">
        <v>23827.802435663845</v>
      </c>
      <c r="G3">
        <v>78601.837956000221</v>
      </c>
      <c r="H3">
        <v>33550.663070405179</v>
      </c>
      <c r="I3">
        <v>0</v>
      </c>
      <c r="J3">
        <v>16056.099155472324</v>
      </c>
      <c r="K3">
        <v>22137.687648230905</v>
      </c>
      <c r="L3">
        <v>71744.44987410841</v>
      </c>
    </row>
    <row r="4" spans="1:12" x14ac:dyDescent="0.25">
      <c r="A4" t="s">
        <v>266</v>
      </c>
      <c r="B4" t="s">
        <v>267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</row>
    <row r="5" spans="1:12" x14ac:dyDescent="0.25">
      <c r="A5" t="s">
        <v>93</v>
      </c>
      <c r="B5" t="s">
        <v>94</v>
      </c>
      <c r="C5">
        <v>232680.40481630701</v>
      </c>
      <c r="D5">
        <v>0</v>
      </c>
      <c r="E5">
        <v>113104.64163171158</v>
      </c>
      <c r="F5">
        <v>155963.79776070884</v>
      </c>
      <c r="G5">
        <v>501748.84420872742</v>
      </c>
      <c r="H5">
        <v>225391.63396015795</v>
      </c>
      <c r="I5">
        <v>0</v>
      </c>
      <c r="J5">
        <v>107864.05073676282</v>
      </c>
      <c r="K5">
        <v>148719.85035478199</v>
      </c>
      <c r="L5">
        <v>481975.53505170275</v>
      </c>
    </row>
    <row r="6" spans="1:12" x14ac:dyDescent="0.25">
      <c r="A6" t="s">
        <v>95</v>
      </c>
      <c r="B6" t="s">
        <v>96</v>
      </c>
      <c r="C6">
        <v>392648.18312751822</v>
      </c>
      <c r="D6">
        <v>0</v>
      </c>
      <c r="E6">
        <v>190864.08275351327</v>
      </c>
      <c r="F6">
        <v>263188.90872119612</v>
      </c>
      <c r="G6">
        <v>846701.17460222763</v>
      </c>
      <c r="H6">
        <v>494657.21193546127</v>
      </c>
      <c r="I6">
        <v>0</v>
      </c>
      <c r="J6">
        <v>236724.53883068167</v>
      </c>
      <c r="K6">
        <v>326388.98455725057</v>
      </c>
      <c r="L6">
        <v>1057770.7353233935</v>
      </c>
    </row>
    <row r="7" spans="1:12" x14ac:dyDescent="0.25">
      <c r="A7" t="s">
        <v>314</v>
      </c>
      <c r="B7" t="s">
        <v>315</v>
      </c>
      <c r="C7">
        <v>51706.756625846043</v>
      </c>
      <c r="D7">
        <v>0</v>
      </c>
      <c r="E7">
        <v>25134.364807047019</v>
      </c>
      <c r="F7">
        <v>34658.621724601966</v>
      </c>
      <c r="G7">
        <v>111499.74315749503</v>
      </c>
      <c r="H7">
        <v>43950.743131969139</v>
      </c>
      <c r="I7">
        <v>0</v>
      </c>
      <c r="J7">
        <v>21364.210085989966</v>
      </c>
      <c r="K7">
        <v>29459.828465911669</v>
      </c>
      <c r="L7">
        <v>94774.781683870766</v>
      </c>
    </row>
    <row r="8" spans="1:12" x14ac:dyDescent="0.25">
      <c r="A8" t="s">
        <v>316</v>
      </c>
      <c r="B8" t="s">
        <v>317</v>
      </c>
      <c r="C8">
        <v>2292063.5710550812</v>
      </c>
      <c r="D8">
        <v>600304.13415748032</v>
      </c>
      <c r="E8">
        <v>1648460.8793371848</v>
      </c>
      <c r="F8">
        <v>2273118.1982658859</v>
      </c>
      <c r="G8">
        <v>6813946.7828156324</v>
      </c>
      <c r="H8">
        <v>2554151.7604111023</v>
      </c>
      <c r="I8">
        <v>673067.85051994352</v>
      </c>
      <c r="J8">
        <v>1836776.5739010198</v>
      </c>
      <c r="K8">
        <v>2532494.7036559545</v>
      </c>
      <c r="L8">
        <v>7596490.8884880198</v>
      </c>
    </row>
    <row r="9" spans="1:12" x14ac:dyDescent="0.25">
      <c r="A9" t="s">
        <v>97</v>
      </c>
      <c r="B9" t="s">
        <v>98</v>
      </c>
      <c r="C9">
        <v>129266.89156461507</v>
      </c>
      <c r="D9">
        <v>0</v>
      </c>
      <c r="E9">
        <v>0</v>
      </c>
      <c r="F9">
        <v>0</v>
      </c>
      <c r="G9">
        <v>129266.89156461507</v>
      </c>
      <c r="H9">
        <v>122158.82451275738</v>
      </c>
      <c r="I9">
        <v>0</v>
      </c>
      <c r="J9">
        <v>0</v>
      </c>
      <c r="K9">
        <v>0</v>
      </c>
      <c r="L9">
        <v>122158.82451275738</v>
      </c>
    </row>
    <row r="10" spans="1:12" x14ac:dyDescent="0.25">
      <c r="A10" t="s">
        <v>99</v>
      </c>
      <c r="B10" t="s">
        <v>100</v>
      </c>
      <c r="C10">
        <v>911331.58553053625</v>
      </c>
      <c r="D10">
        <v>0</v>
      </c>
      <c r="E10">
        <v>528803.47207326267</v>
      </c>
      <c r="F10">
        <v>729184.90862775838</v>
      </c>
      <c r="G10">
        <v>2169319.9662315571</v>
      </c>
      <c r="H10">
        <v>774631.84770095581</v>
      </c>
      <c r="I10">
        <v>0</v>
      </c>
      <c r="J10">
        <v>449482.95126227324</v>
      </c>
      <c r="K10">
        <v>619807.17233359464</v>
      </c>
      <c r="L10">
        <v>1843921.9712968238</v>
      </c>
    </row>
    <row r="11" spans="1:12" x14ac:dyDescent="0.25">
      <c r="A11" t="s">
        <v>101</v>
      </c>
      <c r="B11" t="s">
        <v>102</v>
      </c>
      <c r="C11">
        <v>1299940.1782966596</v>
      </c>
      <c r="D11">
        <v>0</v>
      </c>
      <c r="E11">
        <v>812154.16282770666</v>
      </c>
      <c r="F11">
        <v>1119906.7144762005</v>
      </c>
      <c r="G11">
        <v>3232001.0556005668</v>
      </c>
      <c r="H11">
        <v>1162229.3796953182</v>
      </c>
      <c r="I11">
        <v>0</v>
      </c>
      <c r="J11">
        <v>692059.04308587138</v>
      </c>
      <c r="K11">
        <v>954191.10094041436</v>
      </c>
      <c r="L11">
        <v>2808479.5237216037</v>
      </c>
    </row>
    <row r="12" spans="1:12" x14ac:dyDescent="0.25">
      <c r="A12" t="s">
        <v>59</v>
      </c>
      <c r="B12" t="s">
        <v>1390</v>
      </c>
      <c r="C12">
        <v>1452717.1107639375</v>
      </c>
      <c r="D12">
        <v>0</v>
      </c>
      <c r="E12">
        <v>924442.29565083107</v>
      </c>
      <c r="F12">
        <v>1274744.6007548065</v>
      </c>
      <c r="G12">
        <v>3651904.0071695754</v>
      </c>
      <c r="H12">
        <v>1235747.1496977005</v>
      </c>
      <c r="I12">
        <v>0</v>
      </c>
      <c r="J12">
        <v>786372.60031292262</v>
      </c>
      <c r="K12">
        <v>1084355.6500459372</v>
      </c>
      <c r="L12">
        <v>3106475.4000565605</v>
      </c>
    </row>
    <row r="13" spans="1:12" x14ac:dyDescent="0.25">
      <c r="A13" t="s">
        <v>103</v>
      </c>
      <c r="B13" t="s">
        <v>104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</row>
    <row r="14" spans="1:12" x14ac:dyDescent="0.25">
      <c r="A14" t="s">
        <v>268</v>
      </c>
      <c r="B14" t="s">
        <v>269</v>
      </c>
      <c r="C14">
        <v>1892144.1252770526</v>
      </c>
      <c r="D14">
        <v>0</v>
      </c>
      <c r="E14">
        <v>1259663.6737281769</v>
      </c>
      <c r="F14">
        <v>1736992.6434634493</v>
      </c>
      <c r="G14">
        <v>4888800.4424686786</v>
      </c>
      <c r="H14">
        <v>1994974.0425710171</v>
      </c>
      <c r="I14">
        <v>0</v>
      </c>
      <c r="J14">
        <v>1301573.2687186098</v>
      </c>
      <c r="K14">
        <v>1794571.7820482571</v>
      </c>
      <c r="L14">
        <v>5091119.0933378842</v>
      </c>
    </row>
    <row r="15" spans="1:12" x14ac:dyDescent="0.25">
      <c r="A15" t="s">
        <v>318</v>
      </c>
      <c r="B15" t="s">
        <v>319</v>
      </c>
      <c r="C15">
        <v>12118.771084182659</v>
      </c>
      <c r="D15">
        <v>3173.9732154960188</v>
      </c>
      <c r="E15">
        <v>6683.7185077564372</v>
      </c>
      <c r="F15">
        <v>9216.4044427772187</v>
      </c>
      <c r="G15">
        <v>31192.86725021233</v>
      </c>
      <c r="H15">
        <v>10906.893975764393</v>
      </c>
      <c r="I15">
        <v>2856.5758939464172</v>
      </c>
      <c r="J15">
        <v>6015.3466569807933</v>
      </c>
      <c r="K15">
        <v>8294.7639984994967</v>
      </c>
      <c r="L15">
        <v>28073.580525191101</v>
      </c>
    </row>
    <row r="16" spans="1:12" x14ac:dyDescent="0.25">
      <c r="A16" t="s">
        <v>320</v>
      </c>
      <c r="B16" t="s">
        <v>321</v>
      </c>
      <c r="C16">
        <v>314280.13011647045</v>
      </c>
      <c r="D16">
        <v>82311.705388530085</v>
      </c>
      <c r="E16">
        <v>152769.81109283265</v>
      </c>
      <c r="F16">
        <v>210659.43516984626</v>
      </c>
      <c r="G16">
        <v>760021.08176767942</v>
      </c>
      <c r="H16">
        <v>267138.11059899989</v>
      </c>
      <c r="I16">
        <v>69964.94958025057</v>
      </c>
      <c r="J16">
        <v>129854.33942890776</v>
      </c>
      <c r="K16">
        <v>179060.51989436932</v>
      </c>
      <c r="L16">
        <v>646017.91950252745</v>
      </c>
    </row>
    <row r="17" spans="1:12" x14ac:dyDescent="0.25">
      <c r="A17" t="s">
        <v>322</v>
      </c>
      <c r="B17" t="s">
        <v>323</v>
      </c>
      <c r="C17">
        <v>23429.624096086474</v>
      </c>
      <c r="D17">
        <v>4507.2007555676237</v>
      </c>
      <c r="E17">
        <v>11389.009053193182</v>
      </c>
      <c r="F17">
        <v>15704.687968960267</v>
      </c>
      <c r="G17">
        <v>55030.521873807549</v>
      </c>
      <c r="H17">
        <v>25808.202361850148</v>
      </c>
      <c r="I17">
        <v>3831.1206422324799</v>
      </c>
      <c r="J17">
        <v>12350.845504209479</v>
      </c>
      <c r="K17">
        <v>17028.990498639167</v>
      </c>
      <c r="L17">
        <v>59019.159006931266</v>
      </c>
    </row>
    <row r="18" spans="1:12" x14ac:dyDescent="0.25">
      <c r="A18" t="s">
        <v>58</v>
      </c>
      <c r="B18" t="s">
        <v>9</v>
      </c>
      <c r="C18">
        <v>673920.84271921485</v>
      </c>
      <c r="D18">
        <v>176503.59836791627</v>
      </c>
      <c r="E18">
        <v>367957.27557733277</v>
      </c>
      <c r="F18">
        <v>507388.67375213397</v>
      </c>
      <c r="G18">
        <v>1725770.3904165979</v>
      </c>
      <c r="H18">
        <v>816327.88559470186</v>
      </c>
      <c r="I18">
        <v>215118.01443947118</v>
      </c>
      <c r="J18">
        <v>457693.50986171741</v>
      </c>
      <c r="K18">
        <v>631054.64545464399</v>
      </c>
      <c r="L18">
        <v>2120194.0553505346</v>
      </c>
    </row>
    <row r="19" spans="1:12" x14ac:dyDescent="0.25">
      <c r="A19" t="s">
        <v>324</v>
      </c>
      <c r="B19" t="s">
        <v>325</v>
      </c>
      <c r="C19">
        <v>231741.39018647218</v>
      </c>
      <c r="D19">
        <v>60254.61938351611</v>
      </c>
      <c r="E19">
        <v>151751.60030420637</v>
      </c>
      <c r="F19">
        <v>205524.30237483457</v>
      </c>
      <c r="G19">
        <v>649271.91224902926</v>
      </c>
      <c r="H19">
        <v>208567.25116782496</v>
      </c>
      <c r="I19">
        <v>54229.157445164499</v>
      </c>
      <c r="J19">
        <v>136576.44027378573</v>
      </c>
      <c r="K19">
        <v>184971.87213735111</v>
      </c>
      <c r="L19">
        <v>584344.72102412628</v>
      </c>
    </row>
    <row r="20" spans="1:12" x14ac:dyDescent="0.25">
      <c r="A20" t="s">
        <v>326</v>
      </c>
      <c r="B20" t="s">
        <v>327</v>
      </c>
      <c r="C20">
        <v>169130.55845188143</v>
      </c>
      <c r="D20">
        <v>43975.30116410998</v>
      </c>
      <c r="E20">
        <v>122580.10080174322</v>
      </c>
      <c r="F20">
        <v>169029.82738040146</v>
      </c>
      <c r="G20">
        <v>504715.78779813612</v>
      </c>
      <c r="H20">
        <v>152217.50260669328</v>
      </c>
      <c r="I20">
        <v>39577.771047698981</v>
      </c>
      <c r="J20">
        <v>110322.09072156889</v>
      </c>
      <c r="K20">
        <v>152126.84464236131</v>
      </c>
      <c r="L20">
        <v>454244.20901832241</v>
      </c>
    </row>
    <row r="21" spans="1:12" x14ac:dyDescent="0.25">
      <c r="A21" t="s">
        <v>328</v>
      </c>
      <c r="B21" t="s">
        <v>329</v>
      </c>
      <c r="C21">
        <v>25853.378312923021</v>
      </c>
      <c r="D21">
        <v>6771.1428597248387</v>
      </c>
      <c r="E21">
        <v>18318.376704493487</v>
      </c>
      <c r="F21">
        <v>25259.826284999024</v>
      </c>
      <c r="G21">
        <v>76202.724162140366</v>
      </c>
      <c r="H21">
        <v>23268.04048163072</v>
      </c>
      <c r="I21">
        <v>6120.8595365572501</v>
      </c>
      <c r="J21">
        <v>16486.539034044137</v>
      </c>
      <c r="K21">
        <v>22733.843656499121</v>
      </c>
      <c r="L21">
        <v>68609.282708731218</v>
      </c>
    </row>
    <row r="22" spans="1:12" x14ac:dyDescent="0.25">
      <c r="A22" t="s">
        <v>330</v>
      </c>
      <c r="B22" t="s">
        <v>331</v>
      </c>
      <c r="C22">
        <v>451612.10172066692</v>
      </c>
      <c r="D22">
        <v>114700.48819341061</v>
      </c>
      <c r="E22">
        <v>203403.42161655519</v>
      </c>
      <c r="F22">
        <v>274019.72801013419</v>
      </c>
      <c r="G22">
        <v>1043735.7395407669</v>
      </c>
      <c r="H22">
        <v>383870.28646256687</v>
      </c>
      <c r="I22">
        <v>97495.414964399009</v>
      </c>
      <c r="J22">
        <v>172892.90837407191</v>
      </c>
      <c r="K22">
        <v>232916.76880861406</v>
      </c>
      <c r="L22">
        <v>887175.37860965193</v>
      </c>
    </row>
    <row r="23" spans="1:12" x14ac:dyDescent="0.25">
      <c r="A23" t="s">
        <v>105</v>
      </c>
      <c r="B23" t="s">
        <v>106</v>
      </c>
      <c r="C23">
        <v>266612.96385201853</v>
      </c>
      <c r="D23">
        <v>0</v>
      </c>
      <c r="E23">
        <v>0</v>
      </c>
      <c r="F23">
        <v>0</v>
      </c>
      <c r="G23">
        <v>266612.96385201853</v>
      </c>
      <c r="H23">
        <v>226621.01927421574</v>
      </c>
      <c r="I23">
        <v>0</v>
      </c>
      <c r="J23">
        <v>0</v>
      </c>
      <c r="K23">
        <v>0</v>
      </c>
      <c r="L23">
        <v>226621.01927421574</v>
      </c>
    </row>
    <row r="24" spans="1:12" x14ac:dyDescent="0.25">
      <c r="A24" t="s">
        <v>332</v>
      </c>
      <c r="B24" t="s">
        <v>333</v>
      </c>
      <c r="C24">
        <v>106645.18554080742</v>
      </c>
      <c r="D24">
        <v>27930.96429636496</v>
      </c>
      <c r="E24">
        <v>66432.453077392129</v>
      </c>
      <c r="F24">
        <v>91605.945848337316</v>
      </c>
      <c r="G24">
        <v>292614.5487629018</v>
      </c>
      <c r="H24">
        <v>98931.442387092218</v>
      </c>
      <c r="I24">
        <v>26070.327655706798</v>
      </c>
      <c r="J24">
        <v>59789.207769652916</v>
      </c>
      <c r="K24">
        <v>82445.351263503588</v>
      </c>
      <c r="L24">
        <v>267236.32907595555</v>
      </c>
    </row>
    <row r="25" spans="1:12" x14ac:dyDescent="0.25">
      <c r="A25" t="s">
        <v>107</v>
      </c>
      <c r="B25" t="s">
        <v>108</v>
      </c>
      <c r="C25">
        <v>15350.443373298032</v>
      </c>
      <c r="D25">
        <v>0</v>
      </c>
      <c r="E25">
        <v>7461.7645520920814</v>
      </c>
      <c r="F25">
        <v>10289.278324491208</v>
      </c>
      <c r="G25">
        <v>33101.486249881324</v>
      </c>
      <c r="H25">
        <v>0</v>
      </c>
      <c r="I25">
        <v>0</v>
      </c>
      <c r="J25">
        <v>0</v>
      </c>
      <c r="K25">
        <v>0</v>
      </c>
      <c r="L25">
        <v>0</v>
      </c>
    </row>
    <row r="26" spans="1:12" x14ac:dyDescent="0.25">
      <c r="A26" t="s">
        <v>334</v>
      </c>
      <c r="B26" t="s">
        <v>335</v>
      </c>
      <c r="C26">
        <v>142193.58072107661</v>
      </c>
      <c r="D26">
        <v>0</v>
      </c>
      <c r="E26">
        <v>69119.503219379301</v>
      </c>
      <c r="F26">
        <v>95311.20974265541</v>
      </c>
      <c r="G26">
        <v>306624.29368311132</v>
      </c>
      <c r="H26">
        <v>152268.39393491583</v>
      </c>
      <c r="I26">
        <v>0</v>
      </c>
      <c r="J26">
        <v>72869.988474835933</v>
      </c>
      <c r="K26">
        <v>100471.04394197105</v>
      </c>
      <c r="L26">
        <v>325609.4263517228</v>
      </c>
    </row>
    <row r="27" spans="1:12" x14ac:dyDescent="0.25">
      <c r="A27" t="s">
        <v>336</v>
      </c>
      <c r="B27" t="s">
        <v>337</v>
      </c>
      <c r="C27">
        <v>162391.53252804765</v>
      </c>
      <c r="D27">
        <v>36679.288907377901</v>
      </c>
      <c r="E27">
        <v>78937.614472132016</v>
      </c>
      <c r="F27">
        <v>108849.73385382805</v>
      </c>
      <c r="G27">
        <v>386858.16976138559</v>
      </c>
      <c r="H27">
        <v>145386.2066384225</v>
      </c>
      <c r="I27">
        <v>31177.395571271216</v>
      </c>
      <c r="J27">
        <v>69576.429673713414</v>
      </c>
      <c r="K27">
        <v>95929.979809000608</v>
      </c>
      <c r="L27">
        <v>342070.01169240777</v>
      </c>
    </row>
    <row r="28" spans="1:12" x14ac:dyDescent="0.25">
      <c r="A28" t="s">
        <v>109</v>
      </c>
      <c r="B28" t="s">
        <v>110</v>
      </c>
      <c r="C28">
        <v>161270.32416485486</v>
      </c>
      <c r="D28">
        <v>0</v>
      </c>
      <c r="E28">
        <v>77366.716671691611</v>
      </c>
      <c r="F28">
        <v>106683.5699960404</v>
      </c>
      <c r="G28">
        <v>345320.61083258688</v>
      </c>
      <c r="H28">
        <v>157430.03440728586</v>
      </c>
      <c r="I28">
        <v>0</v>
      </c>
      <c r="J28">
        <v>75340.157575677833</v>
      </c>
      <c r="K28">
        <v>103876.84204169888</v>
      </c>
      <c r="L28">
        <v>336647.03402466257</v>
      </c>
    </row>
    <row r="29" spans="1:12" x14ac:dyDescent="0.25">
      <c r="A29" t="s">
        <v>69</v>
      </c>
      <c r="B29" t="s">
        <v>1403</v>
      </c>
      <c r="C29">
        <v>52755.711029081001</v>
      </c>
      <c r="D29">
        <v>0</v>
      </c>
      <c r="E29">
        <v>28804.343879735923</v>
      </c>
      <c r="F29">
        <v>39719.279409568313</v>
      </c>
      <c r="G29">
        <v>121279.33431838523</v>
      </c>
      <c r="H29">
        <v>73185.513548353993</v>
      </c>
      <c r="I29">
        <v>0</v>
      </c>
      <c r="J29">
        <v>41033.186735469535</v>
      </c>
      <c r="K29">
        <v>56575.377516384979</v>
      </c>
      <c r="L29">
        <v>170794.07780020853</v>
      </c>
    </row>
    <row r="30" spans="1:12" x14ac:dyDescent="0.25">
      <c r="A30" t="s">
        <v>338</v>
      </c>
      <c r="B30" t="s">
        <v>339</v>
      </c>
      <c r="C30">
        <v>10502.934939624969</v>
      </c>
      <c r="D30">
        <v>1906.344959922915</v>
      </c>
      <c r="E30">
        <v>5105.4178514314262</v>
      </c>
      <c r="F30">
        <v>7040.0325378097732</v>
      </c>
      <c r="G30">
        <v>24554.730288789084</v>
      </c>
      <c r="H30">
        <v>23227.382125665132</v>
      </c>
      <c r="I30">
        <v>6120.8595365572501</v>
      </c>
      <c r="J30">
        <v>16966.449100473848</v>
      </c>
      <c r="K30">
        <v>23392.851965409362</v>
      </c>
      <c r="L30">
        <v>69707.542728105589</v>
      </c>
    </row>
    <row r="31" spans="1:12" x14ac:dyDescent="0.25">
      <c r="A31" t="s">
        <v>111</v>
      </c>
      <c r="B31" t="s">
        <v>112</v>
      </c>
      <c r="C31">
        <v>764290.49637578626</v>
      </c>
      <c r="D31">
        <v>0</v>
      </c>
      <c r="E31">
        <v>421589.69719320262</v>
      </c>
      <c r="F31">
        <v>581344.22533375316</v>
      </c>
      <c r="G31">
        <v>1767224.4189027422</v>
      </c>
      <c r="H31">
        <v>762202.24308664119</v>
      </c>
      <c r="I31">
        <v>0</v>
      </c>
      <c r="J31">
        <v>404901.88511300093</v>
      </c>
      <c r="K31">
        <v>558267.07184705383</v>
      </c>
      <c r="L31">
        <v>1725371.2000466958</v>
      </c>
    </row>
    <row r="32" spans="1:12" x14ac:dyDescent="0.25">
      <c r="A32" t="s">
        <v>270</v>
      </c>
      <c r="B32" t="s">
        <v>271</v>
      </c>
      <c r="C32">
        <v>1332256.9011878138</v>
      </c>
      <c r="D32">
        <v>0</v>
      </c>
      <c r="E32">
        <v>835717.62983431318</v>
      </c>
      <c r="F32">
        <v>1152399.1723430147</v>
      </c>
      <c r="G32">
        <v>3320373.7033651415</v>
      </c>
      <c r="H32">
        <v>1620755.1083241892</v>
      </c>
      <c r="I32">
        <v>0</v>
      </c>
      <c r="J32">
        <v>1021209.0757730539</v>
      </c>
      <c r="K32">
        <v>1408013.697729148</v>
      </c>
      <c r="L32">
        <v>4049977.881826391</v>
      </c>
    </row>
    <row r="33" spans="1:12" x14ac:dyDescent="0.25">
      <c r="A33" t="s">
        <v>340</v>
      </c>
      <c r="B33" t="s">
        <v>341</v>
      </c>
      <c r="C33">
        <v>671379.91806371917</v>
      </c>
      <c r="D33">
        <v>175838.11613847944</v>
      </c>
      <c r="E33">
        <v>375078.0838484221</v>
      </c>
      <c r="F33">
        <v>517207.79598321987</v>
      </c>
      <c r="G33">
        <v>1739503.9140338404</v>
      </c>
      <c r="H33">
        <v>659829.70705130207</v>
      </c>
      <c r="I33">
        <v>173877.75053849668</v>
      </c>
      <c r="J33">
        <v>346990.04679779784</v>
      </c>
      <c r="K33">
        <v>478419.89506128617</v>
      </c>
      <c r="L33">
        <v>1659117.3994488828</v>
      </c>
    </row>
    <row r="34" spans="1:12" x14ac:dyDescent="0.25">
      <c r="A34" t="s">
        <v>342</v>
      </c>
      <c r="B34" t="s">
        <v>343</v>
      </c>
      <c r="C34">
        <v>290850.50602038391</v>
      </c>
      <c r="D34">
        <v>0</v>
      </c>
      <c r="E34">
        <v>141380.80203963941</v>
      </c>
      <c r="F34">
        <v>194954.74720088602</v>
      </c>
      <c r="G34">
        <v>627186.05526090937</v>
      </c>
      <c r="H34">
        <v>247222.93011732632</v>
      </c>
      <c r="I34">
        <v>0</v>
      </c>
      <c r="J34">
        <v>120173.68173369349</v>
      </c>
      <c r="K34">
        <v>165711.53512075311</v>
      </c>
      <c r="L34">
        <v>533108.14697177289</v>
      </c>
    </row>
    <row r="35" spans="1:12" x14ac:dyDescent="0.25">
      <c r="A35" t="s">
        <v>272</v>
      </c>
      <c r="B35" t="s">
        <v>273</v>
      </c>
      <c r="C35">
        <v>651989.88432902726</v>
      </c>
      <c r="D35">
        <v>0</v>
      </c>
      <c r="E35">
        <v>339706.64934524498</v>
      </c>
      <c r="F35">
        <v>468432.93424657348</v>
      </c>
      <c r="G35">
        <v>1460129.4679208458</v>
      </c>
      <c r="H35">
        <v>760481.69626251771</v>
      </c>
      <c r="I35">
        <v>0</v>
      </c>
      <c r="J35">
        <v>403666.80056257977</v>
      </c>
      <c r="K35">
        <v>556564.17279718979</v>
      </c>
      <c r="L35">
        <v>1720712.6696222874</v>
      </c>
    </row>
    <row r="36" spans="1:12" x14ac:dyDescent="0.25">
      <c r="A36" t="s">
        <v>344</v>
      </c>
      <c r="B36" t="s">
        <v>345</v>
      </c>
      <c r="C36">
        <v>172884.84204615967</v>
      </c>
      <c r="D36">
        <v>43909.310021547004</v>
      </c>
      <c r="E36">
        <v>97161.381858918481</v>
      </c>
      <c r="F36">
        <v>128028.79300516511</v>
      </c>
      <c r="G36">
        <v>441984.32693179027</v>
      </c>
      <c r="H36">
        <v>155596.35784154371</v>
      </c>
      <c r="I36">
        <v>39518.379019392305</v>
      </c>
      <c r="J36">
        <v>87445.243673026634</v>
      </c>
      <c r="K36">
        <v>115225.9137046486</v>
      </c>
      <c r="L36">
        <v>397785.89423861128</v>
      </c>
    </row>
    <row r="37" spans="1:12" x14ac:dyDescent="0.25">
      <c r="A37" t="s">
        <v>113</v>
      </c>
      <c r="B37" t="s">
        <v>114</v>
      </c>
      <c r="C37">
        <v>168854.87710627841</v>
      </c>
      <c r="D37">
        <v>44224.026802577864</v>
      </c>
      <c r="E37">
        <v>89488.942273240362</v>
      </c>
      <c r="F37">
        <v>123399.31494562307</v>
      </c>
      <c r="G37">
        <v>425967.16112771968</v>
      </c>
      <c r="H37">
        <v>151969.38939565056</v>
      </c>
      <c r="I37">
        <v>39801.624122320078</v>
      </c>
      <c r="J37">
        <v>80540.048045916323</v>
      </c>
      <c r="K37">
        <v>111059.38345106077</v>
      </c>
      <c r="L37">
        <v>383370.44501494768</v>
      </c>
    </row>
    <row r="38" spans="1:12" x14ac:dyDescent="0.25">
      <c r="A38" t="s">
        <v>346</v>
      </c>
      <c r="B38" t="s">
        <v>347</v>
      </c>
      <c r="C38">
        <v>476671.66264451784</v>
      </c>
      <c r="D38">
        <v>124842.94647617673</v>
      </c>
      <c r="E38">
        <v>273417.00069602393</v>
      </c>
      <c r="F38">
        <v>377023.90623143309</v>
      </c>
      <c r="G38">
        <v>1251955.5160481515</v>
      </c>
      <c r="H38">
        <v>512722.95358875633</v>
      </c>
      <c r="I38">
        <v>135112.30680696745</v>
      </c>
      <c r="J38">
        <v>294939.94034363556</v>
      </c>
      <c r="K38">
        <v>406654.70554782386</v>
      </c>
      <c r="L38">
        <v>1349429.9062871831</v>
      </c>
    </row>
    <row r="39" spans="1:12" x14ac:dyDescent="0.25">
      <c r="A39" t="s">
        <v>348</v>
      </c>
      <c r="B39" t="s">
        <v>349</v>
      </c>
      <c r="C39">
        <v>128248.30540728933</v>
      </c>
      <c r="D39">
        <v>27198.625249114968</v>
      </c>
      <c r="E39">
        <v>58291.327137466542</v>
      </c>
      <c r="F39">
        <v>78946.675490834969</v>
      </c>
      <c r="G39">
        <v>292684.9332847058</v>
      </c>
      <c r="H39">
        <v>133342.37886955903</v>
      </c>
      <c r="I39">
        <v>23118.831461747723</v>
      </c>
      <c r="J39">
        <v>63812.701771748973</v>
      </c>
      <c r="K39">
        <v>87983.117576302335</v>
      </c>
      <c r="L39">
        <v>308257.02967935806</v>
      </c>
    </row>
    <row r="40" spans="1:12" x14ac:dyDescent="0.25">
      <c r="A40" t="s">
        <v>350</v>
      </c>
      <c r="B40" t="s">
        <v>351</v>
      </c>
      <c r="C40">
        <v>1554434.371064496</v>
      </c>
      <c r="D40">
        <v>376428.97344775125</v>
      </c>
      <c r="E40">
        <v>997716.46550473373</v>
      </c>
      <c r="F40">
        <v>1375784.8201773637</v>
      </c>
      <c r="G40">
        <v>4304364.6301943446</v>
      </c>
      <c r="H40">
        <v>1717966.0038871581</v>
      </c>
      <c r="I40">
        <v>319964.62743058853</v>
      </c>
      <c r="J40">
        <v>1090991.3528718376</v>
      </c>
      <c r="K40">
        <v>1504227.494046459</v>
      </c>
      <c r="L40">
        <v>4633149.4782360429</v>
      </c>
    </row>
    <row r="41" spans="1:12" x14ac:dyDescent="0.25">
      <c r="A41" t="s">
        <v>274</v>
      </c>
      <c r="B41" t="s">
        <v>275</v>
      </c>
      <c r="C41">
        <v>44671.657758277353</v>
      </c>
      <c r="D41">
        <v>0</v>
      </c>
      <c r="E41">
        <v>20028.946955615585</v>
      </c>
      <c r="F41">
        <v>27618.589186792189</v>
      </c>
      <c r="G41">
        <v>92319.193900685132</v>
      </c>
      <c r="H41">
        <v>38712.303542775211</v>
      </c>
      <c r="I41">
        <v>0</v>
      </c>
      <c r="J41">
        <v>18526.268256314215</v>
      </c>
      <c r="K41">
        <v>25543.485747958741</v>
      </c>
      <c r="L41">
        <v>82782.057547048171</v>
      </c>
    </row>
    <row r="42" spans="1:12" x14ac:dyDescent="0.25">
      <c r="A42" t="s">
        <v>352</v>
      </c>
      <c r="B42" t="s">
        <v>353</v>
      </c>
      <c r="C42">
        <v>201979.51806971105</v>
      </c>
      <c r="D42">
        <v>0</v>
      </c>
      <c r="E42">
        <v>98181.11252752741</v>
      </c>
      <c r="F42">
        <v>135385.24111172635</v>
      </c>
      <c r="G42">
        <v>435545.87170896481</v>
      </c>
      <c r="H42">
        <v>184098.51018119772</v>
      </c>
      <c r="I42">
        <v>0</v>
      </c>
      <c r="J42">
        <v>88102.697930027643</v>
      </c>
      <c r="K42">
        <v>121473.46555695936</v>
      </c>
      <c r="L42">
        <v>393674.67366818478</v>
      </c>
    </row>
    <row r="43" spans="1:12" x14ac:dyDescent="0.25">
      <c r="A43" t="s">
        <v>354</v>
      </c>
      <c r="B43" t="s">
        <v>355</v>
      </c>
      <c r="C43">
        <v>16158.361445576884</v>
      </c>
      <c r="D43">
        <v>0</v>
      </c>
      <c r="E43">
        <v>7854.48900220219</v>
      </c>
      <c r="F43">
        <v>10830.819288938117</v>
      </c>
      <c r="G43">
        <v>34843.669736717187</v>
      </c>
      <c r="H43">
        <v>14624.648005048422</v>
      </c>
      <c r="I43">
        <v>0</v>
      </c>
      <c r="J43">
        <v>6998.8124523853721</v>
      </c>
      <c r="K43">
        <v>9649.7612825621909</v>
      </c>
      <c r="L43">
        <v>31273.221739995985</v>
      </c>
    </row>
    <row r="44" spans="1:12" x14ac:dyDescent="0.25">
      <c r="A44" t="s">
        <v>356</v>
      </c>
      <c r="B44" t="s">
        <v>1394</v>
      </c>
      <c r="C44">
        <v>34740.477107990286</v>
      </c>
      <c r="D44">
        <v>9098.7232177552505</v>
      </c>
      <c r="E44">
        <v>20053.315507744919</v>
      </c>
      <c r="F44">
        <v>27652.19180363612</v>
      </c>
      <c r="G44">
        <v>91544.707637126572</v>
      </c>
      <c r="H44">
        <v>36131.483306590191</v>
      </c>
      <c r="I44">
        <v>9521.3370568668306</v>
      </c>
      <c r="J44">
        <v>20397.730121339569</v>
      </c>
      <c r="K44">
        <v>28123.80353326504</v>
      </c>
      <c r="L44">
        <v>94174.354018061626</v>
      </c>
    </row>
    <row r="45" spans="1:12" x14ac:dyDescent="0.25">
      <c r="A45" t="s">
        <v>357</v>
      </c>
      <c r="B45" t="s">
        <v>1395</v>
      </c>
      <c r="C45">
        <v>103669.92292009569</v>
      </c>
      <c r="D45">
        <v>26556.665580142275</v>
      </c>
      <c r="E45">
        <v>49468.690440306797</v>
      </c>
      <c r="F45">
        <v>66997.765241088491</v>
      </c>
      <c r="G45">
        <v>246693.04418163325</v>
      </c>
      <c r="H45">
        <v>88119.434482081328</v>
      </c>
      <c r="I45">
        <v>22573.165743120931</v>
      </c>
      <c r="J45">
        <v>42048.386874260774</v>
      </c>
      <c r="K45">
        <v>57898.567695373153</v>
      </c>
      <c r="L45">
        <v>210639.55479483618</v>
      </c>
    </row>
    <row r="46" spans="1:12" x14ac:dyDescent="0.25">
      <c r="A46" t="s">
        <v>358</v>
      </c>
      <c r="B46" t="s">
        <v>359</v>
      </c>
      <c r="C46">
        <v>290850.50602038391</v>
      </c>
      <c r="D46">
        <v>76175.357171904412</v>
      </c>
      <c r="E46">
        <v>154902.46194671051</v>
      </c>
      <c r="F46">
        <v>213600.21922317881</v>
      </c>
      <c r="G46">
        <v>735528.54436217761</v>
      </c>
      <c r="H46">
        <v>277868.31209591986</v>
      </c>
      <c r="I46">
        <v>73223.61593733303</v>
      </c>
      <c r="J46">
        <v>139412.21575203945</v>
      </c>
      <c r="K46">
        <v>192240.19730086092</v>
      </c>
      <c r="L46">
        <v>682744.34108615329</v>
      </c>
    </row>
    <row r="47" spans="1:12" x14ac:dyDescent="0.25">
      <c r="A47" t="s">
        <v>360</v>
      </c>
      <c r="B47" t="s">
        <v>361</v>
      </c>
      <c r="C47">
        <v>118763.95662499008</v>
      </c>
      <c r="D47">
        <v>31104.937511860986</v>
      </c>
      <c r="E47">
        <v>67712.332242189761</v>
      </c>
      <c r="F47">
        <v>93370.814312945673</v>
      </c>
      <c r="G47">
        <v>310952.04069198651</v>
      </c>
      <c r="H47">
        <v>120438.27768863403</v>
      </c>
      <c r="I47">
        <v>31737.790189556104</v>
      </c>
      <c r="J47">
        <v>66420.953325327922</v>
      </c>
      <c r="K47">
        <v>91579.299789804951</v>
      </c>
      <c r="L47">
        <v>310176.320993323</v>
      </c>
    </row>
    <row r="48" spans="1:12" x14ac:dyDescent="0.25">
      <c r="A48" t="s">
        <v>115</v>
      </c>
      <c r="B48" t="s">
        <v>116</v>
      </c>
      <c r="C48">
        <v>38780.067469384521</v>
      </c>
      <c r="D48">
        <v>0</v>
      </c>
      <c r="E48">
        <v>18850.773605285271</v>
      </c>
      <c r="F48">
        <v>25993.966293451467</v>
      </c>
      <c r="G48">
        <v>83624.807368121255</v>
      </c>
      <c r="H48">
        <v>50756.131311638623</v>
      </c>
      <c r="I48">
        <v>0</v>
      </c>
      <c r="J48">
        <v>24289.996158278649</v>
      </c>
      <c r="K48">
        <v>33490.34798065701</v>
      </c>
      <c r="L48">
        <v>108536.47545057427</v>
      </c>
    </row>
    <row r="49" spans="1:12" x14ac:dyDescent="0.25">
      <c r="A49" t="s">
        <v>117</v>
      </c>
      <c r="B49" t="s">
        <v>118</v>
      </c>
      <c r="C49">
        <v>23429.624096086474</v>
      </c>
      <c r="D49">
        <v>0</v>
      </c>
      <c r="E49">
        <v>11389.009053193176</v>
      </c>
      <c r="F49">
        <v>15704.687968960261</v>
      </c>
      <c r="G49">
        <v>50523.32111823991</v>
      </c>
      <c r="H49">
        <v>43013.670603083585</v>
      </c>
      <c r="I49">
        <v>11334.925067698612</v>
      </c>
      <c r="J49">
        <v>20869.73826702543</v>
      </c>
      <c r="K49">
        <v>28774.594786821366</v>
      </c>
      <c r="L49">
        <v>103992.92872462899</v>
      </c>
    </row>
    <row r="50" spans="1:12" x14ac:dyDescent="0.25">
      <c r="A50" t="s">
        <v>362</v>
      </c>
      <c r="B50" t="s">
        <v>363</v>
      </c>
      <c r="C50">
        <v>30718.156983781875</v>
      </c>
      <c r="D50">
        <v>7986.9670917721114</v>
      </c>
      <c r="E50">
        <v>15786.757398250948</v>
      </c>
      <c r="F50">
        <v>21380.745208169981</v>
      </c>
      <c r="G50">
        <v>75872.626681974914</v>
      </c>
      <c r="H50">
        <v>34410.936482466866</v>
      </c>
      <c r="I50">
        <v>9067.9400541588893</v>
      </c>
      <c r="J50">
        <v>16936.323329814823</v>
      </c>
      <c r="K50">
        <v>23351.315419418086</v>
      </c>
      <c r="L50">
        <v>83766.515285858666</v>
      </c>
    </row>
    <row r="51" spans="1:12" x14ac:dyDescent="0.25">
      <c r="A51" t="s">
        <v>364</v>
      </c>
      <c r="B51" t="s">
        <v>365</v>
      </c>
      <c r="C51">
        <v>99373.922890297821</v>
      </c>
      <c r="D51">
        <v>0</v>
      </c>
      <c r="E51">
        <v>48305.10736354348</v>
      </c>
      <c r="F51">
        <v>66609.538626969414</v>
      </c>
      <c r="G51">
        <v>214288.56888081072</v>
      </c>
      <c r="H51">
        <v>84467.834456753146</v>
      </c>
      <c r="I51">
        <v>0</v>
      </c>
      <c r="J51">
        <v>41059.341259011955</v>
      </c>
      <c r="K51">
        <v>56618.107832923997</v>
      </c>
      <c r="L51">
        <v>182145.2835486891</v>
      </c>
    </row>
    <row r="52" spans="1:12" x14ac:dyDescent="0.25">
      <c r="A52" t="s">
        <v>366</v>
      </c>
      <c r="B52" t="s">
        <v>367</v>
      </c>
      <c r="C52">
        <v>48787.661091888862</v>
      </c>
      <c r="D52">
        <v>12685.183028108648</v>
      </c>
      <c r="E52">
        <v>23043.358272422163</v>
      </c>
      <c r="F52">
        <v>31208.699768694743</v>
      </c>
      <c r="G52">
        <v>115724.90216111441</v>
      </c>
      <c r="H52">
        <v>61079.412256378688</v>
      </c>
      <c r="I52">
        <v>16095.593596132023</v>
      </c>
      <c r="J52">
        <v>34556.327712515151</v>
      </c>
      <c r="K52">
        <v>47645.270607888349</v>
      </c>
      <c r="L52">
        <v>159376.60417291423</v>
      </c>
    </row>
    <row r="53" spans="1:12" x14ac:dyDescent="0.25">
      <c r="A53" t="s">
        <v>368</v>
      </c>
      <c r="B53" t="s">
        <v>369</v>
      </c>
      <c r="C53">
        <v>15350.443373298032</v>
      </c>
      <c r="D53">
        <v>4020.3660729616226</v>
      </c>
      <c r="E53">
        <v>8010.204246670849</v>
      </c>
      <c r="F53">
        <v>11045.540281341309</v>
      </c>
      <c r="G53">
        <v>38426.55397427181</v>
      </c>
      <c r="H53">
        <v>13047.876867303326</v>
      </c>
      <c r="I53">
        <v>3417.311162017379</v>
      </c>
      <c r="J53">
        <v>6808.6736096702216</v>
      </c>
      <c r="K53">
        <v>9388.7092391401129</v>
      </c>
      <c r="L53">
        <v>32662.570878131042</v>
      </c>
    </row>
    <row r="54" spans="1:12" x14ac:dyDescent="0.25">
      <c r="A54" t="s">
        <v>370</v>
      </c>
      <c r="B54" t="s">
        <v>371</v>
      </c>
      <c r="C54">
        <v>46651.465314043082</v>
      </c>
      <c r="D54">
        <v>11848.543974068243</v>
      </c>
      <c r="E54">
        <v>35223.643058884409</v>
      </c>
      <c r="F54">
        <v>46413.91898503332</v>
      </c>
      <c r="G54">
        <v>140137.57133202907</v>
      </c>
      <c r="H54">
        <v>41986.318782638773</v>
      </c>
      <c r="I54">
        <v>10663.68957666142</v>
      </c>
      <c r="J54">
        <v>31701.278752995968</v>
      </c>
      <c r="K54">
        <v>41772.52708652999</v>
      </c>
      <c r="L54">
        <v>126123.81419882615</v>
      </c>
    </row>
    <row r="55" spans="1:12" x14ac:dyDescent="0.25">
      <c r="A55" t="s">
        <v>372</v>
      </c>
      <c r="B55" t="s">
        <v>373</v>
      </c>
      <c r="C55">
        <v>81640.064299575373</v>
      </c>
      <c r="D55">
        <v>20734.951954619424</v>
      </c>
      <c r="E55">
        <v>62829.728600974879</v>
      </c>
      <c r="F55">
        <v>82790.242004843909</v>
      </c>
      <c r="G55">
        <v>247994.98686001357</v>
      </c>
      <c r="H55">
        <v>73476.057869617842</v>
      </c>
      <c r="I55">
        <v>18661.456759157481</v>
      </c>
      <c r="J55">
        <v>56546.755740877394</v>
      </c>
      <c r="K55">
        <v>74511.21780435952</v>
      </c>
      <c r="L55">
        <v>223195.48817401222</v>
      </c>
    </row>
    <row r="56" spans="1:12" x14ac:dyDescent="0.25">
      <c r="A56" t="s">
        <v>119</v>
      </c>
      <c r="B56" t="s">
        <v>120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</row>
    <row r="57" spans="1:12" x14ac:dyDescent="0.25">
      <c r="A57" t="s">
        <v>276</v>
      </c>
      <c r="B57" t="s">
        <v>277</v>
      </c>
      <c r="C57">
        <v>67057.199999144053</v>
      </c>
      <c r="D57">
        <v>17562.651792411303</v>
      </c>
      <c r="E57">
        <v>33639.401860856597</v>
      </c>
      <c r="F57">
        <v>46386.503621146352</v>
      </c>
      <c r="G57">
        <v>164645.75727355829</v>
      </c>
      <c r="H57">
        <v>56998.619999272443</v>
      </c>
      <c r="I57">
        <v>14928.254023549607</v>
      </c>
      <c r="J57">
        <v>28593.491581728107</v>
      </c>
      <c r="K57">
        <v>39428.528077974399</v>
      </c>
      <c r="L57">
        <v>139948.89368252456</v>
      </c>
    </row>
    <row r="58" spans="1:12" x14ac:dyDescent="0.25">
      <c r="A58" t="s">
        <v>374</v>
      </c>
      <c r="B58" t="s">
        <v>375</v>
      </c>
      <c r="C58">
        <v>72955.622836481969</v>
      </c>
      <c r="D58">
        <v>18969.046842958767</v>
      </c>
      <c r="E58">
        <v>33476.080885293435</v>
      </c>
      <c r="F58">
        <v>45338.224812135733</v>
      </c>
      <c r="G58">
        <v>170738.9753768699</v>
      </c>
      <c r="H58">
        <v>69682.146376995384</v>
      </c>
      <c r="I58">
        <v>16123.689816514952</v>
      </c>
      <c r="J58">
        <v>33347.282861365587</v>
      </c>
      <c r="K58">
        <v>45978.274346325743</v>
      </c>
      <c r="L58">
        <v>165131.39340120167</v>
      </c>
    </row>
    <row r="59" spans="1:12" x14ac:dyDescent="0.25">
      <c r="A59" t="s">
        <v>376</v>
      </c>
      <c r="B59" t="s">
        <v>377</v>
      </c>
      <c r="C59">
        <v>81599.725300163249</v>
      </c>
      <c r="D59">
        <v>21371.419651006519</v>
      </c>
      <c r="E59">
        <v>45321.874259394557</v>
      </c>
      <c r="F59">
        <v>62495.858075789583</v>
      </c>
      <c r="G59">
        <v>210788.87728635391</v>
      </c>
      <c r="H59">
        <v>73439.752770146923</v>
      </c>
      <c r="I59">
        <v>19234.277685905869</v>
      </c>
      <c r="J59">
        <v>40789.686833455104</v>
      </c>
      <c r="K59">
        <v>56246.272268210625</v>
      </c>
      <c r="L59">
        <v>189709.98955771851</v>
      </c>
    </row>
    <row r="60" spans="1:12" x14ac:dyDescent="0.25">
      <c r="A60" t="s">
        <v>378</v>
      </c>
      <c r="B60" t="s">
        <v>379</v>
      </c>
      <c r="C60">
        <v>289234.66987582622</v>
      </c>
      <c r="D60">
        <v>0</v>
      </c>
      <c r="E60">
        <v>140595.35313941923</v>
      </c>
      <c r="F60">
        <v>193871.66527199221</v>
      </c>
      <c r="G60">
        <v>623701.68828723766</v>
      </c>
      <c r="H60">
        <v>293353.23351302993</v>
      </c>
      <c r="I60">
        <v>0</v>
      </c>
      <c r="J60">
        <v>140387.94389784773</v>
      </c>
      <c r="K60">
        <v>193562.8586678651</v>
      </c>
      <c r="L60">
        <v>627304.03607874271</v>
      </c>
    </row>
    <row r="61" spans="1:12" x14ac:dyDescent="0.25">
      <c r="A61" t="s">
        <v>278</v>
      </c>
      <c r="B61" t="s">
        <v>279</v>
      </c>
      <c r="C61">
        <v>84023.479516999752</v>
      </c>
      <c r="D61">
        <v>0</v>
      </c>
      <c r="E61">
        <v>0</v>
      </c>
      <c r="F61">
        <v>0</v>
      </c>
      <c r="G61">
        <v>84023.479516999752</v>
      </c>
      <c r="H61">
        <v>79145.153909673783</v>
      </c>
      <c r="I61">
        <v>0</v>
      </c>
      <c r="J61">
        <v>0</v>
      </c>
      <c r="K61">
        <v>0</v>
      </c>
      <c r="L61">
        <v>79145.153909673783</v>
      </c>
    </row>
    <row r="62" spans="1:12" x14ac:dyDescent="0.25">
      <c r="A62" t="s">
        <v>380</v>
      </c>
      <c r="B62" t="s">
        <v>381</v>
      </c>
      <c r="C62">
        <v>8079.1807227884419</v>
      </c>
      <c r="D62">
        <v>1709.6278728015129</v>
      </c>
      <c r="E62">
        <v>3927.244501101095</v>
      </c>
      <c r="F62">
        <v>5415.4096444690585</v>
      </c>
      <c r="G62">
        <v>19131.46274116011</v>
      </c>
      <c r="H62">
        <v>0</v>
      </c>
      <c r="I62">
        <v>1453.183691881286</v>
      </c>
      <c r="J62">
        <v>0</v>
      </c>
      <c r="K62">
        <v>0</v>
      </c>
      <c r="L62">
        <v>1453.183691881286</v>
      </c>
    </row>
    <row r="63" spans="1:12" x14ac:dyDescent="0.25">
      <c r="A63" t="s">
        <v>382</v>
      </c>
      <c r="B63" t="s">
        <v>383</v>
      </c>
      <c r="C63">
        <v>604966.99753942213</v>
      </c>
      <c r="D63">
        <v>157640.66970296888</v>
      </c>
      <c r="E63">
        <v>303183.27548500465</v>
      </c>
      <c r="F63">
        <v>418069.62455301121</v>
      </c>
      <c r="G63">
        <v>1483860.5672804071</v>
      </c>
      <c r="H63">
        <v>710585.83836294094</v>
      </c>
      <c r="I63">
        <v>187252.96211838108</v>
      </c>
      <c r="J63">
        <v>370014.3900630328</v>
      </c>
      <c r="K63">
        <v>510165.19724059536</v>
      </c>
      <c r="L63">
        <v>1778018.38778495</v>
      </c>
    </row>
    <row r="64" spans="1:12" x14ac:dyDescent="0.25">
      <c r="A64" t="s">
        <v>384</v>
      </c>
      <c r="B64" t="s">
        <v>385</v>
      </c>
      <c r="C64">
        <v>369218.55903143174</v>
      </c>
      <c r="D64">
        <v>0</v>
      </c>
      <c r="E64">
        <v>179475.07370032009</v>
      </c>
      <c r="F64">
        <v>247484.22075223591</v>
      </c>
      <c r="G64">
        <v>796177.85348398774</v>
      </c>
      <c r="H64">
        <v>358734.01282971707</v>
      </c>
      <c r="I64">
        <v>0</v>
      </c>
      <c r="J64">
        <v>171676.75250851182</v>
      </c>
      <c r="K64">
        <v>236702.96793108431</v>
      </c>
      <c r="L64">
        <v>767113.73326931323</v>
      </c>
    </row>
    <row r="65" spans="1:12" x14ac:dyDescent="0.25">
      <c r="A65" t="s">
        <v>386</v>
      </c>
      <c r="B65" t="s">
        <v>387</v>
      </c>
      <c r="C65">
        <v>550192.20722189278</v>
      </c>
      <c r="D65">
        <v>0</v>
      </c>
      <c r="E65">
        <v>267445.35052498465</v>
      </c>
      <c r="F65">
        <v>368789.3967883428</v>
      </c>
      <c r="G65">
        <v>1186426.9545352203</v>
      </c>
      <c r="H65">
        <v>524766.78135761968</v>
      </c>
      <c r="I65">
        <v>0</v>
      </c>
      <c r="J65">
        <v>251133.85858559282</v>
      </c>
      <c r="K65">
        <v>346256.14013899642</v>
      </c>
      <c r="L65">
        <v>1122156.780082209</v>
      </c>
    </row>
    <row r="66" spans="1:12" x14ac:dyDescent="0.25">
      <c r="A66" t="s">
        <v>121</v>
      </c>
      <c r="B66" t="s">
        <v>122</v>
      </c>
      <c r="C66">
        <v>9695.0168673461303</v>
      </c>
      <c r="D66">
        <v>0</v>
      </c>
      <c r="E66">
        <v>4712.6934013213167</v>
      </c>
      <c r="F66">
        <v>6498.4915733628668</v>
      </c>
      <c r="G66">
        <v>20906.201842030314</v>
      </c>
      <c r="H66">
        <v>0</v>
      </c>
      <c r="I66">
        <v>0</v>
      </c>
      <c r="J66">
        <v>0</v>
      </c>
      <c r="K66">
        <v>0</v>
      </c>
      <c r="L66">
        <v>0</v>
      </c>
    </row>
    <row r="67" spans="1:12" x14ac:dyDescent="0.25">
      <c r="A67" t="s">
        <v>123</v>
      </c>
      <c r="B67" t="s">
        <v>124</v>
      </c>
      <c r="C67">
        <v>175318.22168450913</v>
      </c>
      <c r="D67">
        <v>0</v>
      </c>
      <c r="E67">
        <v>85221.205673893797</v>
      </c>
      <c r="F67">
        <v>117514.38928497852</v>
      </c>
      <c r="G67">
        <v>378053.81664338143</v>
      </c>
      <c r="H67">
        <v>160871.12805553249</v>
      </c>
      <c r="I67">
        <v>0</v>
      </c>
      <c r="J67">
        <v>76986.936976239085</v>
      </c>
      <c r="K67">
        <v>106147.37410818409</v>
      </c>
      <c r="L67">
        <v>344005.43913995568</v>
      </c>
    </row>
    <row r="68" spans="1:12" x14ac:dyDescent="0.25">
      <c r="A68" t="s">
        <v>125</v>
      </c>
      <c r="B68" t="s">
        <v>126</v>
      </c>
      <c r="C68">
        <v>1562513.551787284</v>
      </c>
      <c r="D68">
        <v>0</v>
      </c>
      <c r="E68">
        <v>1003607.3322563852</v>
      </c>
      <c r="F68">
        <v>1383907.9346440674</v>
      </c>
      <c r="G68">
        <v>3950028.818687737</v>
      </c>
      <c r="H68">
        <v>1816037.172862188</v>
      </c>
      <c r="I68">
        <v>0</v>
      </c>
      <c r="J68">
        <v>1161391.1722458312</v>
      </c>
      <c r="K68">
        <v>1601292.7398887023</v>
      </c>
      <c r="L68">
        <v>4578721.0849967217</v>
      </c>
    </row>
    <row r="69" spans="1:12" x14ac:dyDescent="0.25">
      <c r="A69" t="s">
        <v>388</v>
      </c>
      <c r="B69" t="s">
        <v>389</v>
      </c>
      <c r="C69">
        <v>366794.80481459515</v>
      </c>
      <c r="D69">
        <v>0</v>
      </c>
      <c r="E69">
        <v>178296.90034998982</v>
      </c>
      <c r="F69">
        <v>245859.59785889517</v>
      </c>
      <c r="G69">
        <v>790951.30302348023</v>
      </c>
      <c r="H69">
        <v>342388.81800054532</v>
      </c>
      <c r="I69">
        <v>0</v>
      </c>
      <c r="J69">
        <v>163854.55035584583</v>
      </c>
      <c r="K69">
        <v>225917.94061527954</v>
      </c>
      <c r="L69">
        <v>732161.30897167069</v>
      </c>
    </row>
    <row r="70" spans="1:12" x14ac:dyDescent="0.25">
      <c r="A70" t="s">
        <v>390</v>
      </c>
      <c r="B70" t="s">
        <v>391</v>
      </c>
      <c r="C70">
        <v>235912.07710542248</v>
      </c>
      <c r="D70">
        <v>61786.678594989178</v>
      </c>
      <c r="E70">
        <v>126845.42214572165</v>
      </c>
      <c r="F70">
        <v>174911.42256411476</v>
      </c>
      <c r="G70">
        <v>599455.60041024804</v>
      </c>
      <c r="H70">
        <v>286471.04621653655</v>
      </c>
      <c r="I70">
        <v>75490.600950872729</v>
      </c>
      <c r="J70">
        <v>163521.98325590248</v>
      </c>
      <c r="K70">
        <v>225459.40666445286</v>
      </c>
      <c r="L70">
        <v>750943.03708776471</v>
      </c>
    </row>
    <row r="71" spans="1:12" x14ac:dyDescent="0.25">
      <c r="A71" t="s">
        <v>392</v>
      </c>
      <c r="B71" t="s">
        <v>393</v>
      </c>
      <c r="C71">
        <v>17888.809067025919</v>
      </c>
      <c r="D71">
        <v>4651.2337769731721</v>
      </c>
      <c r="E71">
        <v>12073.761038501698</v>
      </c>
      <c r="F71">
        <v>16352.060271549828</v>
      </c>
      <c r="G71">
        <v>50965.864154050621</v>
      </c>
      <c r="H71">
        <v>16099.928160323327</v>
      </c>
      <c r="I71">
        <v>4186.1103992758553</v>
      </c>
      <c r="J71">
        <v>10866.384934651529</v>
      </c>
      <c r="K71">
        <v>14716.854244394846</v>
      </c>
      <c r="L71">
        <v>45869.277738645556</v>
      </c>
    </row>
    <row r="72" spans="1:12" x14ac:dyDescent="0.25">
      <c r="A72" t="s">
        <v>394</v>
      </c>
      <c r="B72" t="s">
        <v>395</v>
      </c>
      <c r="C72">
        <v>54130.510842682546</v>
      </c>
      <c r="D72">
        <v>14177.080362548884</v>
      </c>
      <c r="E72">
        <v>26956.763345337975</v>
      </c>
      <c r="F72">
        <v>37171.58841602139</v>
      </c>
      <c r="G72">
        <v>132435.94296659081</v>
      </c>
      <c r="H72">
        <v>61939.685668440361</v>
      </c>
      <c r="I72">
        <v>16322.292097486003</v>
      </c>
      <c r="J72">
        <v>32342.294562688079</v>
      </c>
      <c r="K72">
        <v>44592.625389451459</v>
      </c>
      <c r="L72">
        <v>155196.89771806591</v>
      </c>
    </row>
    <row r="73" spans="1:12" x14ac:dyDescent="0.25">
      <c r="A73" t="s">
        <v>127</v>
      </c>
      <c r="B73" t="s">
        <v>128</v>
      </c>
      <c r="C73">
        <v>286002.99758671084</v>
      </c>
      <c r="D73">
        <v>0</v>
      </c>
      <c r="E73">
        <v>139024.45533897885</v>
      </c>
      <c r="F73">
        <v>191705.50141420457</v>
      </c>
      <c r="G73">
        <v>616732.95433989423</v>
      </c>
      <c r="H73">
        <v>255501.20338231648</v>
      </c>
      <c r="I73">
        <v>0</v>
      </c>
      <c r="J73">
        <v>122273.37049167385</v>
      </c>
      <c r="K73">
        <v>168587.00593652768</v>
      </c>
      <c r="L73">
        <v>546361.57981051807</v>
      </c>
    </row>
    <row r="74" spans="1:12" x14ac:dyDescent="0.25">
      <c r="A74" t="s">
        <v>396</v>
      </c>
      <c r="B74" t="s">
        <v>397</v>
      </c>
      <c r="C74">
        <v>283579.24336987437</v>
      </c>
      <c r="D74">
        <v>0</v>
      </c>
      <c r="E74">
        <v>137846.28198864846</v>
      </c>
      <c r="F74">
        <v>190080.87852086389</v>
      </c>
      <c r="G74">
        <v>611506.40387938672</v>
      </c>
      <c r="H74">
        <v>406049.05049310898</v>
      </c>
      <c r="I74">
        <v>107001.69263907487</v>
      </c>
      <c r="J74">
        <v>200310.43810690843</v>
      </c>
      <c r="K74">
        <v>276182.26996185863</v>
      </c>
      <c r="L74">
        <v>989543.45120095089</v>
      </c>
    </row>
    <row r="75" spans="1:12" x14ac:dyDescent="0.25">
      <c r="A75" t="s">
        <v>398</v>
      </c>
      <c r="B75" t="s">
        <v>399</v>
      </c>
      <c r="C75">
        <v>30453.039857778123</v>
      </c>
      <c r="D75">
        <v>7734.4662052945459</v>
      </c>
      <c r="E75">
        <v>20480.929348579735</v>
      </c>
      <c r="F75">
        <v>26987.560427353434</v>
      </c>
      <c r="G75">
        <v>85655.995839005831</v>
      </c>
      <c r="H75">
        <v>27407.73587200031</v>
      </c>
      <c r="I75">
        <v>6961.0195847650912</v>
      </c>
      <c r="J75">
        <v>18432.836413721761</v>
      </c>
      <c r="K75">
        <v>24288.804384618092</v>
      </c>
      <c r="L75">
        <v>77090.396255105254</v>
      </c>
    </row>
    <row r="76" spans="1:12" x14ac:dyDescent="0.25">
      <c r="A76" t="s">
        <v>129</v>
      </c>
      <c r="B76" t="s">
        <v>130</v>
      </c>
      <c r="C76">
        <v>1560089.7975704484</v>
      </c>
      <c r="D76">
        <v>0</v>
      </c>
      <c r="E76">
        <v>1001840.0722308895</v>
      </c>
      <c r="F76">
        <v>1381471.0003040559</v>
      </c>
      <c r="G76">
        <v>3943400.8701053937</v>
      </c>
      <c r="H76">
        <v>2022502.7917569897</v>
      </c>
      <c r="I76">
        <v>0</v>
      </c>
      <c r="J76">
        <v>1327921.7391275894</v>
      </c>
      <c r="K76">
        <v>1830900.2951120206</v>
      </c>
      <c r="L76">
        <v>5181324.8259965992</v>
      </c>
    </row>
    <row r="77" spans="1:12" x14ac:dyDescent="0.25">
      <c r="A77" t="s">
        <v>280</v>
      </c>
      <c r="B77" t="s">
        <v>281</v>
      </c>
      <c r="C77">
        <v>2445568.0047880611</v>
      </c>
      <c r="D77">
        <v>0</v>
      </c>
      <c r="E77">
        <v>1797696.1703790266</v>
      </c>
      <c r="F77">
        <v>2478903.7647557105</v>
      </c>
      <c r="G77">
        <v>6722167.9399227984</v>
      </c>
      <c r="H77">
        <v>2285746.4558478608</v>
      </c>
      <c r="I77">
        <v>0</v>
      </c>
      <c r="J77">
        <v>1579878.9874134629</v>
      </c>
      <c r="K77">
        <v>2178291.7012842586</v>
      </c>
      <c r="L77">
        <v>6043917.1445455821</v>
      </c>
    </row>
    <row r="78" spans="1:12" x14ac:dyDescent="0.25">
      <c r="A78" t="s">
        <v>400</v>
      </c>
      <c r="B78" t="s">
        <v>401</v>
      </c>
      <c r="C78">
        <v>15449.426012431477</v>
      </c>
      <c r="D78">
        <v>4016.9746255677373</v>
      </c>
      <c r="E78">
        <v>11583.064022103834</v>
      </c>
      <c r="F78">
        <v>15972.27689801759</v>
      </c>
      <c r="G78">
        <v>47021.741558120637</v>
      </c>
      <c r="H78">
        <v>13904.48341118833</v>
      </c>
      <c r="I78">
        <v>3615.2771630109637</v>
      </c>
      <c r="J78">
        <v>10424.757619893451</v>
      </c>
      <c r="K78">
        <v>14375.049208215831</v>
      </c>
      <c r="L78">
        <v>42319.567402308574</v>
      </c>
    </row>
    <row r="79" spans="1:12" x14ac:dyDescent="0.25">
      <c r="A79" t="s">
        <v>402</v>
      </c>
      <c r="B79" t="s">
        <v>403</v>
      </c>
      <c r="C79">
        <v>3300345.3252590783</v>
      </c>
      <c r="D79">
        <v>864378.70568674908</v>
      </c>
      <c r="E79">
        <v>2628701.1068120194</v>
      </c>
      <c r="F79">
        <v>3624804.4455253631</v>
      </c>
      <c r="G79">
        <v>10418229.58328321</v>
      </c>
      <c r="H79">
        <v>3669066.1024430296</v>
      </c>
      <c r="I79">
        <v>966869.10827469162</v>
      </c>
      <c r="J79">
        <v>2903889.6254647193</v>
      </c>
      <c r="K79">
        <v>4003799.4827383771</v>
      </c>
      <c r="L79">
        <v>11543624.318920817</v>
      </c>
    </row>
    <row r="80" spans="1:12" x14ac:dyDescent="0.25">
      <c r="A80" t="s">
        <v>131</v>
      </c>
      <c r="B80" t="s">
        <v>132</v>
      </c>
      <c r="C80">
        <v>832963.53251948825</v>
      </c>
      <c r="D80">
        <v>218157.75901175966</v>
      </c>
      <c r="E80">
        <v>471662.06458224164</v>
      </c>
      <c r="F80">
        <v>650390.6983007337</v>
      </c>
      <c r="G80">
        <v>2173174.0544142234</v>
      </c>
      <c r="H80">
        <v>708019.00264156493</v>
      </c>
      <c r="I80">
        <v>185434.09515999569</v>
      </c>
      <c r="J80">
        <v>400912.75489490537</v>
      </c>
      <c r="K80">
        <v>552832.09355562367</v>
      </c>
      <c r="L80">
        <v>1847197.9462520897</v>
      </c>
    </row>
    <row r="81" spans="1:12" x14ac:dyDescent="0.25">
      <c r="A81" t="s">
        <v>133</v>
      </c>
      <c r="B81" t="s">
        <v>134</v>
      </c>
      <c r="C81">
        <v>329630.57348976831</v>
      </c>
      <c r="D81">
        <v>0</v>
      </c>
      <c r="E81">
        <v>160231.57564492468</v>
      </c>
      <c r="F81">
        <v>220948.71349433751</v>
      </c>
      <c r="G81">
        <v>710810.86262903048</v>
      </c>
      <c r="H81">
        <v>310558.70175426325</v>
      </c>
      <c r="I81">
        <v>0</v>
      </c>
      <c r="J81">
        <v>148621.84090065409</v>
      </c>
      <c r="K81">
        <v>204915.51900029121</v>
      </c>
      <c r="L81">
        <v>664096.06165520858</v>
      </c>
    </row>
    <row r="82" spans="1:12" x14ac:dyDescent="0.25">
      <c r="A82" t="s">
        <v>404</v>
      </c>
      <c r="B82" t="s">
        <v>405</v>
      </c>
      <c r="C82">
        <v>145137.89208813399</v>
      </c>
      <c r="D82">
        <v>36862.136808212315</v>
      </c>
      <c r="E82">
        <v>65132.304647352226</v>
      </c>
      <c r="F82">
        <v>85824.328453391456</v>
      </c>
      <c r="G82">
        <v>332956.66199708998</v>
      </c>
      <c r="H82">
        <v>123367.20827491388</v>
      </c>
      <c r="I82">
        <v>31332.816286980466</v>
      </c>
      <c r="J82">
        <v>55362.458950249391</v>
      </c>
      <c r="K82">
        <v>72950.679185382731</v>
      </c>
      <c r="L82">
        <v>283013.16269752651</v>
      </c>
    </row>
    <row r="83" spans="1:12" x14ac:dyDescent="0.25">
      <c r="A83" t="s">
        <v>406</v>
      </c>
      <c r="B83" t="s">
        <v>407</v>
      </c>
      <c r="C83">
        <v>1033327.2144446415</v>
      </c>
      <c r="D83">
        <v>245564.73082058088</v>
      </c>
      <c r="E83">
        <v>617755.56002320233</v>
      </c>
      <c r="F83">
        <v>851843.93707498256</v>
      </c>
      <c r="G83">
        <v>2748491.4423634075</v>
      </c>
      <c r="H83">
        <v>1076202.0384891508</v>
      </c>
      <c r="I83">
        <v>208730.02119749374</v>
      </c>
      <c r="J83">
        <v>630304.8155648238</v>
      </c>
      <c r="K83">
        <v>869046.14844721847</v>
      </c>
      <c r="L83">
        <v>2784283.0236986866</v>
      </c>
    </row>
    <row r="84" spans="1:12" x14ac:dyDescent="0.25">
      <c r="A84" t="s">
        <v>135</v>
      </c>
      <c r="B84" t="s">
        <v>136</v>
      </c>
      <c r="C84">
        <v>46859.248192172949</v>
      </c>
      <c r="D84">
        <v>0</v>
      </c>
      <c r="E84">
        <v>22778.018106386353</v>
      </c>
      <c r="F84">
        <v>31409.375937920522</v>
      </c>
      <c r="G84">
        <v>101046.64223647982</v>
      </c>
      <c r="H84">
        <v>43013.670603083585</v>
      </c>
      <c r="I84">
        <v>0</v>
      </c>
      <c r="J84">
        <v>20584.742507015802</v>
      </c>
      <c r="K84">
        <v>28381.650831065272</v>
      </c>
      <c r="L84">
        <v>91980.063941164655</v>
      </c>
    </row>
    <row r="85" spans="1:12" x14ac:dyDescent="0.25">
      <c r="A85" t="s">
        <v>408</v>
      </c>
      <c r="B85" t="s">
        <v>409</v>
      </c>
      <c r="C85">
        <v>22639.6816965209</v>
      </c>
      <c r="D85">
        <v>5750.0286932978206</v>
      </c>
      <c r="E85">
        <v>12251.792705123034</v>
      </c>
      <c r="F85">
        <v>16144.091429905984</v>
      </c>
      <c r="G85">
        <v>56785.594524847736</v>
      </c>
      <c r="H85">
        <v>30109.569422158507</v>
      </c>
      <c r="I85">
        <v>7934.4475473890261</v>
      </c>
      <c r="J85">
        <v>21243.567483324106</v>
      </c>
      <c r="K85">
        <v>29290.019756738937</v>
      </c>
      <c r="L85">
        <v>88577.604209610581</v>
      </c>
    </row>
    <row r="86" spans="1:12" x14ac:dyDescent="0.25">
      <c r="A86" t="s">
        <v>137</v>
      </c>
      <c r="B86" t="s">
        <v>138</v>
      </c>
      <c r="C86">
        <v>12926.689156461511</v>
      </c>
      <c r="D86">
        <v>3385.5714298624193</v>
      </c>
      <c r="E86">
        <v>8826.1482004421196</v>
      </c>
      <c r="F86">
        <v>12170.672866124427</v>
      </c>
      <c r="G86">
        <v>37309.081652890476</v>
      </c>
      <c r="H86">
        <v>11634.02024081536</v>
      </c>
      <c r="I86">
        <v>3047.0142868761773</v>
      </c>
      <c r="J86">
        <v>7943.5333803979074</v>
      </c>
      <c r="K86">
        <v>10953.605579511985</v>
      </c>
      <c r="L86">
        <v>33578.173487601431</v>
      </c>
    </row>
    <row r="87" spans="1:12" x14ac:dyDescent="0.25">
      <c r="A87" t="s">
        <v>410</v>
      </c>
      <c r="B87" t="s">
        <v>411</v>
      </c>
      <c r="C87">
        <v>201979.51806971105</v>
      </c>
      <c r="D87">
        <v>52899.553591600299</v>
      </c>
      <c r="E87">
        <v>125891.36682095788</v>
      </c>
      <c r="F87">
        <v>173595.84356065973</v>
      </c>
      <c r="G87">
        <v>554366.28204292897</v>
      </c>
      <c r="H87">
        <v>193561.51771387612</v>
      </c>
      <c r="I87">
        <v>51007.162804643733</v>
      </c>
      <c r="J87">
        <v>113302.23013886208</v>
      </c>
      <c r="K87">
        <v>156236.25920459378</v>
      </c>
      <c r="L87">
        <v>514107.16986197571</v>
      </c>
    </row>
    <row r="88" spans="1:12" x14ac:dyDescent="0.25">
      <c r="A88" t="s">
        <v>412</v>
      </c>
      <c r="B88" t="s">
        <v>413</v>
      </c>
      <c r="C88">
        <v>80635.162082427429</v>
      </c>
      <c r="D88">
        <v>20965.788615901802</v>
      </c>
      <c r="E88">
        <v>37830.634999886905</v>
      </c>
      <c r="F88">
        <v>51235.801475322201</v>
      </c>
      <c r="G88">
        <v>190667.38717353833</v>
      </c>
      <c r="H88">
        <v>91188.98167853721</v>
      </c>
      <c r="I88">
        <v>24030.041143521063</v>
      </c>
      <c r="J88">
        <v>43705.051841818298</v>
      </c>
      <c r="K88">
        <v>60259.268266548665</v>
      </c>
      <c r="L88">
        <v>219183.34293042522</v>
      </c>
    </row>
    <row r="89" spans="1:12" x14ac:dyDescent="0.25">
      <c r="A89" t="s">
        <v>414</v>
      </c>
      <c r="B89" t="s">
        <v>415</v>
      </c>
      <c r="C89">
        <v>520026.62805948005</v>
      </c>
      <c r="D89">
        <v>133518.47326519914</v>
      </c>
      <c r="E89">
        <v>259605.76541566412</v>
      </c>
      <c r="F89">
        <v>357979.12897900533</v>
      </c>
      <c r="G89">
        <v>1271129.9957193488</v>
      </c>
      <c r="H89">
        <v>568640.72537276486</v>
      </c>
      <c r="I89">
        <v>149847.70939497565</v>
      </c>
      <c r="J89">
        <v>296694.39853225095</v>
      </c>
      <c r="K89">
        <v>409073.70202980633</v>
      </c>
      <c r="L89">
        <v>1424256.5353297978</v>
      </c>
    </row>
    <row r="90" spans="1:12" x14ac:dyDescent="0.25">
      <c r="A90" t="s">
        <v>416</v>
      </c>
      <c r="B90" t="s">
        <v>417</v>
      </c>
      <c r="C90">
        <v>327932.35911930294</v>
      </c>
      <c r="D90">
        <v>83288.294405950277</v>
      </c>
      <c r="E90">
        <v>199462.00315525001</v>
      </c>
      <c r="F90">
        <v>262829.52162454283</v>
      </c>
      <c r="G90">
        <v>873512.17830504617</v>
      </c>
      <c r="H90">
        <v>320021.7092869418</v>
      </c>
      <c r="I90">
        <v>84331.842503677675</v>
      </c>
      <c r="J90">
        <v>198187.74975195611</v>
      </c>
      <c r="K90">
        <v>273255.56831898453</v>
      </c>
      <c r="L90">
        <v>875796.86986156018</v>
      </c>
    </row>
    <row r="91" spans="1:12" x14ac:dyDescent="0.25">
      <c r="A91" t="s">
        <v>139</v>
      </c>
      <c r="B91" t="s">
        <v>140</v>
      </c>
      <c r="C91">
        <v>173702.38553995147</v>
      </c>
      <c r="D91">
        <v>0</v>
      </c>
      <c r="E91">
        <v>84435.756773673551</v>
      </c>
      <c r="F91">
        <v>116431.30735608473</v>
      </c>
      <c r="G91">
        <v>374569.44966970978</v>
      </c>
      <c r="H91">
        <v>189260.15065356772</v>
      </c>
      <c r="I91">
        <v>0</v>
      </c>
      <c r="J91">
        <v>90572.867030869544</v>
      </c>
      <c r="K91">
        <v>124879.26365668721</v>
      </c>
      <c r="L91">
        <v>404712.2813411245</v>
      </c>
    </row>
    <row r="92" spans="1:12" x14ac:dyDescent="0.25">
      <c r="A92" t="s">
        <v>418</v>
      </c>
      <c r="B92" t="s">
        <v>419</v>
      </c>
      <c r="C92">
        <v>38780.067469384521</v>
      </c>
      <c r="D92">
        <v>7926.45650117065</v>
      </c>
      <c r="E92">
        <v>18850.773605285271</v>
      </c>
      <c r="F92">
        <v>25993.966293451467</v>
      </c>
      <c r="G92">
        <v>91551.263869291899</v>
      </c>
      <c r="H92">
        <v>32963.057348976843</v>
      </c>
      <c r="I92">
        <v>6737.4880259950523</v>
      </c>
      <c r="J92">
        <v>16023.15756449248</v>
      </c>
      <c r="K92">
        <v>22094.871349433746</v>
      </c>
      <c r="L92">
        <v>77818.574288898119</v>
      </c>
    </row>
    <row r="93" spans="1:12" x14ac:dyDescent="0.25">
      <c r="A93" t="s">
        <v>420</v>
      </c>
      <c r="B93" t="s">
        <v>421</v>
      </c>
      <c r="C93">
        <v>35548.395180269152</v>
      </c>
      <c r="D93">
        <v>9310.3214321216565</v>
      </c>
      <c r="E93">
        <v>22218.159948420642</v>
      </c>
      <c r="F93">
        <v>30637.368677529128</v>
      </c>
      <c r="G93">
        <v>97714.245238340576</v>
      </c>
      <c r="H93">
        <v>36991.756718651865</v>
      </c>
      <c r="I93">
        <v>9748.0355582208031</v>
      </c>
      <c r="J93">
        <v>22494.913980325593</v>
      </c>
      <c r="K93">
        <v>31015.340310759391</v>
      </c>
      <c r="L93">
        <v>100250.04656795766</v>
      </c>
    </row>
    <row r="94" spans="1:12" x14ac:dyDescent="0.25">
      <c r="A94" t="s">
        <v>141</v>
      </c>
      <c r="B94" t="s">
        <v>142</v>
      </c>
      <c r="C94">
        <v>14542.525301019188</v>
      </c>
      <c r="D94">
        <v>0</v>
      </c>
      <c r="E94">
        <v>7069.0401019819737</v>
      </c>
      <c r="F94">
        <v>9747.7373600443025</v>
      </c>
      <c r="G94">
        <v>31359.302763045464</v>
      </c>
      <c r="H94">
        <v>13764.374592986747</v>
      </c>
      <c r="I94">
        <v>0</v>
      </c>
      <c r="J94">
        <v>6587.1176022450536</v>
      </c>
      <c r="K94">
        <v>9082.1282659408844</v>
      </c>
      <c r="L94">
        <v>29433.620461172686</v>
      </c>
    </row>
    <row r="95" spans="1:12" x14ac:dyDescent="0.25">
      <c r="A95" t="s">
        <v>143</v>
      </c>
      <c r="B95" t="s">
        <v>144</v>
      </c>
      <c r="C95">
        <v>57362.183131797916</v>
      </c>
      <c r="D95">
        <v>0</v>
      </c>
      <c r="E95">
        <v>27883.435957817775</v>
      </c>
      <c r="F95">
        <v>38449.408475730306</v>
      </c>
      <c r="G95">
        <v>123695.027565346</v>
      </c>
      <c r="H95">
        <v>48757.855662028225</v>
      </c>
      <c r="I95">
        <v>0</v>
      </c>
      <c r="J95">
        <v>23700.920564145108</v>
      </c>
      <c r="K95">
        <v>32681.99720437076</v>
      </c>
      <c r="L95">
        <v>105140.7734305441</v>
      </c>
    </row>
    <row r="96" spans="1:12" x14ac:dyDescent="0.25">
      <c r="A96" t="s">
        <v>422</v>
      </c>
      <c r="B96" t="s">
        <v>423</v>
      </c>
      <c r="C96">
        <v>24574.525587025502</v>
      </c>
      <c r="D96">
        <v>6389.5736734176908</v>
      </c>
      <c r="E96">
        <v>15294.527281309296</v>
      </c>
      <c r="F96">
        <v>20714.094898127012</v>
      </c>
      <c r="G96">
        <v>66972.721439879504</v>
      </c>
      <c r="H96">
        <v>20888.346748971675</v>
      </c>
      <c r="I96">
        <v>5431.1376224050373</v>
      </c>
      <c r="J96">
        <v>13000.348189112901</v>
      </c>
      <c r="K96">
        <v>17606.980663407961</v>
      </c>
      <c r="L96">
        <v>56926.813223897567</v>
      </c>
    </row>
    <row r="97" spans="1:12" x14ac:dyDescent="0.25">
      <c r="A97" t="s">
        <v>424</v>
      </c>
      <c r="B97" t="s">
        <v>425</v>
      </c>
      <c r="C97">
        <v>183397.40240729757</v>
      </c>
      <c r="D97">
        <v>48032.794661173066</v>
      </c>
      <c r="E97">
        <v>96674.209176232398</v>
      </c>
      <c r="F97">
        <v>133307.32135409542</v>
      </c>
      <c r="G97">
        <v>461411.72759879846</v>
      </c>
      <c r="H97">
        <v>203024.52524655449</v>
      </c>
      <c r="I97">
        <v>53500.846319537435</v>
      </c>
      <c r="J97">
        <v>108838.45010807489</v>
      </c>
      <c r="K97">
        <v>150063.32417852126</v>
      </c>
      <c r="L97">
        <v>515427.14585268812</v>
      </c>
    </row>
    <row r="98" spans="1:12" x14ac:dyDescent="0.25">
      <c r="A98" t="s">
        <v>60</v>
      </c>
      <c r="B98" t="s">
        <v>17</v>
      </c>
      <c r="C98">
        <v>2754417.3490333105</v>
      </c>
      <c r="D98">
        <v>721397.14740051981</v>
      </c>
      <c r="E98">
        <v>2113308.8511367096</v>
      </c>
      <c r="F98">
        <v>2914112.7146473411</v>
      </c>
      <c r="G98">
        <v>8503236.0622178819</v>
      </c>
      <c r="H98">
        <v>2596370.3321759012</v>
      </c>
      <c r="I98">
        <v>684193.25183328637</v>
      </c>
      <c r="J98">
        <v>1897231.2829631993</v>
      </c>
      <c r="K98">
        <v>2615847.9174798159</v>
      </c>
      <c r="L98">
        <v>7793642.7844522027</v>
      </c>
    </row>
    <row r="99" spans="1:12" x14ac:dyDescent="0.25">
      <c r="A99" t="s">
        <v>145</v>
      </c>
      <c r="B99" t="s">
        <v>146</v>
      </c>
      <c r="C99">
        <v>119571.87469726894</v>
      </c>
      <c r="D99">
        <v>0</v>
      </c>
      <c r="E99">
        <v>58123.218616296217</v>
      </c>
      <c r="F99">
        <v>80148.062738142035</v>
      </c>
      <c r="G99">
        <v>257843.15605170719</v>
      </c>
      <c r="H99">
        <v>101636.0934926786</v>
      </c>
      <c r="I99">
        <v>0</v>
      </c>
      <c r="J99">
        <v>0</v>
      </c>
      <c r="K99">
        <v>0</v>
      </c>
      <c r="L99">
        <v>101636.0934926786</v>
      </c>
    </row>
    <row r="100" spans="1:12" x14ac:dyDescent="0.25">
      <c r="A100" t="s">
        <v>426</v>
      </c>
      <c r="B100" t="s">
        <v>427</v>
      </c>
      <c r="C100">
        <v>113108.53011903817</v>
      </c>
      <c r="D100">
        <v>29623.750011296175</v>
      </c>
      <c r="E100">
        <v>64094.593880220447</v>
      </c>
      <c r="F100">
        <v>88382.193102557256</v>
      </c>
      <c r="G100">
        <v>295209.06711311208</v>
      </c>
      <c r="H100">
        <v>101797.67710713435</v>
      </c>
      <c r="I100">
        <v>26661.375010166557</v>
      </c>
      <c r="J100">
        <v>57685.134492198405</v>
      </c>
      <c r="K100">
        <v>79543.973792301535</v>
      </c>
      <c r="L100">
        <v>265688.16040180088</v>
      </c>
    </row>
    <row r="101" spans="1:12" x14ac:dyDescent="0.25">
      <c r="A101" t="s">
        <v>428</v>
      </c>
      <c r="B101" t="s">
        <v>429</v>
      </c>
      <c r="C101">
        <v>335285.99999572022</v>
      </c>
      <c r="D101">
        <v>87813.258962056498</v>
      </c>
      <c r="E101">
        <v>203186.99054906826</v>
      </c>
      <c r="F101">
        <v>280181.38110361114</v>
      </c>
      <c r="G101">
        <v>906467.63061045599</v>
      </c>
      <c r="H101">
        <v>426695.61238258908</v>
      </c>
      <c r="I101">
        <v>112442.45667157018</v>
      </c>
      <c r="J101">
        <v>299163.08553163247</v>
      </c>
      <c r="K101">
        <v>412477.45665067434</v>
      </c>
      <c r="L101">
        <v>1250778.6112364661</v>
      </c>
    </row>
    <row r="102" spans="1:12" x14ac:dyDescent="0.25">
      <c r="A102" t="s">
        <v>78</v>
      </c>
      <c r="B102" t="s">
        <v>44</v>
      </c>
      <c r="C102">
        <v>84397.936852825325</v>
      </c>
      <c r="D102">
        <v>22104.286742706343</v>
      </c>
      <c r="E102">
        <v>52055.662549781948</v>
      </c>
      <c r="F102">
        <v>71781.305427323838</v>
      </c>
      <c r="G102">
        <v>230339.19157263747</v>
      </c>
      <c r="H102">
        <v>64245.317579215407</v>
      </c>
      <c r="I102">
        <v>16826.204224916077</v>
      </c>
      <c r="J102">
        <v>39625.762157422403</v>
      </c>
      <c r="K102">
        <v>54641.297351508656</v>
      </c>
      <c r="L102">
        <v>175338.58131306255</v>
      </c>
    </row>
    <row r="103" spans="1:12" x14ac:dyDescent="0.25">
      <c r="A103" t="s">
        <v>1409</v>
      </c>
      <c r="B103" t="s">
        <v>1410</v>
      </c>
      <c r="C103">
        <v>17968.245492426206</v>
      </c>
      <c r="D103">
        <v>0</v>
      </c>
      <c r="E103">
        <v>12204.796365499991</v>
      </c>
      <c r="F103">
        <v>16829.604555555052</v>
      </c>
      <c r="G103">
        <v>47002.646413481249</v>
      </c>
      <c r="H103">
        <v>38988.094809922601</v>
      </c>
      <c r="I103">
        <v>0</v>
      </c>
      <c r="J103">
        <v>25406.037059244059</v>
      </c>
      <c r="K103">
        <v>35029.113071043364</v>
      </c>
      <c r="L103">
        <v>99423.244940210017</v>
      </c>
    </row>
    <row r="104" spans="1:12" x14ac:dyDescent="0.25">
      <c r="A104" t="s">
        <v>79</v>
      </c>
      <c r="B104" t="s">
        <v>48</v>
      </c>
      <c r="C104">
        <v>40602.250702170117</v>
      </c>
      <c r="D104">
        <v>10633.954162707401</v>
      </c>
      <c r="E104">
        <v>25042.994415841105</v>
      </c>
      <c r="F104">
        <v>34532.628016388313</v>
      </c>
      <c r="G104">
        <v>110811.82729710694</v>
      </c>
      <c r="H104">
        <v>46029.419607059906</v>
      </c>
      <c r="I104">
        <v>12055.359734314896</v>
      </c>
      <c r="J104">
        <v>28390.408862787444</v>
      </c>
      <c r="K104">
        <v>39148.490480501699</v>
      </c>
      <c r="L104">
        <v>125623.67868466394</v>
      </c>
    </row>
    <row r="105" spans="1:12" x14ac:dyDescent="0.25">
      <c r="A105" t="s">
        <v>83</v>
      </c>
      <c r="B105" t="s">
        <v>1405</v>
      </c>
      <c r="C105">
        <v>37015.379675357319</v>
      </c>
      <c r="D105">
        <v>0</v>
      </c>
      <c r="E105">
        <v>29771.52385185481</v>
      </c>
      <c r="F105">
        <v>41052.956431073202</v>
      </c>
      <c r="G105">
        <v>107839.85995828532</v>
      </c>
      <c r="H105">
        <v>47435.404242576602</v>
      </c>
      <c r="I105">
        <v>0</v>
      </c>
      <c r="J105">
        <v>37809.847756311174</v>
      </c>
      <c r="K105">
        <v>52131.130454005877</v>
      </c>
      <c r="L105">
        <v>137376.38245289365</v>
      </c>
    </row>
    <row r="106" spans="1:12" x14ac:dyDescent="0.25">
      <c r="A106" t="s">
        <v>430</v>
      </c>
      <c r="B106" t="s">
        <v>431</v>
      </c>
      <c r="C106">
        <v>40477.006669537383</v>
      </c>
      <c r="D106">
        <v>10359.566139622068</v>
      </c>
      <c r="E106">
        <v>26051.148027354822</v>
      </c>
      <c r="F106">
        <v>34433.194556724091</v>
      </c>
      <c r="G106">
        <v>111320.91539323836</v>
      </c>
      <c r="H106">
        <v>38712.303542775211</v>
      </c>
      <c r="I106">
        <v>10201.43256092875</v>
      </c>
      <c r="J106">
        <v>24320.636547500337</v>
      </c>
      <c r="K106">
        <v>33532.594067919046</v>
      </c>
      <c r="L106">
        <v>106766.96671912333</v>
      </c>
    </row>
    <row r="107" spans="1:12" x14ac:dyDescent="0.25">
      <c r="A107" t="s">
        <v>432</v>
      </c>
      <c r="B107" t="s">
        <v>433</v>
      </c>
      <c r="C107">
        <v>0</v>
      </c>
      <c r="D107">
        <v>2537.0366056217304</v>
      </c>
      <c r="E107">
        <v>0</v>
      </c>
      <c r="F107">
        <v>0</v>
      </c>
      <c r="G107">
        <v>2537.0366056217304</v>
      </c>
      <c r="H107">
        <v>0</v>
      </c>
      <c r="I107">
        <v>2283.3329450595575</v>
      </c>
      <c r="J107">
        <v>0</v>
      </c>
      <c r="K107">
        <v>0</v>
      </c>
      <c r="L107">
        <v>2283.3329450595575</v>
      </c>
    </row>
    <row r="108" spans="1:12" x14ac:dyDescent="0.25">
      <c r="A108" t="s">
        <v>147</v>
      </c>
      <c r="B108" t="s">
        <v>148</v>
      </c>
      <c r="C108">
        <v>763482.57830350753</v>
      </c>
      <c r="D108">
        <v>0</v>
      </c>
      <c r="E108">
        <v>0</v>
      </c>
      <c r="F108">
        <v>0</v>
      </c>
      <c r="G108">
        <v>763482.57830350753</v>
      </c>
      <c r="H108">
        <v>736394.04072479089</v>
      </c>
      <c r="I108">
        <v>0</v>
      </c>
      <c r="J108">
        <v>0</v>
      </c>
      <c r="K108">
        <v>0</v>
      </c>
      <c r="L108">
        <v>736394.04072479089</v>
      </c>
    </row>
    <row r="109" spans="1:12" x14ac:dyDescent="0.25">
      <c r="A109" t="s">
        <v>149</v>
      </c>
      <c r="B109" t="s">
        <v>150</v>
      </c>
      <c r="C109">
        <v>11310.853011903815</v>
      </c>
      <c r="D109">
        <v>2962.375001129617</v>
      </c>
      <c r="E109">
        <v>6973.5393338264448</v>
      </c>
      <c r="F109">
        <v>9616.0481360149261</v>
      </c>
      <c r="G109">
        <v>30862.815482874801</v>
      </c>
      <c r="H109">
        <v>18926.015065356776</v>
      </c>
      <c r="I109">
        <v>4987.3670297873896</v>
      </c>
      <c r="J109">
        <v>16866.1087731234</v>
      </c>
      <c r="K109">
        <v>23254.505608433323</v>
      </c>
      <c r="L109">
        <v>64033.996476700893</v>
      </c>
    </row>
    <row r="110" spans="1:12" x14ac:dyDescent="0.25">
      <c r="A110" t="s">
        <v>151</v>
      </c>
      <c r="B110" t="s">
        <v>152</v>
      </c>
      <c r="C110">
        <v>101797.67710713435</v>
      </c>
      <c r="D110">
        <v>0</v>
      </c>
      <c r="E110">
        <v>49483.280713873814</v>
      </c>
      <c r="F110">
        <v>68234.161520310096</v>
      </c>
      <c r="G110">
        <v>219515.11934131826</v>
      </c>
      <c r="H110">
        <v>98931.442387092218</v>
      </c>
      <c r="I110">
        <v>0</v>
      </c>
      <c r="J110">
        <v>47344.907766136348</v>
      </c>
      <c r="K110">
        <v>65277.79691145011</v>
      </c>
      <c r="L110">
        <v>211554.14706467866</v>
      </c>
    </row>
    <row r="111" spans="1:12" x14ac:dyDescent="0.25">
      <c r="A111" t="s">
        <v>434</v>
      </c>
      <c r="B111" t="s">
        <v>435</v>
      </c>
      <c r="C111">
        <v>25045.460240644166</v>
      </c>
      <c r="D111">
        <v>6559.5446453584391</v>
      </c>
      <c r="E111">
        <v>19582.222893615344</v>
      </c>
      <c r="F111">
        <v>27002.586339733833</v>
      </c>
      <c r="G111">
        <v>78189.814119351795</v>
      </c>
      <c r="H111">
        <v>27528.749185973495</v>
      </c>
      <c r="I111">
        <v>7254.3520433271124</v>
      </c>
      <c r="J111">
        <v>21237.639077482079</v>
      </c>
      <c r="K111">
        <v>29281.845841299579</v>
      </c>
      <c r="L111">
        <v>85302.586148082264</v>
      </c>
    </row>
    <row r="112" spans="1:12" x14ac:dyDescent="0.25">
      <c r="A112" t="s">
        <v>436</v>
      </c>
      <c r="B112" t="s">
        <v>437</v>
      </c>
      <c r="C112">
        <v>720662.92047272902</v>
      </c>
      <c r="D112">
        <v>188745.60721482994</v>
      </c>
      <c r="E112">
        <v>389779.01673428382</v>
      </c>
      <c r="F112">
        <v>537479.40721355367</v>
      </c>
      <c r="G112">
        <v>1836666.9516353966</v>
      </c>
      <c r="H112">
        <v>805215.91368972487</v>
      </c>
      <c r="I112">
        <v>212189.79726731795</v>
      </c>
      <c r="J112">
        <v>435778.99887352454</v>
      </c>
      <c r="K112">
        <v>600839.54809365177</v>
      </c>
      <c r="L112">
        <v>2054024.2579242191</v>
      </c>
    </row>
    <row r="113" spans="1:12" x14ac:dyDescent="0.25">
      <c r="A113" t="s">
        <v>438</v>
      </c>
      <c r="B113" t="s">
        <v>439</v>
      </c>
      <c r="C113">
        <v>2151582.8586041536</v>
      </c>
      <c r="D113">
        <v>546459.23643364746</v>
      </c>
      <c r="E113">
        <v>1484302.059191159</v>
      </c>
      <c r="F113">
        <v>2046754.0751270801</v>
      </c>
      <c r="G113">
        <v>6229098.2293560402</v>
      </c>
      <c r="H113">
        <v>2447477.8573154551</v>
      </c>
      <c r="I113">
        <v>464490.35096860031</v>
      </c>
      <c r="J113">
        <v>1734676.2510662219</v>
      </c>
      <c r="K113">
        <v>2391721.7155338698</v>
      </c>
      <c r="L113">
        <v>7038366.1748841461</v>
      </c>
    </row>
    <row r="114" spans="1:12" x14ac:dyDescent="0.25">
      <c r="A114" t="s">
        <v>440</v>
      </c>
      <c r="B114" t="s">
        <v>441</v>
      </c>
      <c r="C114">
        <v>3665524.2939291149</v>
      </c>
      <c r="D114">
        <v>0</v>
      </c>
      <c r="E114">
        <v>2983724.009711558</v>
      </c>
      <c r="F114">
        <v>4114357.4773853654</v>
      </c>
      <c r="G114">
        <v>10763605.781026039</v>
      </c>
      <c r="H114">
        <v>3710359.2262219908</v>
      </c>
      <c r="I114">
        <v>0</v>
      </c>
      <c r="J114">
        <v>2943412.331078189</v>
      </c>
      <c r="K114">
        <v>4058292.2523340229</v>
      </c>
      <c r="L114">
        <v>10712063.809634203</v>
      </c>
    </row>
    <row r="115" spans="1:12" x14ac:dyDescent="0.25">
      <c r="A115" t="s">
        <v>442</v>
      </c>
      <c r="B115" t="s">
        <v>443</v>
      </c>
      <c r="C115">
        <v>136538.15421512464</v>
      </c>
      <c r="D115">
        <v>35760.098227921793</v>
      </c>
      <c r="E115">
        <v>73011.795244420602</v>
      </c>
      <c r="F115">
        <v>100678.4222412887</v>
      </c>
      <c r="G115">
        <v>345988.46992875572</v>
      </c>
      <c r="H115">
        <v>127320.46498512739</v>
      </c>
      <c r="I115">
        <v>33551.37820038788</v>
      </c>
      <c r="J115">
        <v>65710.615719978538</v>
      </c>
      <c r="K115">
        <v>90610.580017159838</v>
      </c>
      <c r="L115">
        <v>317193.03892265365</v>
      </c>
    </row>
    <row r="116" spans="1:12" x14ac:dyDescent="0.25">
      <c r="A116" t="s">
        <v>444</v>
      </c>
      <c r="B116" t="s">
        <v>1396</v>
      </c>
      <c r="C116">
        <v>221369.55180440319</v>
      </c>
      <c r="D116">
        <v>57977.910736393933</v>
      </c>
      <c r="E116">
        <v>108784.26031982779</v>
      </c>
      <c r="F116">
        <v>150006.27853378022</v>
      </c>
      <c r="G116">
        <v>538138.00139440515</v>
      </c>
      <c r="H116">
        <v>214208.07960335622</v>
      </c>
      <c r="I116">
        <v>49281.224125934845</v>
      </c>
      <c r="J116">
        <v>102512.01768493866</v>
      </c>
      <c r="K116">
        <v>141340.62113870503</v>
      </c>
      <c r="L116">
        <v>507341.94255293475</v>
      </c>
    </row>
    <row r="117" spans="1:12" x14ac:dyDescent="0.25">
      <c r="A117" t="s">
        <v>282</v>
      </c>
      <c r="B117" t="s">
        <v>283</v>
      </c>
      <c r="C117">
        <v>46859.248192172949</v>
      </c>
      <c r="D117">
        <v>0</v>
      </c>
      <c r="E117">
        <v>22778.018106386353</v>
      </c>
      <c r="F117">
        <v>31409.375937920522</v>
      </c>
      <c r="G117">
        <v>101046.64223647982</v>
      </c>
      <c r="H117">
        <v>49035.584487515254</v>
      </c>
      <c r="I117">
        <v>0</v>
      </c>
      <c r="J117">
        <v>23466.606457998012</v>
      </c>
      <c r="K117">
        <v>32355.081947414401</v>
      </c>
      <c r="L117">
        <v>104857.27289292766</v>
      </c>
    </row>
    <row r="118" spans="1:12" x14ac:dyDescent="0.25">
      <c r="A118" t="s">
        <v>445</v>
      </c>
      <c r="B118" t="s">
        <v>446</v>
      </c>
      <c r="C118">
        <v>12926.689156461511</v>
      </c>
      <c r="D118">
        <v>3385.5714298624193</v>
      </c>
      <c r="E118">
        <v>7233.3167394630318</v>
      </c>
      <c r="F118">
        <v>9974.2639454724449</v>
      </c>
      <c r="G118">
        <v>33519.841271259407</v>
      </c>
      <c r="H118">
        <v>14624.648005048422</v>
      </c>
      <c r="I118">
        <v>3853.8745230175286</v>
      </c>
      <c r="J118">
        <v>8399.3983325627269</v>
      </c>
      <c r="K118">
        <v>11580.848805107868</v>
      </c>
      <c r="L118">
        <v>38458.769665736545</v>
      </c>
    </row>
    <row r="119" spans="1:12" x14ac:dyDescent="0.25">
      <c r="A119" t="s">
        <v>153</v>
      </c>
      <c r="B119" t="s">
        <v>154</v>
      </c>
      <c r="C119">
        <v>126035.21927549965</v>
      </c>
      <c r="D119">
        <v>0</v>
      </c>
      <c r="E119">
        <v>61265.014217177108</v>
      </c>
      <c r="F119">
        <v>84480.390453717278</v>
      </c>
      <c r="G119">
        <v>271780.62394639401</v>
      </c>
      <c r="H119">
        <v>107129.9363841747</v>
      </c>
      <c r="I119">
        <v>0</v>
      </c>
      <c r="J119">
        <v>52075.262084600537</v>
      </c>
      <c r="K119">
        <v>71808.331885659689</v>
      </c>
      <c r="L119">
        <v>231013.53035443492</v>
      </c>
    </row>
    <row r="120" spans="1:12" x14ac:dyDescent="0.25">
      <c r="A120" t="s">
        <v>284</v>
      </c>
      <c r="B120" t="s">
        <v>285</v>
      </c>
      <c r="C120">
        <v>110684.7759022016</v>
      </c>
      <c r="D120">
        <v>28988.955368196966</v>
      </c>
      <c r="E120">
        <v>67678.067033917629</v>
      </c>
      <c r="F120">
        <v>93323.564863797656</v>
      </c>
      <c r="G120">
        <v>300675.36316811386</v>
      </c>
      <c r="H120">
        <v>99616.298311981445</v>
      </c>
      <c r="I120">
        <v>26090.059831377272</v>
      </c>
      <c r="J120">
        <v>60910.260330525867</v>
      </c>
      <c r="K120">
        <v>83991.20837741789</v>
      </c>
      <c r="L120">
        <v>270607.82685130247</v>
      </c>
    </row>
    <row r="121" spans="1:12" x14ac:dyDescent="0.25">
      <c r="A121" t="s">
        <v>447</v>
      </c>
      <c r="B121" t="s">
        <v>448</v>
      </c>
      <c r="C121">
        <v>0</v>
      </c>
      <c r="D121">
        <v>4607.7671010265385</v>
      </c>
      <c r="E121">
        <v>0</v>
      </c>
      <c r="F121">
        <v>0</v>
      </c>
      <c r="G121">
        <v>4607.7671010265385</v>
      </c>
      <c r="H121">
        <v>15484.92141711009</v>
      </c>
      <c r="I121">
        <v>4146.9903909238847</v>
      </c>
      <c r="J121">
        <v>8783.1185176360068</v>
      </c>
      <c r="K121">
        <v>12109.911158249757</v>
      </c>
      <c r="L121">
        <v>40524.941483919742</v>
      </c>
    </row>
    <row r="122" spans="1:12" x14ac:dyDescent="0.25">
      <c r="A122" t="s">
        <v>286</v>
      </c>
      <c r="B122" t="s">
        <v>287</v>
      </c>
      <c r="C122">
        <v>138153.9903596823</v>
      </c>
      <c r="D122">
        <v>0</v>
      </c>
      <c r="E122">
        <v>67155.880968828729</v>
      </c>
      <c r="F122">
        <v>92603.504920420834</v>
      </c>
      <c r="G122">
        <v>297913.37624893186</v>
      </c>
      <c r="H122">
        <v>141084.83957811413</v>
      </c>
      <c r="I122">
        <v>0</v>
      </c>
      <c r="J122">
        <v>67517.955423011808</v>
      </c>
      <c r="K122">
        <v>93091.814725894073</v>
      </c>
      <c r="L122">
        <v>301694.60972702003</v>
      </c>
    </row>
    <row r="123" spans="1:12" x14ac:dyDescent="0.25">
      <c r="A123" t="s">
        <v>449</v>
      </c>
      <c r="B123" t="s">
        <v>450</v>
      </c>
      <c r="C123">
        <v>33124.640963432605</v>
      </c>
      <c r="D123">
        <v>8675.5267890224532</v>
      </c>
      <c r="E123">
        <v>20715.900563748197</v>
      </c>
      <c r="F123">
        <v>28565.852641802703</v>
      </c>
      <c r="G123">
        <v>91081.920958005969</v>
      </c>
      <c r="H123">
        <v>34410.936482466866</v>
      </c>
      <c r="I123">
        <v>9067.9400541588893</v>
      </c>
      <c r="J123">
        <v>20920.088547197593</v>
      </c>
      <c r="K123">
        <v>28844.01630475415</v>
      </c>
      <c r="L123">
        <v>93242.981388577493</v>
      </c>
    </row>
    <row r="124" spans="1:12" x14ac:dyDescent="0.25">
      <c r="A124" t="s">
        <v>155</v>
      </c>
      <c r="B124" t="s">
        <v>156</v>
      </c>
      <c r="C124">
        <v>433044.08674146037</v>
      </c>
      <c r="D124">
        <v>0</v>
      </c>
      <c r="E124">
        <v>210500.30525901879</v>
      </c>
      <c r="F124">
        <v>290265.95694354147</v>
      </c>
      <c r="G124">
        <v>933810.34894402069</v>
      </c>
      <c r="H124">
        <v>500679.12581989291</v>
      </c>
      <c r="I124">
        <v>0</v>
      </c>
      <c r="J124">
        <v>239606.40278166387</v>
      </c>
      <c r="K124">
        <v>330362.41567359969</v>
      </c>
      <c r="L124">
        <v>1070647.9442751566</v>
      </c>
    </row>
    <row r="125" spans="1:12" x14ac:dyDescent="0.25">
      <c r="A125" t="s">
        <v>157</v>
      </c>
      <c r="B125" t="s">
        <v>158</v>
      </c>
      <c r="C125">
        <v>1253080.9301044871</v>
      </c>
      <c r="D125">
        <v>0</v>
      </c>
      <c r="E125">
        <v>0</v>
      </c>
      <c r="F125">
        <v>0</v>
      </c>
      <c r="G125">
        <v>1253080.9301044871</v>
      </c>
      <c r="H125">
        <v>1215566.3312431416</v>
      </c>
      <c r="I125">
        <v>0</v>
      </c>
      <c r="J125">
        <v>0</v>
      </c>
      <c r="K125">
        <v>0</v>
      </c>
      <c r="L125">
        <v>1215566.3312431416</v>
      </c>
    </row>
    <row r="126" spans="1:12" x14ac:dyDescent="0.25">
      <c r="A126" t="s">
        <v>159</v>
      </c>
      <c r="B126" t="s">
        <v>160</v>
      </c>
      <c r="C126">
        <v>249646.68433416271</v>
      </c>
      <c r="D126">
        <v>0</v>
      </c>
      <c r="E126">
        <v>121351.85508402389</v>
      </c>
      <c r="F126">
        <v>167336.15801409387</v>
      </c>
      <c r="G126">
        <v>538334.69743228052</v>
      </c>
      <c r="H126">
        <v>312279.24857838673</v>
      </c>
      <c r="I126">
        <v>0</v>
      </c>
      <c r="J126">
        <v>149445.23060093477</v>
      </c>
      <c r="K126">
        <v>206050.78503353387</v>
      </c>
      <c r="L126">
        <v>667775.26421285537</v>
      </c>
    </row>
    <row r="127" spans="1:12" x14ac:dyDescent="0.25">
      <c r="A127" t="s">
        <v>161</v>
      </c>
      <c r="B127" t="s">
        <v>162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</row>
    <row r="128" spans="1:12" x14ac:dyDescent="0.25">
      <c r="A128" t="s">
        <v>163</v>
      </c>
      <c r="B128" t="s">
        <v>164</v>
      </c>
      <c r="C128">
        <v>54938.428914961398</v>
      </c>
      <c r="D128">
        <v>0</v>
      </c>
      <c r="E128">
        <v>26705.262607487453</v>
      </c>
      <c r="F128">
        <v>36824.785582389566</v>
      </c>
      <c r="G128">
        <v>118468.47710483841</v>
      </c>
      <c r="H128">
        <v>67101.326140810357</v>
      </c>
      <c r="I128">
        <v>0</v>
      </c>
      <c r="J128">
        <v>32112.198310944648</v>
      </c>
      <c r="K128">
        <v>44275.375296461811</v>
      </c>
      <c r="L128">
        <v>143488.89974821682</v>
      </c>
    </row>
    <row r="129" spans="1:12" x14ac:dyDescent="0.25">
      <c r="A129" t="s">
        <v>451</v>
      </c>
      <c r="B129" t="s">
        <v>452</v>
      </c>
      <c r="C129">
        <v>54130.510842682546</v>
      </c>
      <c r="D129">
        <v>14177.080362548884</v>
      </c>
      <c r="E129">
        <v>31821.087656846801</v>
      </c>
      <c r="F129">
        <v>43879.168955757195</v>
      </c>
      <c r="G129">
        <v>144007.84781783543</v>
      </c>
      <c r="H129">
        <v>70542.419789057065</v>
      </c>
      <c r="I129">
        <v>18589.277111025724</v>
      </c>
      <c r="J129">
        <v>48670.06085739674</v>
      </c>
      <c r="K129">
        <v>67104.879874525359</v>
      </c>
      <c r="L129">
        <v>204906.63763200489</v>
      </c>
    </row>
    <row r="130" spans="1:12" x14ac:dyDescent="0.25">
      <c r="A130" t="s">
        <v>453</v>
      </c>
      <c r="B130" t="s">
        <v>454</v>
      </c>
      <c r="C130">
        <v>1011530.8399718293</v>
      </c>
      <c r="D130">
        <v>263006.1281161193</v>
      </c>
      <c r="E130">
        <v>579464.92613746668</v>
      </c>
      <c r="F130">
        <v>799043.69304140913</v>
      </c>
      <c r="G130">
        <v>2653045.5872668242</v>
      </c>
      <c r="H130">
        <v>1156207.4658108861</v>
      </c>
      <c r="I130">
        <v>304682.78581973858</v>
      </c>
      <c r="J130">
        <v>687736.24715939804</v>
      </c>
      <c r="K130">
        <v>948230.95426589053</v>
      </c>
      <c r="L130">
        <v>3096857.4530559136</v>
      </c>
    </row>
    <row r="131" spans="1:12" x14ac:dyDescent="0.25">
      <c r="A131" t="s">
        <v>455</v>
      </c>
      <c r="B131" t="s">
        <v>456</v>
      </c>
      <c r="C131">
        <v>48787.661091888862</v>
      </c>
      <c r="D131">
        <v>12685.183028108648</v>
      </c>
      <c r="E131">
        <v>29841.77679056253</v>
      </c>
      <c r="F131">
        <v>40416.116497032373</v>
      </c>
      <c r="G131">
        <v>131730.73740759242</v>
      </c>
      <c r="H131">
        <v>50756.131311638623</v>
      </c>
      <c r="I131">
        <v>13375.211579884359</v>
      </c>
      <c r="J131">
        <v>31049.150746026084</v>
      </c>
      <c r="K131">
        <v>42809.675893418527</v>
      </c>
      <c r="L131">
        <v>137990.1695309676</v>
      </c>
    </row>
    <row r="132" spans="1:12" x14ac:dyDescent="0.25">
      <c r="A132" t="s">
        <v>457</v>
      </c>
      <c r="B132" t="s">
        <v>458</v>
      </c>
      <c r="C132">
        <v>46051.330119894112</v>
      </c>
      <c r="D132">
        <v>12061.098218884868</v>
      </c>
      <c r="E132">
        <v>25912.096671822575</v>
      </c>
      <c r="F132">
        <v>35731.062373544388</v>
      </c>
      <c r="G132">
        <v>119755.58738414594</v>
      </c>
      <c r="H132">
        <v>41446.1971079047</v>
      </c>
      <c r="I132">
        <v>10854.988396996381</v>
      </c>
      <c r="J132">
        <v>23320.887004640317</v>
      </c>
      <c r="K132">
        <v>32157.95613618995</v>
      </c>
      <c r="L132">
        <v>107780.02864573135</v>
      </c>
    </row>
    <row r="133" spans="1:12" x14ac:dyDescent="0.25">
      <c r="A133" t="s">
        <v>80</v>
      </c>
      <c r="B133" t="s">
        <v>31</v>
      </c>
      <c r="C133">
        <v>0</v>
      </c>
      <c r="D133">
        <v>2156.2952641663801</v>
      </c>
      <c r="E133">
        <v>0</v>
      </c>
      <c r="F133">
        <v>0</v>
      </c>
      <c r="G133">
        <v>2156.2952641663801</v>
      </c>
      <c r="H133">
        <v>0</v>
      </c>
      <c r="I133">
        <v>1979.867947705975</v>
      </c>
      <c r="J133">
        <v>0</v>
      </c>
      <c r="K133">
        <v>0</v>
      </c>
      <c r="L133">
        <v>1979.867947705975</v>
      </c>
    </row>
    <row r="134" spans="1:12" x14ac:dyDescent="0.25">
      <c r="A134" t="s">
        <v>459</v>
      </c>
      <c r="B134" t="s">
        <v>460</v>
      </c>
      <c r="C134">
        <v>79581.911418073476</v>
      </c>
      <c r="D134">
        <v>20212.222073410525</v>
      </c>
      <c r="E134">
        <v>48202.012305030454</v>
      </c>
      <c r="F134">
        <v>63515.414640705843</v>
      </c>
      <c r="G134">
        <v>211511.56043722032</v>
      </c>
      <c r="H134">
        <v>71623.720276266133</v>
      </c>
      <c r="I134">
        <v>18190.999866069473</v>
      </c>
      <c r="J134">
        <v>43381.81107452741</v>
      </c>
      <c r="K134">
        <v>57163.873176635258</v>
      </c>
      <c r="L134">
        <v>190360.40439349826</v>
      </c>
    </row>
    <row r="135" spans="1:12" x14ac:dyDescent="0.25">
      <c r="A135" t="s">
        <v>165</v>
      </c>
      <c r="B135" t="s">
        <v>166</v>
      </c>
      <c r="C135">
        <v>339325.5903571145</v>
      </c>
      <c r="D135">
        <v>0</v>
      </c>
      <c r="E135">
        <v>164944.26904624605</v>
      </c>
      <c r="F135">
        <v>227447.20506770042</v>
      </c>
      <c r="G135">
        <v>731717.06447106088</v>
      </c>
      <c r="H135">
        <v>288426.75180354732</v>
      </c>
      <c r="I135">
        <v>0</v>
      </c>
      <c r="J135">
        <v>140202.62868930915</v>
      </c>
      <c r="K135">
        <v>193330.12430754534</v>
      </c>
      <c r="L135">
        <v>621959.50480040186</v>
      </c>
    </row>
    <row r="136" spans="1:12" x14ac:dyDescent="0.25">
      <c r="A136" t="s">
        <v>461</v>
      </c>
      <c r="B136" t="s">
        <v>462</v>
      </c>
      <c r="C136">
        <v>137210.19210012667</v>
      </c>
      <c r="D136">
        <v>34848.658747259527</v>
      </c>
      <c r="E136">
        <v>76780.163069229646</v>
      </c>
      <c r="F136">
        <v>105874.75148859073</v>
      </c>
      <c r="G136">
        <v>354713.76540520659</v>
      </c>
      <c r="H136">
        <v>164312.2217037793</v>
      </c>
      <c r="I136">
        <v>43299.413758608694</v>
      </c>
      <c r="J136">
        <v>106974.89278417223</v>
      </c>
      <c r="K136">
        <v>147493.90494713411</v>
      </c>
      <c r="L136">
        <v>462080.43319369433</v>
      </c>
    </row>
    <row r="137" spans="1:12" x14ac:dyDescent="0.25">
      <c r="A137" t="s">
        <v>463</v>
      </c>
      <c r="B137" t="s">
        <v>464</v>
      </c>
      <c r="C137">
        <v>21813.787951528786</v>
      </c>
      <c r="D137">
        <v>5713.1517878928353</v>
      </c>
      <c r="E137">
        <v>16874.976896781307</v>
      </c>
      <c r="F137">
        <v>23269.47370131909</v>
      </c>
      <c r="G137">
        <v>67671.390337522025</v>
      </c>
      <c r="H137">
        <v>19632.409156375907</v>
      </c>
      <c r="I137">
        <v>5141.8366091035523</v>
      </c>
      <c r="J137">
        <v>15187.479207103177</v>
      </c>
      <c r="K137">
        <v>20942.526331187182</v>
      </c>
      <c r="L137">
        <v>60904.251303769823</v>
      </c>
    </row>
    <row r="138" spans="1:12" x14ac:dyDescent="0.25">
      <c r="A138" t="s">
        <v>288</v>
      </c>
      <c r="B138" t="s">
        <v>289</v>
      </c>
      <c r="C138">
        <v>87255.151806115144</v>
      </c>
      <c r="D138">
        <v>22852.607151571341</v>
      </c>
      <c r="E138">
        <v>45635.543277697492</v>
      </c>
      <c r="F138">
        <v>62928.386844093322</v>
      </c>
      <c r="G138">
        <v>218671.68907947731</v>
      </c>
      <c r="H138">
        <v>104953.35627152391</v>
      </c>
      <c r="I138">
        <v>27657.217165184607</v>
      </c>
      <c r="J138">
        <v>58599.965672469851</v>
      </c>
      <c r="K138">
        <v>80795.946991399178</v>
      </c>
      <c r="L138">
        <v>272006.48610057752</v>
      </c>
    </row>
    <row r="139" spans="1:12" x14ac:dyDescent="0.25">
      <c r="A139" t="s">
        <v>465</v>
      </c>
      <c r="B139" t="s">
        <v>466</v>
      </c>
      <c r="C139">
        <v>45965.41435354243</v>
      </c>
      <c r="D139">
        <v>11674.300680331942</v>
      </c>
      <c r="E139">
        <v>25028.138560760191</v>
      </c>
      <c r="F139">
        <v>32979.382443869901</v>
      </c>
      <c r="G139">
        <v>115647.23603850446</v>
      </c>
      <c r="H139">
        <v>41368.872918188186</v>
      </c>
      <c r="I139">
        <v>10506.870612298748</v>
      </c>
      <c r="J139">
        <v>22525.324704684172</v>
      </c>
      <c r="K139">
        <v>29681.44419948291</v>
      </c>
      <c r="L139">
        <v>104082.51243465403</v>
      </c>
    </row>
    <row r="140" spans="1:12" x14ac:dyDescent="0.25">
      <c r="A140" t="s">
        <v>467</v>
      </c>
      <c r="B140" t="s">
        <v>468</v>
      </c>
      <c r="C140">
        <v>127651.05542005741</v>
      </c>
      <c r="D140">
        <v>33432.517869891402</v>
      </c>
      <c r="E140">
        <v>83411.511771563877</v>
      </c>
      <c r="F140">
        <v>115018.94144375893</v>
      </c>
      <c r="G140">
        <v>359514.02650527161</v>
      </c>
      <c r="H140">
        <v>132482.10545749741</v>
      </c>
      <c r="I140">
        <v>34911.569208511726</v>
      </c>
      <c r="J140">
        <v>84021.978575436835</v>
      </c>
      <c r="K140">
        <v>115847.08709620898</v>
      </c>
      <c r="L140">
        <v>367262.74033765495</v>
      </c>
    </row>
    <row r="141" spans="1:12" x14ac:dyDescent="0.25">
      <c r="A141" t="s">
        <v>167</v>
      </c>
      <c r="B141" t="s">
        <v>168</v>
      </c>
      <c r="C141">
        <v>1011513.4264931123</v>
      </c>
      <c r="D141">
        <v>0</v>
      </c>
      <c r="E141">
        <v>601850.21979374322</v>
      </c>
      <c r="F141">
        <v>829911.52801488305</v>
      </c>
      <c r="G141">
        <v>2443275.1743017384</v>
      </c>
      <c r="H141">
        <v>1286108.751032199</v>
      </c>
      <c r="I141">
        <v>0</v>
      </c>
      <c r="J141">
        <v>780985.13071617961</v>
      </c>
      <c r="K141">
        <v>1076799.8325306165</v>
      </c>
      <c r="L141">
        <v>3143893.7142789951</v>
      </c>
    </row>
    <row r="142" spans="1:12" x14ac:dyDescent="0.25">
      <c r="A142" t="s">
        <v>469</v>
      </c>
      <c r="B142" t="s">
        <v>470</v>
      </c>
      <c r="C142">
        <v>54130.510842682546</v>
      </c>
      <c r="D142">
        <v>0</v>
      </c>
      <c r="E142">
        <v>26312.538157377348</v>
      </c>
      <c r="F142">
        <v>36283.244617942684</v>
      </c>
      <c r="G142">
        <v>116726.29361800259</v>
      </c>
      <c r="H142">
        <v>63660.232492563693</v>
      </c>
      <c r="I142">
        <v>0</v>
      </c>
      <c r="J142">
        <v>30465.418910383381</v>
      </c>
      <c r="K142">
        <v>42004.843229976592</v>
      </c>
      <c r="L142">
        <v>136130.49463292366</v>
      </c>
    </row>
    <row r="143" spans="1:12" x14ac:dyDescent="0.25">
      <c r="A143" t="s">
        <v>169</v>
      </c>
      <c r="B143" t="s">
        <v>170</v>
      </c>
      <c r="C143">
        <v>820844.76143530547</v>
      </c>
      <c r="D143">
        <v>0</v>
      </c>
      <c r="E143">
        <v>462825.76445476414</v>
      </c>
      <c r="F143">
        <v>638206.02660067822</v>
      </c>
      <c r="G143">
        <v>1921876.5524907478</v>
      </c>
      <c r="H143">
        <v>886941.8878355833</v>
      </c>
      <c r="I143">
        <v>0</v>
      </c>
      <c r="J143">
        <v>494445.51501851942</v>
      </c>
      <c r="K143">
        <v>681727.25296218775</v>
      </c>
      <c r="L143">
        <v>2063114.6558162905</v>
      </c>
    </row>
    <row r="144" spans="1:12" x14ac:dyDescent="0.25">
      <c r="A144" t="s">
        <v>171</v>
      </c>
      <c r="B144" t="s">
        <v>172</v>
      </c>
      <c r="C144">
        <v>158198.50846647663</v>
      </c>
      <c r="D144">
        <v>0</v>
      </c>
      <c r="E144">
        <v>71904.271798312024</v>
      </c>
      <c r="F144">
        <v>97383.324258155742</v>
      </c>
      <c r="G144">
        <v>327486.10452294443</v>
      </c>
      <c r="H144">
        <v>181517.68994501271</v>
      </c>
      <c r="I144">
        <v>0</v>
      </c>
      <c r="J144">
        <v>86867.613379606686</v>
      </c>
      <c r="K144">
        <v>119770.56650709541</v>
      </c>
      <c r="L144">
        <v>388155.86983171484</v>
      </c>
    </row>
    <row r="145" spans="1:12" x14ac:dyDescent="0.25">
      <c r="A145" t="s">
        <v>173</v>
      </c>
      <c r="B145" t="s">
        <v>174</v>
      </c>
      <c r="C145">
        <v>148656.92529930733</v>
      </c>
      <c r="D145">
        <v>0</v>
      </c>
      <c r="E145">
        <v>0</v>
      </c>
      <c r="F145">
        <v>0</v>
      </c>
      <c r="G145">
        <v>148656.92529930733</v>
      </c>
      <c r="H145">
        <v>126358.38650441123</v>
      </c>
      <c r="I145">
        <v>0</v>
      </c>
      <c r="J145">
        <v>0</v>
      </c>
      <c r="K145">
        <v>0</v>
      </c>
      <c r="L145">
        <v>126358.38650441123</v>
      </c>
    </row>
    <row r="146" spans="1:12" x14ac:dyDescent="0.25">
      <c r="A146" t="s">
        <v>175</v>
      </c>
      <c r="B146" t="s">
        <v>176</v>
      </c>
      <c r="C146">
        <v>192284.50120236492</v>
      </c>
      <c r="D146">
        <v>0</v>
      </c>
      <c r="E146">
        <v>93468.419126206078</v>
      </c>
      <c r="F146">
        <v>128886.74953836355</v>
      </c>
      <c r="G146">
        <v>414639.66986693454</v>
      </c>
      <c r="H146">
        <v>176356.04947264274</v>
      </c>
      <c r="I146">
        <v>0</v>
      </c>
      <c r="J146">
        <v>84397.444278764757</v>
      </c>
      <c r="K146">
        <v>116364.76840736759</v>
      </c>
      <c r="L146">
        <v>377118.26215877506</v>
      </c>
    </row>
    <row r="147" spans="1:12" x14ac:dyDescent="0.25">
      <c r="A147" t="s">
        <v>471</v>
      </c>
      <c r="B147" t="s">
        <v>472</v>
      </c>
      <c r="C147">
        <v>83706.977780805624</v>
      </c>
      <c r="D147">
        <v>21764.485325079004</v>
      </c>
      <c r="E147">
        <v>40151.624612067884</v>
      </c>
      <c r="F147">
        <v>54695.637409137467</v>
      </c>
      <c r="G147">
        <v>200318.72512708997</v>
      </c>
      <c r="H147">
        <v>71150.931113684783</v>
      </c>
      <c r="I147">
        <v>18499.812526317153</v>
      </c>
      <c r="J147">
        <v>34128.880920257703</v>
      </c>
      <c r="K147">
        <v>46491.291797766848</v>
      </c>
      <c r="L147">
        <v>170270.91635802647</v>
      </c>
    </row>
    <row r="148" spans="1:12" x14ac:dyDescent="0.25">
      <c r="A148" t="s">
        <v>473</v>
      </c>
      <c r="B148" t="s">
        <v>474</v>
      </c>
      <c r="C148">
        <v>9695.0168673461303</v>
      </c>
      <c r="D148">
        <v>2539.1785723968155</v>
      </c>
      <c r="E148">
        <v>4851.3644046551963</v>
      </c>
      <c r="F148">
        <v>6689.7096879090714</v>
      </c>
      <c r="G148">
        <v>23775.269532307215</v>
      </c>
      <c r="H148">
        <v>15484.92141711009</v>
      </c>
      <c r="I148">
        <v>4080.5730243715007</v>
      </c>
      <c r="J148">
        <v>9914.4559658216021</v>
      </c>
      <c r="K148">
        <v>13669.766687925108</v>
      </c>
      <c r="L148">
        <v>43149.717095228305</v>
      </c>
    </row>
    <row r="149" spans="1:12" x14ac:dyDescent="0.25">
      <c r="A149" t="s">
        <v>177</v>
      </c>
      <c r="B149" t="s">
        <v>178</v>
      </c>
      <c r="C149">
        <v>329630.57348976831</v>
      </c>
      <c r="D149">
        <v>0</v>
      </c>
      <c r="E149">
        <v>160231.57564492468</v>
      </c>
      <c r="F149">
        <v>220948.71349433751</v>
      </c>
      <c r="G149">
        <v>710810.86262903048</v>
      </c>
      <c r="H149">
        <v>378520.30130713544</v>
      </c>
      <c r="I149">
        <v>0</v>
      </c>
      <c r="J149">
        <v>181145.73406173909</v>
      </c>
      <c r="K149">
        <v>249758.52731337442</v>
      </c>
      <c r="L149">
        <v>809424.562682249</v>
      </c>
    </row>
    <row r="150" spans="1:12" x14ac:dyDescent="0.25">
      <c r="A150" t="s">
        <v>475</v>
      </c>
      <c r="B150" t="s">
        <v>476</v>
      </c>
      <c r="C150">
        <v>134114.39999828811</v>
      </c>
      <c r="D150">
        <v>30928.722426136457</v>
      </c>
      <c r="E150">
        <v>65192.258718278186</v>
      </c>
      <c r="F150">
        <v>89895.800098186315</v>
      </c>
      <c r="G150">
        <v>320131.18124088907</v>
      </c>
      <c r="H150">
        <v>183238.23676913598</v>
      </c>
      <c r="I150">
        <v>48286.780788396092</v>
      </c>
      <c r="J150">
        <v>89285.126709115662</v>
      </c>
      <c r="K150">
        <v>123103.76434399743</v>
      </c>
      <c r="L150">
        <v>443913.90861064522</v>
      </c>
    </row>
    <row r="151" spans="1:12" x14ac:dyDescent="0.25">
      <c r="A151" t="s">
        <v>477</v>
      </c>
      <c r="B151" t="s">
        <v>478</v>
      </c>
      <c r="C151">
        <v>53322.592770403709</v>
      </c>
      <c r="D151">
        <v>13965.48214818248</v>
      </c>
      <c r="E151">
        <v>30124.243125256035</v>
      </c>
      <c r="F151">
        <v>41539.332910671445</v>
      </c>
      <c r="G151">
        <v>138951.65095451367</v>
      </c>
      <c r="H151">
        <v>45324.203854843152</v>
      </c>
      <c r="I151">
        <v>11870.659825955108</v>
      </c>
      <c r="J151">
        <v>25605.606656467629</v>
      </c>
      <c r="K151">
        <v>35308.432974070725</v>
      </c>
      <c r="L151">
        <v>118108.90331133662</v>
      </c>
    </row>
    <row r="152" spans="1:12" x14ac:dyDescent="0.25">
      <c r="A152" t="s">
        <v>479</v>
      </c>
      <c r="B152" t="s">
        <v>480</v>
      </c>
      <c r="C152">
        <v>1181113.1360264132</v>
      </c>
      <c r="D152">
        <v>307098.88467863784</v>
      </c>
      <c r="E152">
        <v>684661.30646790774</v>
      </c>
      <c r="F152">
        <v>927268.88607947784</v>
      </c>
      <c r="G152">
        <v>3100142.2132524364</v>
      </c>
      <c r="H152">
        <v>1185456.7618209831</v>
      </c>
      <c r="I152">
        <v>261034.05197684217</v>
      </c>
      <c r="J152">
        <v>708732.68451655412</v>
      </c>
      <c r="K152">
        <v>977180.23811357701</v>
      </c>
      <c r="L152">
        <v>3132403.7364279563</v>
      </c>
    </row>
    <row r="153" spans="1:12" x14ac:dyDescent="0.25">
      <c r="A153" t="s">
        <v>481</v>
      </c>
      <c r="B153" t="s">
        <v>482</v>
      </c>
      <c r="C153">
        <v>87255.151806115144</v>
      </c>
      <c r="D153">
        <v>22852.607151571341</v>
      </c>
      <c r="E153">
        <v>42414.240611891859</v>
      </c>
      <c r="F153">
        <v>58486.424160265815</v>
      </c>
      <c r="G153">
        <v>211008.42372984416</v>
      </c>
      <c r="H153">
        <v>108394.44991977059</v>
      </c>
      <c r="I153">
        <v>28564.011170600497</v>
      </c>
      <c r="J153">
        <v>57152.240731951439</v>
      </c>
      <c r="K153">
        <v>78799.865488450363</v>
      </c>
      <c r="L153">
        <v>272910.56731077284</v>
      </c>
    </row>
    <row r="154" spans="1:12" x14ac:dyDescent="0.25">
      <c r="A154" t="s">
        <v>483</v>
      </c>
      <c r="B154" t="s">
        <v>484</v>
      </c>
      <c r="C154">
        <v>210866.61686477831</v>
      </c>
      <c r="D154">
        <v>55227.133949630741</v>
      </c>
      <c r="E154">
        <v>143574.11900294817</v>
      </c>
      <c r="F154">
        <v>197979.18579470145</v>
      </c>
      <c r="G154">
        <v>607647.05561205861</v>
      </c>
      <c r="H154">
        <v>234854.64149283635</v>
      </c>
      <c r="I154">
        <v>61888.690869634411</v>
      </c>
      <c r="J154">
        <v>164838.64514087871</v>
      </c>
      <c r="K154">
        <v>227274.78219656026</v>
      </c>
      <c r="L154">
        <v>688856.75969990971</v>
      </c>
    </row>
    <row r="155" spans="1:12" x14ac:dyDescent="0.25">
      <c r="A155" t="s">
        <v>485</v>
      </c>
      <c r="B155" t="s">
        <v>486</v>
      </c>
      <c r="C155">
        <v>342557.26264622988</v>
      </c>
      <c r="D155">
        <v>89717.642891354131</v>
      </c>
      <c r="E155">
        <v>177548.81918119756</v>
      </c>
      <c r="F155">
        <v>244828.04355276845</v>
      </c>
      <c r="G155">
        <v>854651.76827154995</v>
      </c>
      <c r="H155">
        <v>291173.67324929539</v>
      </c>
      <c r="I155">
        <v>76259.99645765101</v>
      </c>
      <c r="J155">
        <v>150916.49630401793</v>
      </c>
      <c r="K155">
        <v>208103.83701985318</v>
      </c>
      <c r="L155">
        <v>726454.00303081749</v>
      </c>
    </row>
    <row r="156" spans="1:12" x14ac:dyDescent="0.25">
      <c r="A156" t="s">
        <v>179</v>
      </c>
      <c r="B156" t="s">
        <v>180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</row>
    <row r="157" spans="1:12" x14ac:dyDescent="0.25">
      <c r="A157" t="s">
        <v>487</v>
      </c>
      <c r="B157" t="s">
        <v>488</v>
      </c>
      <c r="C157">
        <v>771561.75902629609</v>
      </c>
      <c r="D157">
        <v>182966.97737669139</v>
      </c>
      <c r="E157">
        <v>426891.4772696892</v>
      </c>
      <c r="F157">
        <v>588655.02835378633</v>
      </c>
      <c r="G157">
        <v>1970075.2420264629</v>
      </c>
      <c r="H157">
        <v>794892.63274498458</v>
      </c>
      <c r="I157">
        <v>155521.93077018767</v>
      </c>
      <c r="J157">
        <v>428368.49157099891</v>
      </c>
      <c r="K157">
        <v>590622.15379446826</v>
      </c>
      <c r="L157">
        <v>1969405.2088806396</v>
      </c>
    </row>
    <row r="158" spans="1:12" x14ac:dyDescent="0.25">
      <c r="A158" t="s">
        <v>290</v>
      </c>
      <c r="B158" t="s">
        <v>291</v>
      </c>
      <c r="C158">
        <v>1535044.337329804</v>
      </c>
      <c r="D158">
        <v>0</v>
      </c>
      <c r="E158">
        <v>983578.38530076959</v>
      </c>
      <c r="F158">
        <v>1356289.3454572752</v>
      </c>
      <c r="G158">
        <v>3874912.0680878488</v>
      </c>
      <c r="H158">
        <v>2003576.7766916335</v>
      </c>
      <c r="I158">
        <v>0</v>
      </c>
      <c r="J158">
        <v>1309807.1657214162</v>
      </c>
      <c r="K158">
        <v>1805924.4423806833</v>
      </c>
      <c r="L158">
        <v>5119308.3847937332</v>
      </c>
    </row>
    <row r="159" spans="1:12" x14ac:dyDescent="0.25">
      <c r="A159" t="s">
        <v>489</v>
      </c>
      <c r="B159" t="s">
        <v>490</v>
      </c>
      <c r="C159">
        <v>167239.04096172069</v>
      </c>
      <c r="D159">
        <v>0</v>
      </c>
      <c r="E159">
        <v>81293.961172792726</v>
      </c>
      <c r="F159">
        <v>112098.97964050947</v>
      </c>
      <c r="G159">
        <v>360631.98177502287</v>
      </c>
      <c r="H159">
        <v>191840.97088975273</v>
      </c>
      <c r="I159">
        <v>0</v>
      </c>
      <c r="J159">
        <v>91807.951581290457</v>
      </c>
      <c r="K159">
        <v>126582.16270655111</v>
      </c>
      <c r="L159">
        <v>410231.08517759433</v>
      </c>
    </row>
    <row r="160" spans="1:12" x14ac:dyDescent="0.25">
      <c r="A160" t="s">
        <v>491</v>
      </c>
      <c r="B160" t="s">
        <v>492</v>
      </c>
      <c r="C160">
        <v>77104.505171821205</v>
      </c>
      <c r="D160">
        <v>19583.010179362784</v>
      </c>
      <c r="E160">
        <v>34555.936446761589</v>
      </c>
      <c r="F160">
        <v>46800.723793968049</v>
      </c>
      <c r="G160">
        <v>178044.17559191363</v>
      </c>
      <c r="H160">
        <v>65538.829396048022</v>
      </c>
      <c r="I160">
        <v>16645.558652458367</v>
      </c>
      <c r="J160">
        <v>29372.545979747349</v>
      </c>
      <c r="K160">
        <v>39780.615224872839</v>
      </c>
      <c r="L160">
        <v>151337.54925312658</v>
      </c>
    </row>
    <row r="161" spans="1:12" x14ac:dyDescent="0.25">
      <c r="A161" t="s">
        <v>493</v>
      </c>
      <c r="B161" t="s">
        <v>494</v>
      </c>
      <c r="C161">
        <v>39165.650154321884</v>
      </c>
      <c r="D161">
        <v>6639.1110930648738</v>
      </c>
      <c r="E161">
        <v>18850.773605285267</v>
      </c>
      <c r="F161">
        <v>25993.966293451467</v>
      </c>
      <c r="G161">
        <v>90649.501146123483</v>
      </c>
      <c r="H161">
        <v>33290.802631173603</v>
      </c>
      <c r="I161">
        <v>5643.2444291051424</v>
      </c>
      <c r="J161">
        <v>16023.157564492476</v>
      </c>
      <c r="K161">
        <v>22094.871349433746</v>
      </c>
      <c r="L161">
        <v>77052.07597420497</v>
      </c>
    </row>
    <row r="162" spans="1:12" x14ac:dyDescent="0.25">
      <c r="A162" t="s">
        <v>495</v>
      </c>
      <c r="B162" t="s">
        <v>496</v>
      </c>
      <c r="C162">
        <v>66676.470158914773</v>
      </c>
      <c r="D162">
        <v>17336.416805081826</v>
      </c>
      <c r="E162">
        <v>44631.800745773297</v>
      </c>
      <c r="F162">
        <v>60446.938902913309</v>
      </c>
      <c r="G162">
        <v>189091.62661268321</v>
      </c>
      <c r="H162">
        <v>60219.138844317014</v>
      </c>
      <c r="I162">
        <v>15868.895094778052</v>
      </c>
      <c r="J162">
        <v>42603.510808411607</v>
      </c>
      <c r="K162">
        <v>58740.495176451295</v>
      </c>
      <c r="L162">
        <v>177432.03992395796</v>
      </c>
    </row>
    <row r="163" spans="1:12" x14ac:dyDescent="0.25">
      <c r="A163" t="s">
        <v>497</v>
      </c>
      <c r="B163" t="s">
        <v>498</v>
      </c>
      <c r="C163">
        <v>253686.27469555702</v>
      </c>
      <c r="D163">
        <v>66441.839311050004</v>
      </c>
      <c r="E163">
        <v>159308.73209583346</v>
      </c>
      <c r="F163">
        <v>219676.17345903194</v>
      </c>
      <c r="G163">
        <v>699113.01956147247</v>
      </c>
      <c r="H163">
        <v>233994.36808077476</v>
      </c>
      <c r="I163">
        <v>61661.992368280458</v>
      </c>
      <c r="J163">
        <v>143377.85888625012</v>
      </c>
      <c r="K163">
        <v>197708.55611312875</v>
      </c>
      <c r="L163">
        <v>636742.77544843405</v>
      </c>
    </row>
    <row r="164" spans="1:12" x14ac:dyDescent="0.25">
      <c r="A164" t="s">
        <v>499</v>
      </c>
      <c r="B164" t="s">
        <v>500</v>
      </c>
      <c r="C164">
        <v>215795.0528110677</v>
      </c>
      <c r="D164">
        <v>56108.443819699081</v>
      </c>
      <c r="E164">
        <v>100472.86868087744</v>
      </c>
      <c r="F164">
        <v>136075.1135529431</v>
      </c>
      <c r="G164">
        <v>508451.47886458732</v>
      </c>
      <c r="H164">
        <v>183425.79488940752</v>
      </c>
      <c r="I164">
        <v>47692.177246744221</v>
      </c>
      <c r="J164">
        <v>85401.938378745821</v>
      </c>
      <c r="K164">
        <v>115663.84652000164</v>
      </c>
      <c r="L164">
        <v>432183.7570348992</v>
      </c>
    </row>
    <row r="165" spans="1:12" x14ac:dyDescent="0.25">
      <c r="A165" t="s">
        <v>181</v>
      </c>
      <c r="B165" t="s">
        <v>182</v>
      </c>
      <c r="C165">
        <v>243991.25782821089</v>
      </c>
      <c r="D165">
        <v>0</v>
      </c>
      <c r="E165">
        <v>118602.78393325309</v>
      </c>
      <c r="F165">
        <v>163545.37126296549</v>
      </c>
      <c r="G165">
        <v>526139.41302442946</v>
      </c>
      <c r="H165">
        <v>207392.56915397925</v>
      </c>
      <c r="I165">
        <v>0</v>
      </c>
      <c r="J165">
        <v>100812.36634326512</v>
      </c>
      <c r="K165">
        <v>139013.56557352067</v>
      </c>
      <c r="L165">
        <v>447218.50107076502</v>
      </c>
    </row>
    <row r="166" spans="1:12" x14ac:dyDescent="0.25">
      <c r="A166" t="s">
        <v>501</v>
      </c>
      <c r="B166" t="s">
        <v>502</v>
      </c>
      <c r="C166">
        <v>137346.07228740345</v>
      </c>
      <c r="D166">
        <v>35971.696442288201</v>
      </c>
      <c r="E166">
        <v>87755.348551230549</v>
      </c>
      <c r="F166">
        <v>121008.80420478916</v>
      </c>
      <c r="G166">
        <v>382081.92148571135</v>
      </c>
      <c r="H166">
        <v>142805.38640223743</v>
      </c>
      <c r="I166">
        <v>37631.951224759388</v>
      </c>
      <c r="J166">
        <v>89041.146048551265</v>
      </c>
      <c r="K166">
        <v>122767.37082752226</v>
      </c>
      <c r="L166">
        <v>392245.85450307035</v>
      </c>
    </row>
    <row r="167" spans="1:12" x14ac:dyDescent="0.25">
      <c r="A167" t="s">
        <v>503</v>
      </c>
      <c r="B167" t="s">
        <v>504</v>
      </c>
      <c r="C167">
        <v>299850.85344597133</v>
      </c>
      <c r="D167">
        <v>76156.150697521938</v>
      </c>
      <c r="E167">
        <v>137299.1975059282</v>
      </c>
      <c r="F167">
        <v>180918.07877728579</v>
      </c>
      <c r="G167">
        <v>694224.28042670724</v>
      </c>
      <c r="H167">
        <v>356153.19259353221</v>
      </c>
      <c r="I167">
        <v>93853.179560544508</v>
      </c>
      <c r="J167">
        <v>191909.35182546006</v>
      </c>
      <c r="K167">
        <v>264599.09386138263</v>
      </c>
      <c r="L167">
        <v>906514.81784091936</v>
      </c>
    </row>
    <row r="168" spans="1:12" x14ac:dyDescent="0.25">
      <c r="A168" t="s">
        <v>183</v>
      </c>
      <c r="B168" t="s">
        <v>184</v>
      </c>
      <c r="C168">
        <v>508988.38553567178</v>
      </c>
      <c r="D168">
        <v>0</v>
      </c>
      <c r="E168">
        <v>247416.40356936914</v>
      </c>
      <c r="F168">
        <v>341170.80760155054</v>
      </c>
      <c r="G168">
        <v>1097575.5967065915</v>
      </c>
      <c r="H168">
        <v>496377.75875958451</v>
      </c>
      <c r="I168">
        <v>0</v>
      </c>
      <c r="J168">
        <v>237547.92853096235</v>
      </c>
      <c r="K168">
        <v>327524.2505904932</v>
      </c>
      <c r="L168">
        <v>1061449.9378810399</v>
      </c>
    </row>
    <row r="169" spans="1:12" x14ac:dyDescent="0.25">
      <c r="A169" t="s">
        <v>505</v>
      </c>
      <c r="B169" t="s">
        <v>506</v>
      </c>
      <c r="C169">
        <v>324783.06505609531</v>
      </c>
      <c r="D169">
        <v>85062.482175293306</v>
      </c>
      <c r="E169">
        <v>163163.16548388416</v>
      </c>
      <c r="F169">
        <v>224991.18140869256</v>
      </c>
      <c r="G169">
        <v>797999.89412396541</v>
      </c>
      <c r="H169">
        <v>298514.8739853999</v>
      </c>
      <c r="I169">
        <v>72303.109848999302</v>
      </c>
      <c r="J169">
        <v>142858.11299868961</v>
      </c>
      <c r="K169">
        <v>196968.65676759297</v>
      </c>
      <c r="L169">
        <v>710644.75360068178</v>
      </c>
    </row>
    <row r="170" spans="1:12" x14ac:dyDescent="0.25">
      <c r="A170" t="s">
        <v>507</v>
      </c>
      <c r="B170" t="s">
        <v>508</v>
      </c>
      <c r="C170">
        <v>0</v>
      </c>
      <c r="D170">
        <v>1387.7069928850631</v>
      </c>
      <c r="E170">
        <v>0</v>
      </c>
      <c r="F170">
        <v>0</v>
      </c>
      <c r="G170">
        <v>1387.7069928850631</v>
      </c>
      <c r="H170">
        <v>0</v>
      </c>
      <c r="I170">
        <v>1179.5509439523037</v>
      </c>
      <c r="J170">
        <v>0</v>
      </c>
      <c r="K170">
        <v>0</v>
      </c>
      <c r="L170">
        <v>1179.5509439523037</v>
      </c>
    </row>
    <row r="171" spans="1:12" x14ac:dyDescent="0.25">
      <c r="A171" t="s">
        <v>185</v>
      </c>
      <c r="B171" t="s">
        <v>186</v>
      </c>
      <c r="C171">
        <v>1475258.399981169</v>
      </c>
      <c r="D171">
        <v>0</v>
      </c>
      <c r="E171">
        <v>939985.9713385473</v>
      </c>
      <c r="F171">
        <v>1296178.2984036685</v>
      </c>
      <c r="G171">
        <v>3711422.669723385</v>
      </c>
      <c r="H171">
        <v>1286969.0244442599</v>
      </c>
      <c r="I171">
        <v>0</v>
      </c>
      <c r="J171">
        <v>798988.07563776523</v>
      </c>
      <c r="K171">
        <v>1101751.5536431181</v>
      </c>
      <c r="L171">
        <v>3187708.6537251435</v>
      </c>
    </row>
    <row r="172" spans="1:12" x14ac:dyDescent="0.25">
      <c r="A172" t="s">
        <v>509</v>
      </c>
      <c r="B172" t="s">
        <v>510</v>
      </c>
      <c r="C172">
        <v>50898.838553567177</v>
      </c>
      <c r="D172">
        <v>13330.687505083279</v>
      </c>
      <c r="E172">
        <v>36654.062739125584</v>
      </c>
      <c r="F172">
        <v>50543.520988006043</v>
      </c>
      <c r="G172">
        <v>151427.10978578209</v>
      </c>
      <c r="H172">
        <v>62799.959080502042</v>
      </c>
      <c r="I172">
        <v>16548.990598839966</v>
      </c>
      <c r="J172">
        <v>50536.829401130482</v>
      </c>
      <c r="K172">
        <v>69678.726643442191</v>
      </c>
      <c r="L172">
        <v>199564.50572391468</v>
      </c>
    </row>
    <row r="173" spans="1:12" x14ac:dyDescent="0.25">
      <c r="A173" t="s">
        <v>187</v>
      </c>
      <c r="B173" t="s">
        <v>188</v>
      </c>
      <c r="C173">
        <v>844274.38553139195</v>
      </c>
      <c r="D173">
        <v>0</v>
      </c>
      <c r="E173">
        <v>0</v>
      </c>
      <c r="F173">
        <v>0</v>
      </c>
      <c r="G173">
        <v>844274.38553139195</v>
      </c>
      <c r="H173">
        <v>852530.95135311654</v>
      </c>
      <c r="I173">
        <v>0</v>
      </c>
      <c r="J173">
        <v>0</v>
      </c>
      <c r="K173">
        <v>0</v>
      </c>
      <c r="L173">
        <v>852530.95135311654</v>
      </c>
    </row>
    <row r="174" spans="1:12" x14ac:dyDescent="0.25">
      <c r="A174" t="s">
        <v>189</v>
      </c>
      <c r="B174" t="s">
        <v>190</v>
      </c>
      <c r="C174">
        <v>452434.12047615269</v>
      </c>
      <c r="D174">
        <v>0</v>
      </c>
      <c r="E174">
        <v>219925.69206166142</v>
      </c>
      <c r="F174">
        <v>303262.94009026705</v>
      </c>
      <c r="G174">
        <v>975622.75262808125</v>
      </c>
      <c r="H174">
        <v>384569.00240472978</v>
      </c>
      <c r="I174">
        <v>0</v>
      </c>
      <c r="J174">
        <v>186936.83825241221</v>
      </c>
      <c r="K174">
        <v>257773.49907672699</v>
      </c>
      <c r="L174">
        <v>829279.33973386895</v>
      </c>
    </row>
    <row r="175" spans="1:12" x14ac:dyDescent="0.25">
      <c r="A175" t="s">
        <v>191</v>
      </c>
      <c r="B175" t="s">
        <v>192</v>
      </c>
      <c r="C175">
        <v>9695.0168673461303</v>
      </c>
      <c r="D175">
        <v>0</v>
      </c>
      <c r="E175">
        <v>4712.6934013213167</v>
      </c>
      <c r="F175">
        <v>6498.4915733628668</v>
      </c>
      <c r="G175">
        <v>20906.201842030314</v>
      </c>
      <c r="H175">
        <v>14624.648005048422</v>
      </c>
      <c r="I175">
        <v>0</v>
      </c>
      <c r="J175">
        <v>6998.8124523853721</v>
      </c>
      <c r="K175">
        <v>9649.7612825621909</v>
      </c>
      <c r="L175">
        <v>31273.221739995985</v>
      </c>
    </row>
    <row r="176" spans="1:12" x14ac:dyDescent="0.25">
      <c r="A176" t="s">
        <v>511</v>
      </c>
      <c r="B176" t="s">
        <v>512</v>
      </c>
      <c r="C176">
        <v>64488.790287059564</v>
      </c>
      <c r="D176">
        <v>16702.157653676386</v>
      </c>
      <c r="E176">
        <v>34381.881705910215</v>
      </c>
      <c r="F176">
        <v>46564.993303371579</v>
      </c>
      <c r="G176">
        <v>162137.82295001775</v>
      </c>
      <c r="H176">
        <v>98071.168975030509</v>
      </c>
      <c r="I176">
        <v>25843.629154352828</v>
      </c>
      <c r="J176">
        <v>64963.903496453851</v>
      </c>
      <c r="K176">
        <v>89570.361399029644</v>
      </c>
      <c r="L176">
        <v>278449.06302486686</v>
      </c>
    </row>
    <row r="177" spans="1:12" x14ac:dyDescent="0.25">
      <c r="A177" t="s">
        <v>513</v>
      </c>
      <c r="B177" t="s">
        <v>514</v>
      </c>
      <c r="C177">
        <v>171278.63132311494</v>
      </c>
      <c r="D177">
        <v>44858.821445677066</v>
      </c>
      <c r="E177">
        <v>96782.188763790196</v>
      </c>
      <c r="F177">
        <v>133456.21804227008</v>
      </c>
      <c r="G177">
        <v>446375.85957485228</v>
      </c>
      <c r="H177">
        <v>164312.2217037793</v>
      </c>
      <c r="I177">
        <v>43299.413758608694</v>
      </c>
      <c r="J177">
        <v>87241.452888276603</v>
      </c>
      <c r="K177">
        <v>120286.00566783841</v>
      </c>
      <c r="L177">
        <v>415139.09401850298</v>
      </c>
    </row>
    <row r="178" spans="1:12" x14ac:dyDescent="0.25">
      <c r="A178" t="s">
        <v>515</v>
      </c>
      <c r="B178" t="s">
        <v>516</v>
      </c>
      <c r="C178">
        <v>158351.94216665343</v>
      </c>
      <c r="D178">
        <v>41473.250015814636</v>
      </c>
      <c r="E178">
        <v>118167.02670152215</v>
      </c>
      <c r="F178">
        <v>162944.49094733928</v>
      </c>
      <c r="G178">
        <v>480936.70983132947</v>
      </c>
      <c r="H178">
        <v>171194.40900027266</v>
      </c>
      <c r="I178">
        <v>45113.001769440474</v>
      </c>
      <c r="J178">
        <v>128010.13238095408</v>
      </c>
      <c r="K178">
        <v>176496.68820663722</v>
      </c>
      <c r="L178">
        <v>520814.23135730444</v>
      </c>
    </row>
    <row r="179" spans="1:12" x14ac:dyDescent="0.25">
      <c r="A179" t="s">
        <v>292</v>
      </c>
      <c r="B179" t="s">
        <v>293</v>
      </c>
      <c r="C179">
        <v>33124.640963432605</v>
      </c>
      <c r="D179">
        <v>0</v>
      </c>
      <c r="E179">
        <v>16101.702454514492</v>
      </c>
      <c r="F179">
        <v>22203.179542323138</v>
      </c>
      <c r="G179">
        <v>71429.522960270231</v>
      </c>
      <c r="H179">
        <v>28389.022598035164</v>
      </c>
      <c r="I179">
        <v>0</v>
      </c>
      <c r="J179">
        <v>13686.447086337319</v>
      </c>
      <c r="K179">
        <v>18872.702610974666</v>
      </c>
      <c r="L179">
        <v>60948.172295347147</v>
      </c>
    </row>
    <row r="180" spans="1:12" x14ac:dyDescent="0.25">
      <c r="A180" t="s">
        <v>517</v>
      </c>
      <c r="B180" t="s">
        <v>518</v>
      </c>
      <c r="C180">
        <v>210600.07037998692</v>
      </c>
      <c r="D180">
        <v>54757.706738002329</v>
      </c>
      <c r="E180">
        <v>132952.33931720001</v>
      </c>
      <c r="F180">
        <v>180063.58241028996</v>
      </c>
      <c r="G180">
        <v>578373.69884547917</v>
      </c>
      <c r="H180">
        <v>189540.06334198822</v>
      </c>
      <c r="I180">
        <v>49281.936064202098</v>
      </c>
      <c r="J180">
        <v>119657.10538548001</v>
      </c>
      <c r="K180">
        <v>162057.22416926097</v>
      </c>
      <c r="L180">
        <v>520536.32896093128</v>
      </c>
    </row>
    <row r="181" spans="1:12" x14ac:dyDescent="0.25">
      <c r="A181" t="s">
        <v>193</v>
      </c>
      <c r="B181" t="s">
        <v>194</v>
      </c>
      <c r="C181">
        <v>961422.50601182424</v>
      </c>
      <c r="D181">
        <v>0</v>
      </c>
      <c r="E181">
        <v>565326.84593350277</v>
      </c>
      <c r="F181">
        <v>779548.21832132072</v>
      </c>
      <c r="G181">
        <v>2306297.5702666477</v>
      </c>
      <c r="H181">
        <v>947161.02667990036</v>
      </c>
      <c r="I181">
        <v>0</v>
      </c>
      <c r="J181">
        <v>537673.47428325249</v>
      </c>
      <c r="K181">
        <v>741328.71970742487</v>
      </c>
      <c r="L181">
        <v>2226163.2206705776</v>
      </c>
    </row>
    <row r="182" spans="1:12" x14ac:dyDescent="0.25">
      <c r="A182" t="s">
        <v>519</v>
      </c>
      <c r="B182" t="s">
        <v>520</v>
      </c>
      <c r="C182">
        <v>402498.20400808321</v>
      </c>
      <c r="D182">
        <v>104652.75998189636</v>
      </c>
      <c r="E182">
        <v>260951.27917541607</v>
      </c>
      <c r="F182">
        <v>353418.54384952731</v>
      </c>
      <c r="G182">
        <v>1121520.7870149231</v>
      </c>
      <c r="H182">
        <v>362248.38360727491</v>
      </c>
      <c r="I182">
        <v>94187.483983706727</v>
      </c>
      <c r="J182">
        <v>234856.15125787447</v>
      </c>
      <c r="K182">
        <v>318076.68946457456</v>
      </c>
      <c r="L182">
        <v>1009368.7083134307</v>
      </c>
    </row>
    <row r="183" spans="1:12" x14ac:dyDescent="0.25">
      <c r="A183" t="s">
        <v>521</v>
      </c>
      <c r="B183" t="s">
        <v>522</v>
      </c>
      <c r="C183">
        <v>117956.03855271124</v>
      </c>
      <c r="D183">
        <v>30893.339297494589</v>
      </c>
      <c r="E183">
        <v>57571.754943451611</v>
      </c>
      <c r="F183">
        <v>79387.63091586571</v>
      </c>
      <c r="G183">
        <v>285808.76370952313</v>
      </c>
      <c r="H183">
        <v>112695.81698007898</v>
      </c>
      <c r="I183">
        <v>26259.338402870399</v>
      </c>
      <c r="J183">
        <v>53932.025368381408</v>
      </c>
      <c r="K183">
        <v>74359.925177390993</v>
      </c>
      <c r="L183">
        <v>267247.10592872178</v>
      </c>
    </row>
    <row r="184" spans="1:12" x14ac:dyDescent="0.25">
      <c r="A184" t="s">
        <v>523</v>
      </c>
      <c r="B184" t="s">
        <v>524</v>
      </c>
      <c r="C184">
        <v>14636.298327566663</v>
      </c>
      <c r="D184">
        <v>3805.5549084325935</v>
      </c>
      <c r="E184">
        <v>11652.788424494389</v>
      </c>
      <c r="F184">
        <v>15781.9173363892</v>
      </c>
      <c r="G184">
        <v>45876.558996882843</v>
      </c>
      <c r="H184">
        <v>16345.194829171758</v>
      </c>
      <c r="I184">
        <v>4307.2715257254713</v>
      </c>
      <c r="J184">
        <v>12433.081550525007</v>
      </c>
      <c r="K184">
        <v>17142.375193709267</v>
      </c>
      <c r="L184">
        <v>50227.923099131505</v>
      </c>
    </row>
    <row r="185" spans="1:12" x14ac:dyDescent="0.25">
      <c r="A185" t="s">
        <v>525</v>
      </c>
      <c r="B185" t="s">
        <v>526</v>
      </c>
      <c r="C185">
        <v>68673.036143701727</v>
      </c>
      <c r="D185">
        <v>0</v>
      </c>
      <c r="E185">
        <v>33381.578259359303</v>
      </c>
      <c r="F185">
        <v>46030.981977986987</v>
      </c>
      <c r="G185">
        <v>148085.59638104803</v>
      </c>
      <c r="H185">
        <v>67961.599552872023</v>
      </c>
      <c r="I185">
        <v>0</v>
      </c>
      <c r="J185">
        <v>32523.893161084965</v>
      </c>
      <c r="K185">
        <v>44843.008313083112</v>
      </c>
      <c r="L185">
        <v>145328.5010270401</v>
      </c>
    </row>
    <row r="186" spans="1:12" x14ac:dyDescent="0.25">
      <c r="A186" t="s">
        <v>294</v>
      </c>
      <c r="B186" t="s">
        <v>295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20646.561889480115</v>
      </c>
      <c r="I186">
        <v>0</v>
      </c>
      <c r="J186">
        <v>9880.6764033675863</v>
      </c>
      <c r="K186">
        <v>13623.192398911327</v>
      </c>
      <c r="L186">
        <v>44150.430691759029</v>
      </c>
    </row>
    <row r="187" spans="1:12" x14ac:dyDescent="0.25">
      <c r="A187" t="s">
        <v>527</v>
      </c>
      <c r="B187" t="s">
        <v>528</v>
      </c>
      <c r="C187">
        <v>25045.460240644166</v>
      </c>
      <c r="D187">
        <v>6559.5446453584391</v>
      </c>
      <c r="E187">
        <v>16337.445123804338</v>
      </c>
      <c r="F187">
        <v>22528.253044756493</v>
      </c>
      <c r="G187">
        <v>70470.703054563433</v>
      </c>
      <c r="H187">
        <v>30969.842834220181</v>
      </c>
      <c r="I187">
        <v>8161.1460487430013</v>
      </c>
      <c r="J187">
        <v>22156.428766911478</v>
      </c>
      <c r="K187">
        <v>30548.646635318761</v>
      </c>
      <c r="L187">
        <v>91836.064285193424</v>
      </c>
    </row>
    <row r="188" spans="1:12" x14ac:dyDescent="0.25">
      <c r="A188" t="s">
        <v>529</v>
      </c>
      <c r="B188" t="s">
        <v>530</v>
      </c>
      <c r="C188">
        <v>60171.448679996261</v>
      </c>
      <c r="D188">
        <v>15645.059068000668</v>
      </c>
      <c r="E188">
        <v>30284.323765961064</v>
      </c>
      <c r="F188">
        <v>41015.478600657952</v>
      </c>
      <c r="G188">
        <v>147116.31011461595</v>
      </c>
      <c r="H188">
        <v>51145.731377996824</v>
      </c>
      <c r="I188">
        <v>13298.300207800568</v>
      </c>
      <c r="J188">
        <v>25741.675201066904</v>
      </c>
      <c r="K188">
        <v>34863.15681055926</v>
      </c>
      <c r="L188">
        <v>125048.86359742355</v>
      </c>
    </row>
    <row r="189" spans="1:12" x14ac:dyDescent="0.25">
      <c r="A189" t="s">
        <v>531</v>
      </c>
      <c r="B189" t="s">
        <v>532</v>
      </c>
      <c r="C189">
        <v>246332.51475376848</v>
      </c>
      <c r="D189">
        <v>64048.428752107844</v>
      </c>
      <c r="E189">
        <v>216910.63543749013</v>
      </c>
      <c r="F189">
        <v>293772.23658007465</v>
      </c>
      <c r="G189">
        <v>821063.81552344107</v>
      </c>
      <c r="H189">
        <v>221699.26327839165</v>
      </c>
      <c r="I189">
        <v>57643.585876897057</v>
      </c>
      <c r="J189">
        <v>195219.57189374111</v>
      </c>
      <c r="K189">
        <v>264395.0129220672</v>
      </c>
      <c r="L189">
        <v>738957.43397109699</v>
      </c>
    </row>
    <row r="190" spans="1:12" x14ac:dyDescent="0.25">
      <c r="A190" t="s">
        <v>296</v>
      </c>
      <c r="B190" t="s">
        <v>297</v>
      </c>
      <c r="C190">
        <v>167239.04096172069</v>
      </c>
      <c r="D190">
        <v>0</v>
      </c>
      <c r="E190">
        <v>81293.961172792726</v>
      </c>
      <c r="F190">
        <v>112098.97964050947</v>
      </c>
      <c r="G190">
        <v>360631.98177502287</v>
      </c>
      <c r="H190">
        <v>152268.39393491583</v>
      </c>
      <c r="I190">
        <v>0</v>
      </c>
      <c r="J190">
        <v>72869.988474835933</v>
      </c>
      <c r="K190">
        <v>100471.04394197105</v>
      </c>
      <c r="L190">
        <v>325609.4263517228</v>
      </c>
    </row>
    <row r="191" spans="1:12" x14ac:dyDescent="0.25">
      <c r="A191" t="s">
        <v>533</v>
      </c>
      <c r="B191" t="s">
        <v>534</v>
      </c>
      <c r="C191">
        <v>725510.42890640197</v>
      </c>
      <c r="D191">
        <v>190015.19650102829</v>
      </c>
      <c r="E191">
        <v>403273.87319763488</v>
      </c>
      <c r="F191">
        <v>556087.91906502319</v>
      </c>
      <c r="G191">
        <v>1874887.4176700884</v>
      </c>
      <c r="H191">
        <v>652959.38601576176</v>
      </c>
      <c r="I191">
        <v>171013.67685092546</v>
      </c>
      <c r="J191">
        <v>362946.4858778714</v>
      </c>
      <c r="K191">
        <v>500479.12715852086</v>
      </c>
      <c r="L191">
        <v>1687398.6759030796</v>
      </c>
    </row>
    <row r="192" spans="1:12" x14ac:dyDescent="0.25">
      <c r="A192" t="s">
        <v>535</v>
      </c>
      <c r="B192" t="s">
        <v>536</v>
      </c>
      <c r="C192">
        <v>10570.659903242589</v>
      </c>
      <c r="D192">
        <v>2748.4563227568738</v>
      </c>
      <c r="E192">
        <v>5644.1116474905275</v>
      </c>
      <c r="F192">
        <v>7644.0848501814171</v>
      </c>
      <c r="G192">
        <v>26607.31272367141</v>
      </c>
      <c r="H192">
        <v>9513.5939129183298</v>
      </c>
      <c r="I192">
        <v>2473.6106904811863</v>
      </c>
      <c r="J192">
        <v>5079.7004827414748</v>
      </c>
      <c r="K192">
        <v>6882.4935632316647</v>
      </c>
      <c r="L192">
        <v>23949.398649372655</v>
      </c>
    </row>
    <row r="193" spans="1:12" x14ac:dyDescent="0.25">
      <c r="A193" t="s">
        <v>537</v>
      </c>
      <c r="B193" t="s">
        <v>538</v>
      </c>
      <c r="C193">
        <v>18582.115662413416</v>
      </c>
      <c r="D193">
        <v>0</v>
      </c>
      <c r="E193">
        <v>9032.6623525325231</v>
      </c>
      <c r="F193">
        <v>12455.44218227883</v>
      </c>
      <c r="G193">
        <v>40070.220197224771</v>
      </c>
      <c r="H193">
        <v>15794.798313051404</v>
      </c>
      <c r="I193">
        <v>0</v>
      </c>
      <c r="J193">
        <v>0</v>
      </c>
      <c r="K193">
        <v>0</v>
      </c>
      <c r="L193">
        <v>15794.798313051404</v>
      </c>
    </row>
    <row r="194" spans="1:12" x14ac:dyDescent="0.25">
      <c r="A194" t="s">
        <v>655</v>
      </c>
      <c r="B194" t="s">
        <v>656</v>
      </c>
      <c r="C194">
        <v>912526.7375883942</v>
      </c>
      <c r="D194">
        <v>225593.40680315011</v>
      </c>
      <c r="E194">
        <v>434478.05281586602</v>
      </c>
      <c r="F194">
        <v>577239.27160993672</v>
      </c>
      <c r="G194">
        <v>2149837.4688173472</v>
      </c>
      <c r="H194">
        <v>866900.40070897446</v>
      </c>
      <c r="I194">
        <v>214313.73646299259</v>
      </c>
      <c r="J194">
        <v>412754.15017507272</v>
      </c>
      <c r="K194">
        <v>548377.30802943988</v>
      </c>
      <c r="L194">
        <v>2042345.5953764794</v>
      </c>
    </row>
    <row r="195" spans="1:12" x14ac:dyDescent="0.25">
      <c r="A195" t="s">
        <v>539</v>
      </c>
      <c r="B195" t="s">
        <v>540</v>
      </c>
      <c r="C195">
        <v>2265402.2746698791</v>
      </c>
      <c r="D195">
        <v>507293.2160749216</v>
      </c>
      <c r="E195">
        <v>1622541.0656299179</v>
      </c>
      <c r="F195">
        <v>2237376.4946123902</v>
      </c>
      <c r="G195">
        <v>6632613.0509871086</v>
      </c>
      <c r="H195">
        <v>2082721.9306013067</v>
      </c>
      <c r="I195">
        <v>431199.23366368335</v>
      </c>
      <c r="J195">
        <v>1385559.0181472341</v>
      </c>
      <c r="K195">
        <v>1910368.9174390032</v>
      </c>
      <c r="L195">
        <v>5809849.0998512274</v>
      </c>
    </row>
    <row r="196" spans="1:12" x14ac:dyDescent="0.25">
      <c r="A196" t="s">
        <v>541</v>
      </c>
      <c r="B196" t="s">
        <v>542</v>
      </c>
      <c r="C196">
        <v>52220.866872429186</v>
      </c>
      <c r="D196">
        <v>13577.844056012593</v>
      </c>
      <c r="E196">
        <v>32895.541152987847</v>
      </c>
      <c r="F196">
        <v>44551.972652397075</v>
      </c>
      <c r="G196">
        <v>143246.2247338267</v>
      </c>
      <c r="H196">
        <v>44387.736841564809</v>
      </c>
      <c r="I196">
        <v>11541.167447610704</v>
      </c>
      <c r="J196">
        <v>27961.209980039668</v>
      </c>
      <c r="K196">
        <v>37869.176754537511</v>
      </c>
      <c r="L196">
        <v>121759.29102375268</v>
      </c>
    </row>
    <row r="197" spans="1:12" x14ac:dyDescent="0.25">
      <c r="A197" t="s">
        <v>195</v>
      </c>
      <c r="B197" t="s">
        <v>196</v>
      </c>
      <c r="C197">
        <v>8079.1807227884419</v>
      </c>
      <c r="D197">
        <v>0</v>
      </c>
      <c r="E197">
        <v>3927.244501101095</v>
      </c>
      <c r="F197">
        <v>5415.4096444690585</v>
      </c>
      <c r="G197">
        <v>17421.834868358594</v>
      </c>
      <c r="H197">
        <v>0</v>
      </c>
      <c r="I197">
        <v>0</v>
      </c>
      <c r="J197">
        <v>0</v>
      </c>
      <c r="K197">
        <v>0</v>
      </c>
      <c r="L197">
        <v>0</v>
      </c>
    </row>
    <row r="198" spans="1:12" x14ac:dyDescent="0.25">
      <c r="A198" t="s">
        <v>298</v>
      </c>
      <c r="B198" t="s">
        <v>299</v>
      </c>
      <c r="C198">
        <v>33022.018757565515</v>
      </c>
      <c r="D198">
        <v>0</v>
      </c>
      <c r="E198">
        <v>15009.144113239883</v>
      </c>
      <c r="F198">
        <v>20327.587102430563</v>
      </c>
      <c r="G198">
        <v>68358.749973235957</v>
      </c>
      <c r="H198">
        <v>28068.715943930685</v>
      </c>
      <c r="I198">
        <v>0</v>
      </c>
      <c r="J198">
        <v>12757.7724962539</v>
      </c>
      <c r="K198">
        <v>17278.449037065977</v>
      </c>
      <c r="L198">
        <v>58104.937477250562</v>
      </c>
    </row>
    <row r="199" spans="1:12" x14ac:dyDescent="0.25">
      <c r="A199" t="s">
        <v>197</v>
      </c>
      <c r="B199" t="s">
        <v>198</v>
      </c>
      <c r="C199">
        <v>515451.73011390259</v>
      </c>
      <c r="D199">
        <v>0</v>
      </c>
      <c r="E199">
        <v>250558.19917024989</v>
      </c>
      <c r="F199">
        <v>345503.13531712582</v>
      </c>
      <c r="G199">
        <v>1111513.0646012784</v>
      </c>
      <c r="H199">
        <v>459386.00204093277</v>
      </c>
      <c r="I199">
        <v>0</v>
      </c>
      <c r="J199">
        <v>0</v>
      </c>
      <c r="K199">
        <v>0</v>
      </c>
      <c r="L199">
        <v>459386.00204093277</v>
      </c>
    </row>
    <row r="200" spans="1:12" x14ac:dyDescent="0.25">
      <c r="A200" t="s">
        <v>87</v>
      </c>
      <c r="B200" t="s">
        <v>1406</v>
      </c>
      <c r="C200">
        <v>26041.49355790051</v>
      </c>
      <c r="D200">
        <v>0</v>
      </c>
      <c r="E200">
        <v>15148.11654473966</v>
      </c>
      <c r="F200">
        <v>20888.247830998167</v>
      </c>
      <c r="G200">
        <v>62077.857933638341</v>
      </c>
      <c r="H200">
        <v>23732.659631786646</v>
      </c>
      <c r="I200">
        <v>0</v>
      </c>
      <c r="J200">
        <v>13733.03213131986</v>
      </c>
      <c r="K200">
        <v>18936.940297682413</v>
      </c>
      <c r="L200">
        <v>56402.632060788921</v>
      </c>
    </row>
    <row r="201" spans="1:12" x14ac:dyDescent="0.25">
      <c r="A201" t="s">
        <v>543</v>
      </c>
      <c r="B201" t="s">
        <v>544</v>
      </c>
      <c r="C201">
        <v>201171.59999743209</v>
      </c>
      <c r="D201">
        <v>52687.955377233906</v>
      </c>
      <c r="E201">
        <v>102111.34173444932</v>
      </c>
      <c r="F201">
        <v>140804.76646752519</v>
      </c>
      <c r="G201">
        <v>496775.66357664054</v>
      </c>
      <c r="H201">
        <v>170995.85999781726</v>
      </c>
      <c r="I201">
        <v>44784.762070648816</v>
      </c>
      <c r="J201">
        <v>86794.640474281914</v>
      </c>
      <c r="K201">
        <v>119684.0514973964</v>
      </c>
      <c r="L201">
        <v>422259.31404014444</v>
      </c>
    </row>
    <row r="202" spans="1:12" x14ac:dyDescent="0.25">
      <c r="A202" t="s">
        <v>545</v>
      </c>
      <c r="B202" t="s">
        <v>546</v>
      </c>
      <c r="C202">
        <v>47667.166264451793</v>
      </c>
      <c r="D202">
        <v>12484.294647617675</v>
      </c>
      <c r="E202">
        <v>23890.783199550857</v>
      </c>
      <c r="F202">
        <v>32943.805183632598</v>
      </c>
      <c r="G202">
        <v>116986.04929525292</v>
      </c>
      <c r="H202">
        <v>55917.771784008648</v>
      </c>
      <c r="I202">
        <v>14735.402588008195</v>
      </c>
      <c r="J202">
        <v>28694.122402397192</v>
      </c>
      <c r="K202">
        <v>39562.630557614262</v>
      </c>
      <c r="L202">
        <v>138909.92733202828</v>
      </c>
    </row>
    <row r="203" spans="1:12" x14ac:dyDescent="0.25">
      <c r="A203" t="s">
        <v>547</v>
      </c>
      <c r="B203" t="s">
        <v>548</v>
      </c>
      <c r="C203">
        <v>578133.78393888311</v>
      </c>
      <c r="D203">
        <v>150319.41888308755</v>
      </c>
      <c r="E203">
        <v>270979.87057597557</v>
      </c>
      <c r="F203">
        <v>373663.26546836493</v>
      </c>
      <c r="G203">
        <v>1373096.3388663111</v>
      </c>
      <c r="H203">
        <v>518744.86747318791</v>
      </c>
      <c r="I203">
        <v>127771.50605062442</v>
      </c>
      <c r="J203">
        <v>248251.99463461054</v>
      </c>
      <c r="K203">
        <v>342282.70902264712</v>
      </c>
      <c r="L203">
        <v>1237051.0771810701</v>
      </c>
    </row>
    <row r="204" spans="1:12" x14ac:dyDescent="0.25">
      <c r="A204" t="s">
        <v>549</v>
      </c>
      <c r="B204" t="s">
        <v>550</v>
      </c>
      <c r="C204">
        <v>217329.96144300909</v>
      </c>
      <c r="D204">
        <v>56919.91966456193</v>
      </c>
      <c r="E204">
        <v>121684.70869171467</v>
      </c>
      <c r="F204">
        <v>167795.14105851075</v>
      </c>
      <c r="G204">
        <v>563729.7308577965</v>
      </c>
      <c r="H204">
        <v>184730.46722655772</v>
      </c>
      <c r="I204">
        <v>48381.931714877639</v>
      </c>
      <c r="J204">
        <v>103432.00238795746</v>
      </c>
      <c r="K204">
        <v>142625.86989973413</v>
      </c>
      <c r="L204">
        <v>479170.27122912696</v>
      </c>
    </row>
    <row r="205" spans="1:12" x14ac:dyDescent="0.25">
      <c r="A205" t="s">
        <v>551</v>
      </c>
      <c r="B205" t="s">
        <v>552</v>
      </c>
      <c r="C205">
        <v>39587.985541663358</v>
      </c>
      <c r="D205">
        <v>6526.5837864027608</v>
      </c>
      <c r="E205">
        <v>19243.498055395372</v>
      </c>
      <c r="F205">
        <v>26535.507257898378</v>
      </c>
      <c r="G205">
        <v>91893.574641359868</v>
      </c>
      <c r="H205">
        <v>42153.397191021919</v>
      </c>
      <c r="I205">
        <v>5547.5962184423461</v>
      </c>
      <c r="J205">
        <v>20173.047656875482</v>
      </c>
      <c r="K205">
        <v>27814.017814443967</v>
      </c>
      <c r="L205">
        <v>95688.058880783719</v>
      </c>
    </row>
    <row r="206" spans="1:12" x14ac:dyDescent="0.25">
      <c r="A206" t="s">
        <v>81</v>
      </c>
      <c r="B206" t="s">
        <v>35</v>
      </c>
      <c r="C206">
        <v>71371.675082509653</v>
      </c>
      <c r="D206">
        <v>18557.207727977278</v>
      </c>
      <c r="E206">
        <v>56913.968628857387</v>
      </c>
      <c r="F206">
        <v>77081.254328656403</v>
      </c>
      <c r="G206">
        <v>223924.10576800071</v>
      </c>
      <c r="H206">
        <v>54904.04342196689</v>
      </c>
      <c r="I206">
        <v>14468.265771697508</v>
      </c>
      <c r="J206">
        <v>46312.913131680521</v>
      </c>
      <c r="K206">
        <v>63854.91239566492</v>
      </c>
      <c r="L206">
        <v>179540.13472100985</v>
      </c>
    </row>
    <row r="207" spans="1:12" x14ac:dyDescent="0.25">
      <c r="A207" t="s">
        <v>553</v>
      </c>
      <c r="B207" t="s">
        <v>554</v>
      </c>
      <c r="C207">
        <v>363492.66723858559</v>
      </c>
      <c r="D207">
        <v>92319.905131281703</v>
      </c>
      <c r="E207">
        <v>154101.11279566705</v>
      </c>
      <c r="F207">
        <v>203057.83115178166</v>
      </c>
      <c r="G207">
        <v>812971.5163173161</v>
      </c>
      <c r="H207">
        <v>308968.76715279772</v>
      </c>
      <c r="I207">
        <v>78471.919361589447</v>
      </c>
      <c r="J207">
        <v>140799.63874798812</v>
      </c>
      <c r="K207">
        <v>194130.49168448642</v>
      </c>
      <c r="L207">
        <v>722370.81694686168</v>
      </c>
    </row>
    <row r="208" spans="1:12" x14ac:dyDescent="0.25">
      <c r="A208" t="s">
        <v>61</v>
      </c>
      <c r="B208" t="s">
        <v>1402</v>
      </c>
      <c r="C208">
        <v>285698.07870035851</v>
      </c>
      <c r="D208">
        <v>0</v>
      </c>
      <c r="E208">
        <v>138876.23597605119</v>
      </c>
      <c r="F208">
        <v>191501.11674519046</v>
      </c>
      <c r="G208">
        <v>616075.43142160017</v>
      </c>
      <c r="H208">
        <v>271016.78801015322</v>
      </c>
      <c r="I208">
        <v>0</v>
      </c>
      <c r="J208">
        <v>129698.55206608561</v>
      </c>
      <c r="K208">
        <v>178824.63269966983</v>
      </c>
      <c r="L208">
        <v>579539.97277590865</v>
      </c>
    </row>
    <row r="209" spans="1:12" x14ac:dyDescent="0.25">
      <c r="A209" t="s">
        <v>74</v>
      </c>
      <c r="B209" t="s">
        <v>1391</v>
      </c>
      <c r="C209">
        <v>13231.608042813854</v>
      </c>
      <c r="D209">
        <v>0</v>
      </c>
      <c r="E209">
        <v>6431.8105646894146</v>
      </c>
      <c r="F209">
        <v>8869.0401001647242</v>
      </c>
      <c r="G209">
        <v>28532.458707667996</v>
      </c>
      <c r="H209">
        <v>15454.25820638312</v>
      </c>
      <c r="I209">
        <v>0</v>
      </c>
      <c r="J209">
        <v>7395.8330306394901</v>
      </c>
      <c r="K209">
        <v>10197.161835224706</v>
      </c>
      <c r="L209">
        <v>33047.253072247317</v>
      </c>
    </row>
    <row r="210" spans="1:12" x14ac:dyDescent="0.25">
      <c r="A210" t="s">
        <v>199</v>
      </c>
      <c r="B210" t="s">
        <v>200</v>
      </c>
      <c r="C210">
        <v>1529388.9108238518</v>
      </c>
      <c r="D210">
        <v>0</v>
      </c>
      <c r="E210">
        <v>979454.77857461316</v>
      </c>
      <c r="F210">
        <v>1350603.1653305825</v>
      </c>
      <c r="G210">
        <v>3859446.854729047</v>
      </c>
      <c r="H210">
        <v>1590645.5389020308</v>
      </c>
      <c r="I210">
        <v>0</v>
      </c>
      <c r="J210">
        <v>999595.09614068759</v>
      </c>
      <c r="K210">
        <v>1378212.9643565291</v>
      </c>
      <c r="L210">
        <v>3968453.5993992477</v>
      </c>
    </row>
    <row r="211" spans="1:12" x14ac:dyDescent="0.25">
      <c r="A211" t="s">
        <v>555</v>
      </c>
      <c r="B211" t="s">
        <v>556</v>
      </c>
      <c r="C211">
        <v>0</v>
      </c>
      <c r="D211">
        <v>2758.8521508247122</v>
      </c>
      <c r="E211">
        <v>0</v>
      </c>
      <c r="F211">
        <v>0</v>
      </c>
      <c r="G211">
        <v>2758.8521508247122</v>
      </c>
      <c r="H211">
        <v>9463.0075326783881</v>
      </c>
      <c r="I211">
        <v>2620.9095432834765</v>
      </c>
      <c r="J211">
        <v>8014.0519528313907</v>
      </c>
      <c r="K211">
        <v>11049.54430155033</v>
      </c>
      <c r="L211">
        <v>31147.513330343583</v>
      </c>
    </row>
    <row r="212" spans="1:12" x14ac:dyDescent="0.25">
      <c r="A212" t="s">
        <v>557</v>
      </c>
      <c r="B212" t="s">
        <v>558</v>
      </c>
      <c r="C212">
        <v>23038.617737836408</v>
      </c>
      <c r="D212">
        <v>5990.2253188290833</v>
      </c>
      <c r="E212">
        <v>11024.338518626775</v>
      </c>
      <c r="F212">
        <v>15163.147004513359</v>
      </c>
      <c r="G212">
        <v>55216.328579805631</v>
      </c>
      <c r="H212">
        <v>24947.928949788471</v>
      </c>
      <c r="I212">
        <v>5091.6915210047209</v>
      </c>
      <c r="J212">
        <v>11939.150654069164</v>
      </c>
      <c r="K212">
        <v>16461.357482017851</v>
      </c>
      <c r="L212">
        <v>58440.1286068802</v>
      </c>
    </row>
    <row r="213" spans="1:12" x14ac:dyDescent="0.25">
      <c r="A213" t="s">
        <v>559</v>
      </c>
      <c r="B213" t="s">
        <v>560</v>
      </c>
      <c r="C213">
        <v>274024.02979944251</v>
      </c>
      <c r="D213">
        <v>71248.444674543571</v>
      </c>
      <c r="E213">
        <v>177649.29740624141</v>
      </c>
      <c r="F213">
        <v>240598.76695603624</v>
      </c>
      <c r="G213">
        <v>763520.5388362637</v>
      </c>
      <c r="H213">
        <v>246621.62681949825</v>
      </c>
      <c r="I213">
        <v>64123.600207089214</v>
      </c>
      <c r="J213">
        <v>159884.36766561729</v>
      </c>
      <c r="K213">
        <v>216538.89026043261</v>
      </c>
      <c r="L213">
        <v>687168.48495263734</v>
      </c>
    </row>
    <row r="214" spans="1:12" x14ac:dyDescent="0.25">
      <c r="A214" t="s">
        <v>561</v>
      </c>
      <c r="B214" t="s">
        <v>562</v>
      </c>
      <c r="C214">
        <v>447076.54259291297</v>
      </c>
      <c r="D214">
        <v>113548.54641815396</v>
      </c>
      <c r="E214">
        <v>220733.04824658891</v>
      </c>
      <c r="F214">
        <v>292812.22665288101</v>
      </c>
      <c r="G214">
        <v>1074170.3639105367</v>
      </c>
      <c r="H214">
        <v>410350.41755341738</v>
      </c>
      <c r="I214">
        <v>108135.18514584473</v>
      </c>
      <c r="J214">
        <v>198659.74342193003</v>
      </c>
      <c r="K214">
        <v>270760.94892836263</v>
      </c>
      <c r="L214">
        <v>987906.29504955467</v>
      </c>
    </row>
    <row r="215" spans="1:12" x14ac:dyDescent="0.25">
      <c r="A215" t="s">
        <v>72</v>
      </c>
      <c r="B215" t="s">
        <v>16</v>
      </c>
      <c r="C215">
        <v>45401.054598303781</v>
      </c>
      <c r="D215">
        <v>11890.787460980197</v>
      </c>
      <c r="E215">
        <v>34833.664755709484</v>
      </c>
      <c r="F215">
        <v>48033.312929047759</v>
      </c>
      <c r="G215">
        <v>140158.81974404122</v>
      </c>
      <c r="H215">
        <v>49269.88785428775</v>
      </c>
      <c r="I215">
        <v>12983.557996611195</v>
      </c>
      <c r="J215">
        <v>36002.711703651687</v>
      </c>
      <c r="K215">
        <v>49639.503248402958</v>
      </c>
      <c r="L215">
        <v>147895.66080295359</v>
      </c>
    </row>
    <row r="216" spans="1:12" x14ac:dyDescent="0.25">
      <c r="A216" t="s">
        <v>201</v>
      </c>
      <c r="B216" t="s">
        <v>202</v>
      </c>
      <c r="C216">
        <v>130074.80963689386</v>
      </c>
      <c r="D216">
        <v>34067.312512990597</v>
      </c>
      <c r="E216">
        <v>63228.636467727665</v>
      </c>
      <c r="F216">
        <v>87188.095275951782</v>
      </c>
      <c r="G216">
        <v>314558.85389356391</v>
      </c>
      <c r="H216">
        <v>110563.58819135977</v>
      </c>
      <c r="I216">
        <v>28957.215636042005</v>
      </c>
      <c r="J216">
        <v>53744.340997568514</v>
      </c>
      <c r="K216">
        <v>74109.880984559015</v>
      </c>
      <c r="L216">
        <v>267375.0258095293</v>
      </c>
    </row>
    <row r="217" spans="1:12" x14ac:dyDescent="0.25">
      <c r="A217" t="s">
        <v>75</v>
      </c>
      <c r="B217" t="s">
        <v>23</v>
      </c>
      <c r="C217">
        <v>40568.614060721447</v>
      </c>
      <c r="D217">
        <v>10625.144540157748</v>
      </c>
      <c r="E217">
        <v>35333.025329587806</v>
      </c>
      <c r="F217">
        <v>48721.898034225211</v>
      </c>
      <c r="G217">
        <v>135248.68196469222</v>
      </c>
      <c r="H217">
        <v>65588.011319609854</v>
      </c>
      <c r="I217">
        <v>16144.895399464869</v>
      </c>
      <c r="J217">
        <v>55078.844921876524</v>
      </c>
      <c r="K217">
        <v>75941.126988511227</v>
      </c>
      <c r="L217">
        <v>212752.8786294625</v>
      </c>
    </row>
    <row r="218" spans="1:12" x14ac:dyDescent="0.25">
      <c r="A218" t="s">
        <v>563</v>
      </c>
      <c r="B218" t="s">
        <v>564</v>
      </c>
      <c r="C218">
        <v>88870.987950672847</v>
      </c>
      <c r="D218">
        <v>23275.803580304135</v>
      </c>
      <c r="E218">
        <v>46184.061517166294</v>
      </c>
      <c r="F218">
        <v>63684.757109136328</v>
      </c>
      <c r="G218">
        <v>222015.61015727959</v>
      </c>
      <c r="H218">
        <v>97210.895562968872</v>
      </c>
      <c r="I218">
        <v>25616.930652998861</v>
      </c>
      <c r="J218">
        <v>51153.640917981938</v>
      </c>
      <c r="K218">
        <v>70529.168619769625</v>
      </c>
      <c r="L218">
        <v>244510.63575371931</v>
      </c>
    </row>
    <row r="219" spans="1:12" x14ac:dyDescent="0.25">
      <c r="A219" t="s">
        <v>565</v>
      </c>
      <c r="B219" t="s">
        <v>566</v>
      </c>
      <c r="C219">
        <v>101369.9180464802</v>
      </c>
      <c r="D219">
        <v>26356.991402847972</v>
      </c>
      <c r="E219">
        <v>46410.664589699933</v>
      </c>
      <c r="F219">
        <v>63360.292840287955</v>
      </c>
      <c r="G219">
        <v>237497.86687931608</v>
      </c>
      <c r="H219">
        <v>108394.44991977059</v>
      </c>
      <c r="I219">
        <v>22403.442692420776</v>
      </c>
      <c r="J219">
        <v>51873.551117679825</v>
      </c>
      <c r="K219">
        <v>71521.760094284487</v>
      </c>
      <c r="L219">
        <v>254193.20382415567</v>
      </c>
    </row>
    <row r="220" spans="1:12" x14ac:dyDescent="0.25">
      <c r="A220" t="s">
        <v>567</v>
      </c>
      <c r="B220" t="s">
        <v>1408</v>
      </c>
      <c r="C220">
        <v>1961431.0315907416</v>
      </c>
      <c r="D220">
        <v>0</v>
      </c>
      <c r="E220">
        <v>1332287.3585864604</v>
      </c>
      <c r="F220">
        <v>1837135.8872284263</v>
      </c>
      <c r="G220">
        <v>5130854.277405628</v>
      </c>
      <c r="H220">
        <v>1950824.3072887254</v>
      </c>
      <c r="I220">
        <v>0</v>
      </c>
      <c r="J220">
        <v>1271226.8934576819</v>
      </c>
      <c r="K220">
        <v>1752731.0727777588</v>
      </c>
      <c r="L220">
        <v>4974782.2735241661</v>
      </c>
    </row>
    <row r="221" spans="1:12" x14ac:dyDescent="0.25">
      <c r="A221" t="s">
        <v>568</v>
      </c>
      <c r="B221" t="s">
        <v>569</v>
      </c>
      <c r="C221">
        <v>73994.619322698141</v>
      </c>
      <c r="D221">
        <v>19239.194259298121</v>
      </c>
      <c r="E221">
        <v>44932.301422996585</v>
      </c>
      <c r="F221">
        <v>61958.662977582375</v>
      </c>
      <c r="G221">
        <v>200124.77798257521</v>
      </c>
      <c r="H221">
        <v>76564.333673488742</v>
      </c>
      <c r="I221">
        <v>20176.166620503525</v>
      </c>
      <c r="J221">
        <v>49823.176963154721</v>
      </c>
      <c r="K221">
        <v>68694.763190779966</v>
      </c>
      <c r="L221">
        <v>215258.44044792693</v>
      </c>
    </row>
    <row r="222" spans="1:12" x14ac:dyDescent="0.25">
      <c r="A222" t="s">
        <v>203</v>
      </c>
      <c r="B222" t="s">
        <v>204</v>
      </c>
      <c r="C222">
        <v>1224803.7975747276</v>
      </c>
      <c r="D222">
        <v>0</v>
      </c>
      <c r="E222">
        <v>757369.10203734657</v>
      </c>
      <c r="F222">
        <v>1044361.7499358575</v>
      </c>
      <c r="G222">
        <v>3026534.6495479317</v>
      </c>
      <c r="H222">
        <v>1154486.9189867631</v>
      </c>
      <c r="I222">
        <v>0</v>
      </c>
      <c r="J222">
        <v>686501.16260897694</v>
      </c>
      <c r="K222">
        <v>946528.05521602673</v>
      </c>
      <c r="L222">
        <v>2787516.1368117668</v>
      </c>
    </row>
    <row r="223" spans="1:12" x14ac:dyDescent="0.25">
      <c r="A223" t="s">
        <v>205</v>
      </c>
      <c r="B223" t="s">
        <v>206</v>
      </c>
      <c r="C223">
        <v>214098.28915389362</v>
      </c>
      <c r="D223">
        <v>0</v>
      </c>
      <c r="E223">
        <v>104071.97927917904</v>
      </c>
      <c r="F223">
        <v>143508.35557842994</v>
      </c>
      <c r="G223">
        <v>461678.6240115026</v>
      </c>
      <c r="H223">
        <v>181983.54578080957</v>
      </c>
      <c r="I223">
        <v>0</v>
      </c>
      <c r="J223">
        <v>0</v>
      </c>
      <c r="K223">
        <v>0</v>
      </c>
      <c r="L223">
        <v>181983.54578080957</v>
      </c>
    </row>
    <row r="224" spans="1:12" x14ac:dyDescent="0.25">
      <c r="A224" t="s">
        <v>207</v>
      </c>
      <c r="B224" t="s">
        <v>208</v>
      </c>
      <c r="C224">
        <v>46051.330119894112</v>
      </c>
      <c r="D224">
        <v>0</v>
      </c>
      <c r="E224">
        <v>22385.293656276241</v>
      </c>
      <c r="F224">
        <v>30867.834973473622</v>
      </c>
      <c r="G224">
        <v>99304.458749643978</v>
      </c>
      <c r="H224">
        <v>51616.404723700296</v>
      </c>
      <c r="I224">
        <v>0</v>
      </c>
      <c r="J224">
        <v>24701.691008418959</v>
      </c>
      <c r="K224">
        <v>34057.980997278333</v>
      </c>
      <c r="L224">
        <v>110376.07672939758</v>
      </c>
    </row>
    <row r="225" spans="1:12" x14ac:dyDescent="0.25">
      <c r="A225" t="s">
        <v>300</v>
      </c>
      <c r="B225" t="s">
        <v>301</v>
      </c>
      <c r="C225">
        <v>223474.59205701313</v>
      </c>
      <c r="D225">
        <v>0</v>
      </c>
      <c r="E225">
        <v>106428.32597983969</v>
      </c>
      <c r="F225">
        <v>146757.60136511145</v>
      </c>
      <c r="G225">
        <v>476660.51940196427</v>
      </c>
      <c r="H225">
        <v>231413.54784458969</v>
      </c>
      <c r="I225">
        <v>0</v>
      </c>
      <c r="J225">
        <v>110745.91468774501</v>
      </c>
      <c r="K225">
        <v>152693.28147113114</v>
      </c>
      <c r="L225">
        <v>494852.74400346586</v>
      </c>
    </row>
    <row r="226" spans="1:12" x14ac:dyDescent="0.25">
      <c r="A226" t="s">
        <v>209</v>
      </c>
      <c r="B226" t="s">
        <v>210</v>
      </c>
      <c r="C226">
        <v>168854.87710627841</v>
      </c>
      <c r="D226">
        <v>0</v>
      </c>
      <c r="E226">
        <v>82079.410073012914</v>
      </c>
      <c r="F226">
        <v>113182.06156940326</v>
      </c>
      <c r="G226">
        <v>364116.34874869458</v>
      </c>
      <c r="H226">
        <v>143526.64554033664</v>
      </c>
      <c r="I226">
        <v>0</v>
      </c>
      <c r="J226">
        <v>0</v>
      </c>
      <c r="K226">
        <v>0</v>
      </c>
      <c r="L226">
        <v>143526.64554033664</v>
      </c>
    </row>
    <row r="227" spans="1:12" x14ac:dyDescent="0.25">
      <c r="A227" t="s">
        <v>570</v>
      </c>
      <c r="B227" t="s">
        <v>571</v>
      </c>
      <c r="C227">
        <v>294082.17830949934</v>
      </c>
      <c r="D227">
        <v>68851.377059188206</v>
      </c>
      <c r="E227">
        <v>142951.69984007996</v>
      </c>
      <c r="F227">
        <v>197120.91105867364</v>
      </c>
      <c r="G227">
        <v>703006.16626744112</v>
      </c>
      <c r="H227">
        <v>249969.85156307442</v>
      </c>
      <c r="I227">
        <v>58523.670500309971</v>
      </c>
      <c r="J227">
        <v>121508.94486406796</v>
      </c>
      <c r="K227">
        <v>167552.77439987258</v>
      </c>
      <c r="L227">
        <v>597555.24132732488</v>
      </c>
    </row>
    <row r="228" spans="1:12" x14ac:dyDescent="0.25">
      <c r="A228" t="s">
        <v>302</v>
      </c>
      <c r="B228" t="s">
        <v>303</v>
      </c>
      <c r="C228">
        <v>8079.1807227884419</v>
      </c>
      <c r="D228">
        <v>2115.9821436640118</v>
      </c>
      <c r="E228">
        <v>5044.5357435531041</v>
      </c>
      <c r="F228">
        <v>6956.0801497963921</v>
      </c>
      <c r="G228">
        <v>22195.778759801949</v>
      </c>
      <c r="H228">
        <v>0</v>
      </c>
      <c r="I228">
        <v>1798.5848221144099</v>
      </c>
      <c r="J228">
        <v>0</v>
      </c>
      <c r="K228">
        <v>0</v>
      </c>
      <c r="L228">
        <v>1798.5848221144099</v>
      </c>
    </row>
    <row r="229" spans="1:12" x14ac:dyDescent="0.25">
      <c r="A229" t="s">
        <v>1411</v>
      </c>
      <c r="B229" t="s">
        <v>1412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</row>
    <row r="230" spans="1:12" x14ac:dyDescent="0.25">
      <c r="A230" t="s">
        <v>572</v>
      </c>
      <c r="B230" t="s">
        <v>573</v>
      </c>
      <c r="C230">
        <v>30700.886746596065</v>
      </c>
      <c r="D230">
        <v>8040.7321459232453</v>
      </c>
      <c r="E230">
        <v>15102.611453434374</v>
      </c>
      <c r="F230">
        <v>20825.499328770202</v>
      </c>
      <c r="G230">
        <v>74669.729674723887</v>
      </c>
      <c r="H230">
        <v>28389.022598035164</v>
      </c>
      <c r="I230">
        <v>6834.6223240347581</v>
      </c>
      <c r="J230">
        <v>13585.930054630429</v>
      </c>
      <c r="K230">
        <v>18731.889548503073</v>
      </c>
      <c r="L230">
        <v>67541.464525203424</v>
      </c>
    </row>
    <row r="231" spans="1:12" x14ac:dyDescent="0.25">
      <c r="A231" t="s">
        <v>574</v>
      </c>
      <c r="B231" t="s">
        <v>575</v>
      </c>
      <c r="C231">
        <v>269541.7995922488</v>
      </c>
      <c r="D231">
        <v>68458.254072394295</v>
      </c>
      <c r="E231">
        <v>136673.51696712265</v>
      </c>
      <c r="F231">
        <v>180093.62442456346</v>
      </c>
      <c r="G231">
        <v>654767.19505632925</v>
      </c>
      <c r="H231">
        <v>242587.61963302392</v>
      </c>
      <c r="I231">
        <v>61612.428665154868</v>
      </c>
      <c r="J231">
        <v>123006.16527041039</v>
      </c>
      <c r="K231">
        <v>162084.26198210713</v>
      </c>
      <c r="L231">
        <v>589290.47555069625</v>
      </c>
    </row>
    <row r="232" spans="1:12" x14ac:dyDescent="0.25">
      <c r="A232" t="s">
        <v>211</v>
      </c>
      <c r="B232" t="s">
        <v>212</v>
      </c>
      <c r="C232">
        <v>96950.168673461274</v>
      </c>
      <c r="D232">
        <v>0</v>
      </c>
      <c r="E232">
        <v>47126.934013213162</v>
      </c>
      <c r="F232">
        <v>64984.915733628666</v>
      </c>
      <c r="G232">
        <v>209062.01842030312</v>
      </c>
      <c r="H232">
        <v>82407.643372442079</v>
      </c>
      <c r="I232">
        <v>0</v>
      </c>
      <c r="J232">
        <v>40057.893911231185</v>
      </c>
      <c r="K232">
        <v>55237.178373584364</v>
      </c>
      <c r="L232">
        <v>177702.71565725765</v>
      </c>
    </row>
    <row r="233" spans="1:12" x14ac:dyDescent="0.25">
      <c r="A233" t="s">
        <v>576</v>
      </c>
      <c r="B233" t="s">
        <v>577</v>
      </c>
      <c r="C233">
        <v>17774.197590134576</v>
      </c>
      <c r="D233">
        <v>4655.1607160608282</v>
      </c>
      <c r="E233">
        <v>9980.2279057581927</v>
      </c>
      <c r="F233">
        <v>13762.072221296325</v>
      </c>
      <c r="G233">
        <v>46171.658433249919</v>
      </c>
      <c r="H233">
        <v>15996.777831121119</v>
      </c>
      <c r="I233">
        <v>4189.6446444547455</v>
      </c>
      <c r="J233">
        <v>8982.2051151823744</v>
      </c>
      <c r="K233">
        <v>12385.864999166692</v>
      </c>
      <c r="L233">
        <v>41554.492589924928</v>
      </c>
    </row>
    <row r="234" spans="1:12" x14ac:dyDescent="0.25">
      <c r="A234" t="s">
        <v>86</v>
      </c>
      <c r="B234" t="s">
        <v>54</v>
      </c>
      <c r="C234">
        <v>15812.640371767773</v>
      </c>
      <c r="D234">
        <v>2171.4103386478887</v>
      </c>
      <c r="E234">
        <v>11907.521423752907</v>
      </c>
      <c r="F234">
        <v>16419.682131284098</v>
      </c>
      <c r="G234">
        <v>46311.254265452662</v>
      </c>
      <c r="H234">
        <v>18843.975139539496</v>
      </c>
      <c r="I234">
        <v>0</v>
      </c>
      <c r="J234">
        <v>13359.157822830792</v>
      </c>
      <c r="K234">
        <v>18419.222518593659</v>
      </c>
      <c r="L234">
        <v>50622.355480963946</v>
      </c>
    </row>
    <row r="235" spans="1:12" x14ac:dyDescent="0.25">
      <c r="A235" t="s">
        <v>85</v>
      </c>
      <c r="B235" t="s">
        <v>50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</row>
    <row r="236" spans="1:12" x14ac:dyDescent="0.25">
      <c r="A236" t="s">
        <v>62</v>
      </c>
      <c r="B236" t="s">
        <v>24</v>
      </c>
      <c r="C236">
        <v>5592102.5008489871</v>
      </c>
      <c r="D236">
        <v>1464602.5931762252</v>
      </c>
      <c r="E236">
        <v>4870412.8519749297</v>
      </c>
      <c r="F236">
        <v>6715976.2331416188</v>
      </c>
      <c r="G236">
        <v>18643094.17914176</v>
      </c>
      <c r="H236">
        <v>4981204.749301061</v>
      </c>
      <c r="I236">
        <v>1226154.4148501807</v>
      </c>
      <c r="J236">
        <v>4183066.3621422932</v>
      </c>
      <c r="K236">
        <v>5767491.5706637297</v>
      </c>
      <c r="L236">
        <v>16157917.096957264</v>
      </c>
    </row>
    <row r="237" spans="1:12" x14ac:dyDescent="0.25">
      <c r="A237" t="s">
        <v>304</v>
      </c>
      <c r="B237" t="s">
        <v>305</v>
      </c>
      <c r="C237">
        <v>525954.66505352745</v>
      </c>
      <c r="D237">
        <v>0</v>
      </c>
      <c r="E237">
        <v>255663.61702168139</v>
      </c>
      <c r="F237">
        <v>352543.16785493563</v>
      </c>
      <c r="G237">
        <v>1134161.4499301445</v>
      </c>
      <c r="H237">
        <v>534229.78889029787</v>
      </c>
      <c r="I237">
        <v>0</v>
      </c>
      <c r="J237">
        <v>255662.50193713623</v>
      </c>
      <c r="K237">
        <v>352500.10332183063</v>
      </c>
      <c r="L237">
        <v>1142392.3941492648</v>
      </c>
    </row>
    <row r="238" spans="1:12" x14ac:dyDescent="0.25">
      <c r="A238" t="s">
        <v>578</v>
      </c>
      <c r="B238" t="s">
        <v>579</v>
      </c>
      <c r="C238">
        <v>375681.90360966249</v>
      </c>
      <c r="D238">
        <v>0</v>
      </c>
      <c r="E238">
        <v>182616.86930120099</v>
      </c>
      <c r="F238">
        <v>251816.54846781114</v>
      </c>
      <c r="G238">
        <v>810115.32137867459</v>
      </c>
      <c r="H238">
        <v>410350.41755341738</v>
      </c>
      <c r="I238">
        <v>0</v>
      </c>
      <c r="J238">
        <v>196378.44351693074</v>
      </c>
      <c r="K238">
        <v>270760.94892836263</v>
      </c>
      <c r="L238">
        <v>877489.80999871087</v>
      </c>
    </row>
    <row r="239" spans="1:12" x14ac:dyDescent="0.25">
      <c r="A239" t="s">
        <v>580</v>
      </c>
      <c r="B239" t="s">
        <v>581</v>
      </c>
      <c r="C239">
        <v>63017.609637749825</v>
      </c>
      <c r="D239">
        <v>16504.660720579297</v>
      </c>
      <c r="E239">
        <v>43388.265974943679</v>
      </c>
      <c r="F239">
        <v>59829.540521762916</v>
      </c>
      <c r="G239">
        <v>182740.0768550357</v>
      </c>
      <c r="H239">
        <v>73983.513437303729</v>
      </c>
      <c r="I239">
        <v>19496.071116441606</v>
      </c>
      <c r="J239">
        <v>52205.130149982848</v>
      </c>
      <c r="K239">
        <v>71978.931725871269</v>
      </c>
      <c r="L239">
        <v>217663.64642959944</v>
      </c>
    </row>
    <row r="240" spans="1:12" x14ac:dyDescent="0.25">
      <c r="A240" t="s">
        <v>582</v>
      </c>
      <c r="B240" t="s">
        <v>583</v>
      </c>
      <c r="C240">
        <v>403151.11806714331</v>
      </c>
      <c r="D240">
        <v>105587.5089688342</v>
      </c>
      <c r="E240">
        <v>195969.50060494465</v>
      </c>
      <c r="F240">
        <v>270228.94125900586</v>
      </c>
      <c r="G240">
        <v>974937.06889992789</v>
      </c>
      <c r="H240">
        <v>363895.6533020871</v>
      </c>
      <c r="I240">
        <v>89749.382623509067</v>
      </c>
      <c r="J240">
        <v>174146.92160935371</v>
      </c>
      <c r="K240">
        <v>240108.76603081211</v>
      </c>
      <c r="L240">
        <v>867900.72356576193</v>
      </c>
    </row>
    <row r="241" spans="1:12" x14ac:dyDescent="0.25">
      <c r="A241" t="s">
        <v>213</v>
      </c>
      <c r="B241" t="s">
        <v>214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</row>
    <row r="242" spans="1:12" x14ac:dyDescent="0.25">
      <c r="A242" t="s">
        <v>584</v>
      </c>
      <c r="B242" t="s">
        <v>585</v>
      </c>
      <c r="C242">
        <v>704574.33643415046</v>
      </c>
      <c r="D242">
        <v>178947.86266717769</v>
      </c>
      <c r="E242">
        <v>397232.45695130317</v>
      </c>
      <c r="F242">
        <v>530234.34726660419</v>
      </c>
      <c r="G242">
        <v>1810989.0033192355</v>
      </c>
      <c r="H242">
        <v>634116.90279073548</v>
      </c>
      <c r="I242">
        <v>161053.07640045992</v>
      </c>
      <c r="J242">
        <v>357509.21125617286</v>
      </c>
      <c r="K242">
        <v>477210.91253994376</v>
      </c>
      <c r="L242">
        <v>1629890.102987312</v>
      </c>
    </row>
    <row r="243" spans="1:12" x14ac:dyDescent="0.25">
      <c r="A243" t="s">
        <v>215</v>
      </c>
      <c r="B243" t="s">
        <v>216</v>
      </c>
      <c r="C243">
        <v>654413.63854586368</v>
      </c>
      <c r="D243">
        <v>0</v>
      </c>
      <c r="E243">
        <v>341473.90937074041</v>
      </c>
      <c r="F243">
        <v>470869.86858658452</v>
      </c>
      <c r="G243">
        <v>1466757.4165031887</v>
      </c>
      <c r="H243">
        <v>556251.59276398411</v>
      </c>
      <c r="I243">
        <v>0</v>
      </c>
      <c r="J243">
        <v>290252.82296512934</v>
      </c>
      <c r="K243">
        <v>400239.38829859684</v>
      </c>
      <c r="L243">
        <v>1246743.8040277101</v>
      </c>
    </row>
    <row r="244" spans="1:12" x14ac:dyDescent="0.25">
      <c r="A244" t="s">
        <v>306</v>
      </c>
      <c r="B244" t="s">
        <v>307</v>
      </c>
      <c r="C244">
        <v>11310.853011903815</v>
      </c>
      <c r="D244">
        <v>0</v>
      </c>
      <c r="E244">
        <v>5498.1423015415357</v>
      </c>
      <c r="F244">
        <v>7581.5735022566796</v>
      </c>
      <c r="G244">
        <v>24390.56881570203</v>
      </c>
      <c r="H244">
        <v>11183.554356801733</v>
      </c>
      <c r="I244">
        <v>0</v>
      </c>
      <c r="J244">
        <v>5352.033051824109</v>
      </c>
      <c r="K244">
        <v>7379.2292160769684</v>
      </c>
      <c r="L244">
        <v>23914.816624702809</v>
      </c>
    </row>
    <row r="245" spans="1:12" x14ac:dyDescent="0.25">
      <c r="A245" t="s">
        <v>217</v>
      </c>
      <c r="B245" t="s">
        <v>218</v>
      </c>
      <c r="C245">
        <v>8079.1807227884419</v>
      </c>
      <c r="D245">
        <v>0</v>
      </c>
      <c r="E245">
        <v>3927.244501101095</v>
      </c>
      <c r="F245">
        <v>5415.4096444690585</v>
      </c>
      <c r="G245">
        <v>17421.834868358594</v>
      </c>
      <c r="H245">
        <v>0</v>
      </c>
      <c r="I245">
        <v>0</v>
      </c>
      <c r="J245">
        <v>0</v>
      </c>
      <c r="K245">
        <v>0</v>
      </c>
      <c r="L245">
        <v>0</v>
      </c>
    </row>
    <row r="246" spans="1:12" x14ac:dyDescent="0.25">
      <c r="A246" t="s">
        <v>219</v>
      </c>
      <c r="B246" t="s">
        <v>220</v>
      </c>
      <c r="C246">
        <v>420925.31565727771</v>
      </c>
      <c r="D246">
        <v>0</v>
      </c>
      <c r="E246">
        <v>0</v>
      </c>
      <c r="F246">
        <v>0</v>
      </c>
      <c r="G246">
        <v>420925.31565727771</v>
      </c>
      <c r="H246">
        <v>484333.9309907211</v>
      </c>
      <c r="I246">
        <v>0</v>
      </c>
      <c r="J246">
        <v>231784.2006289979</v>
      </c>
      <c r="K246">
        <v>319577.3883577949</v>
      </c>
      <c r="L246">
        <v>1035695.5199775139</v>
      </c>
    </row>
    <row r="247" spans="1:12" x14ac:dyDescent="0.25">
      <c r="A247" t="s">
        <v>221</v>
      </c>
      <c r="B247" t="s">
        <v>222</v>
      </c>
      <c r="C247">
        <v>319935.55662242236</v>
      </c>
      <c r="D247">
        <v>0</v>
      </c>
      <c r="E247">
        <v>155518.88224360347</v>
      </c>
      <c r="F247">
        <v>214450.22192097467</v>
      </c>
      <c r="G247">
        <v>689904.66078700055</v>
      </c>
      <c r="H247">
        <v>271945.22312905901</v>
      </c>
      <c r="I247">
        <v>0</v>
      </c>
      <c r="J247">
        <v>0</v>
      </c>
      <c r="K247">
        <v>0</v>
      </c>
      <c r="L247">
        <v>271945.22312905901</v>
      </c>
    </row>
    <row r="248" spans="1:12" x14ac:dyDescent="0.25">
      <c r="A248" t="s">
        <v>586</v>
      </c>
      <c r="B248" t="s">
        <v>587</v>
      </c>
      <c r="C248">
        <v>117090.3866205333</v>
      </c>
      <c r="D248">
        <v>30444.439267460748</v>
      </c>
      <c r="E248">
        <v>78306.449938480073</v>
      </c>
      <c r="F248">
        <v>106054.09407738505</v>
      </c>
      <c r="G248">
        <v>331895.36990385916</v>
      </c>
      <c r="H248">
        <v>135923.19910574405</v>
      </c>
      <c r="I248">
        <v>35818.363213927616</v>
      </c>
      <c r="J248">
        <v>91746.578171505855</v>
      </c>
      <c r="K248">
        <v>126497.5428145983</v>
      </c>
      <c r="L248">
        <v>389985.68330577586</v>
      </c>
    </row>
    <row r="249" spans="1:12" x14ac:dyDescent="0.25">
      <c r="A249" t="s">
        <v>588</v>
      </c>
      <c r="B249" t="s">
        <v>589</v>
      </c>
      <c r="C249">
        <v>66249.281926865209</v>
      </c>
      <c r="D249">
        <v>17351.053578044906</v>
      </c>
      <c r="E249">
        <v>38413.026460612498</v>
      </c>
      <c r="F249">
        <v>52969.015275143196</v>
      </c>
      <c r="G249">
        <v>174982.37724066581</v>
      </c>
      <c r="H249">
        <v>82586.247557920462</v>
      </c>
      <c r="I249">
        <v>21763.056129981334</v>
      </c>
      <c r="J249">
        <v>54118.440796524927</v>
      </c>
      <c r="K249">
        <v>74616.949407317123</v>
      </c>
      <c r="L249">
        <v>233084.69389174384</v>
      </c>
    </row>
    <row r="250" spans="1:12" x14ac:dyDescent="0.25">
      <c r="A250" t="s">
        <v>223</v>
      </c>
      <c r="B250" t="s">
        <v>224</v>
      </c>
      <c r="C250">
        <v>871627.70441481087</v>
      </c>
      <c r="D250">
        <v>0</v>
      </c>
      <c r="E250">
        <v>496403.7049391786</v>
      </c>
      <c r="F250">
        <v>684507.77906088857</v>
      </c>
      <c r="G250">
        <v>2052539.188414878</v>
      </c>
      <c r="H250">
        <v>998777.43140360049</v>
      </c>
      <c r="I250">
        <v>0</v>
      </c>
      <c r="J250">
        <v>574726.01079588104</v>
      </c>
      <c r="K250">
        <v>792415.69120334217</v>
      </c>
      <c r="L250">
        <v>2365919.1334028239</v>
      </c>
    </row>
    <row r="251" spans="1:12" x14ac:dyDescent="0.25">
      <c r="A251" t="s">
        <v>225</v>
      </c>
      <c r="B251" t="s">
        <v>226</v>
      </c>
      <c r="C251">
        <v>144617.33493791311</v>
      </c>
      <c r="D251">
        <v>0</v>
      </c>
      <c r="E251">
        <v>70297.676569709613</v>
      </c>
      <c r="F251">
        <v>96935.832635996107</v>
      </c>
      <c r="G251">
        <v>311850.84414361883</v>
      </c>
      <c r="H251">
        <v>122924.73469722614</v>
      </c>
      <c r="I251">
        <v>0</v>
      </c>
      <c r="J251">
        <v>59753.025084253168</v>
      </c>
      <c r="K251">
        <v>82395.457740596685</v>
      </c>
      <c r="L251">
        <v>265073.21752207598</v>
      </c>
    </row>
    <row r="252" spans="1:12" x14ac:dyDescent="0.25">
      <c r="A252" t="s">
        <v>590</v>
      </c>
      <c r="B252" t="s">
        <v>591</v>
      </c>
      <c r="C252">
        <v>45309.281551078268</v>
      </c>
      <c r="D252">
        <v>11780.776460363866</v>
      </c>
      <c r="E252">
        <v>20826.042629284922</v>
      </c>
      <c r="F252">
        <v>28205.685304352664</v>
      </c>
      <c r="G252">
        <v>106121.78594507973</v>
      </c>
      <c r="H252">
        <v>49895.857899576942</v>
      </c>
      <c r="I252">
        <v>13148.513078530386</v>
      </c>
      <c r="J252">
        <v>24853.524069150706</v>
      </c>
      <c r="K252">
        <v>34267.324053808268</v>
      </c>
      <c r="L252">
        <v>122165.21910106629</v>
      </c>
    </row>
    <row r="253" spans="1:12" x14ac:dyDescent="0.25">
      <c r="A253" t="s">
        <v>64</v>
      </c>
      <c r="B253" t="s">
        <v>32</v>
      </c>
      <c r="C253">
        <v>4449078.8007688252</v>
      </c>
      <c r="D253">
        <v>1156796.157699259</v>
      </c>
      <c r="E253">
        <v>3547832.2598081236</v>
      </c>
      <c r="F253">
        <v>4804995.4575654408</v>
      </c>
      <c r="G253">
        <v>13958702.675841648</v>
      </c>
      <c r="H253">
        <v>5174918.7154237162</v>
      </c>
      <c r="I253">
        <v>1363690.079185056</v>
      </c>
      <c r="J253">
        <v>4365171.4153176015</v>
      </c>
      <c r="K253">
        <v>6018572.7795752632</v>
      </c>
      <c r="L253">
        <v>16922352.989501636</v>
      </c>
    </row>
    <row r="254" spans="1:12" x14ac:dyDescent="0.25">
      <c r="A254" t="s">
        <v>82</v>
      </c>
      <c r="B254" t="s">
        <v>37</v>
      </c>
      <c r="C254">
        <v>88963.28513805788</v>
      </c>
      <c r="D254">
        <v>0</v>
      </c>
      <c r="E254">
        <v>70942.059488082858</v>
      </c>
      <c r="F254">
        <v>96080.155043466162</v>
      </c>
      <c r="G254">
        <v>255985.49966960688</v>
      </c>
      <c r="H254">
        <v>113564.67928859494</v>
      </c>
      <c r="I254">
        <v>0</v>
      </c>
      <c r="J254">
        <v>95794.604530265715</v>
      </c>
      <c r="K254">
        <v>132078.84511313881</v>
      </c>
      <c r="L254">
        <v>341438.12893199944</v>
      </c>
    </row>
    <row r="255" spans="1:12" x14ac:dyDescent="0.25">
      <c r="A255" t="s">
        <v>592</v>
      </c>
      <c r="B255" t="s">
        <v>593</v>
      </c>
      <c r="C255">
        <v>18582.115662413416</v>
      </c>
      <c r="D255">
        <v>4866.7589304272287</v>
      </c>
      <c r="E255">
        <v>10025.037765515757</v>
      </c>
      <c r="F255">
        <v>13823.862045339712</v>
      </c>
      <c r="G255">
        <v>47297.774403696123</v>
      </c>
      <c r="H255">
        <v>19786.288477418446</v>
      </c>
      <c r="I255">
        <v>5214.065531141363</v>
      </c>
      <c r="J255">
        <v>10364.973640330141</v>
      </c>
      <c r="K255">
        <v>14290.9274980138</v>
      </c>
      <c r="L255">
        <v>49656.25514690375</v>
      </c>
    </row>
    <row r="256" spans="1:12" x14ac:dyDescent="0.25">
      <c r="A256" t="s">
        <v>594</v>
      </c>
      <c r="B256" t="s">
        <v>595</v>
      </c>
      <c r="C256">
        <v>17774.197590134576</v>
      </c>
      <c r="D256">
        <v>0</v>
      </c>
      <c r="E256">
        <v>8639.9379024224127</v>
      </c>
      <c r="F256">
        <v>11913.901217831923</v>
      </c>
      <c r="G256">
        <v>38328.036710388915</v>
      </c>
      <c r="H256">
        <v>19786.288477418446</v>
      </c>
      <c r="I256">
        <v>0</v>
      </c>
      <c r="J256">
        <v>9468.9815532272696</v>
      </c>
      <c r="K256">
        <v>13055.559382290021</v>
      </c>
      <c r="L256">
        <v>42310.829412935738</v>
      </c>
    </row>
    <row r="257" spans="1:12" x14ac:dyDescent="0.25">
      <c r="A257" t="s">
        <v>227</v>
      </c>
      <c r="B257" t="s">
        <v>228</v>
      </c>
      <c r="C257">
        <v>326398.901200653</v>
      </c>
      <c r="D257">
        <v>0</v>
      </c>
      <c r="E257">
        <v>158660.67784448428</v>
      </c>
      <c r="F257">
        <v>218782.54963654987</v>
      </c>
      <c r="G257">
        <v>703842.12868168717</v>
      </c>
      <c r="H257">
        <v>348410.73188497697</v>
      </c>
      <c r="I257">
        <v>0</v>
      </c>
      <c r="J257">
        <v>166736.41430682797</v>
      </c>
      <c r="K257">
        <v>229891.37173162863</v>
      </c>
      <c r="L257">
        <v>745038.51792343357</v>
      </c>
    </row>
    <row r="258" spans="1:12" x14ac:dyDescent="0.25">
      <c r="A258" t="s">
        <v>229</v>
      </c>
      <c r="B258" t="s">
        <v>230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</row>
    <row r="259" spans="1:12" x14ac:dyDescent="0.25">
      <c r="A259" t="s">
        <v>596</v>
      </c>
      <c r="B259" t="s">
        <v>597</v>
      </c>
      <c r="C259">
        <v>0</v>
      </c>
      <c r="D259">
        <v>1941.4144765062795</v>
      </c>
      <c r="E259">
        <v>0</v>
      </c>
      <c r="F259">
        <v>0</v>
      </c>
      <c r="G259">
        <v>1941.4144765062795</v>
      </c>
      <c r="H259">
        <v>13764.374592986747</v>
      </c>
      <c r="I259">
        <v>3627.1760216635562</v>
      </c>
      <c r="J259">
        <v>21434.840910699284</v>
      </c>
      <c r="K259">
        <v>29553.742056261188</v>
      </c>
      <c r="L259">
        <v>68380.133581610775</v>
      </c>
    </row>
    <row r="260" spans="1:12" x14ac:dyDescent="0.25">
      <c r="A260" t="s">
        <v>231</v>
      </c>
      <c r="B260" t="s">
        <v>232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</row>
    <row r="261" spans="1:12" x14ac:dyDescent="0.25">
      <c r="A261" t="s">
        <v>233</v>
      </c>
      <c r="B261" t="s">
        <v>234</v>
      </c>
      <c r="C261">
        <v>212482.45300933596</v>
      </c>
      <c r="D261">
        <v>0</v>
      </c>
      <c r="E261">
        <v>103286.53037895885</v>
      </c>
      <c r="F261">
        <v>142425.2736495361</v>
      </c>
      <c r="G261">
        <v>458194.25703783089</v>
      </c>
      <c r="H261">
        <v>239156.00855314478</v>
      </c>
      <c r="I261">
        <v>0</v>
      </c>
      <c r="J261">
        <v>114451.16833900785</v>
      </c>
      <c r="K261">
        <v>157801.97862072289</v>
      </c>
      <c r="L261">
        <v>511409.15551287553</v>
      </c>
    </row>
    <row r="262" spans="1:12" x14ac:dyDescent="0.25">
      <c r="A262" t="s">
        <v>598</v>
      </c>
      <c r="B262" t="s">
        <v>599</v>
      </c>
      <c r="C262">
        <v>0</v>
      </c>
      <c r="D262">
        <v>2114.1971713514413</v>
      </c>
      <c r="E262">
        <v>0</v>
      </c>
      <c r="F262">
        <v>0</v>
      </c>
      <c r="G262">
        <v>2114.1971713514413</v>
      </c>
      <c r="H262">
        <v>0</v>
      </c>
      <c r="I262">
        <v>1797.067595648725</v>
      </c>
      <c r="J262">
        <v>0</v>
      </c>
      <c r="K262">
        <v>0</v>
      </c>
      <c r="L262">
        <v>1797.067595648725</v>
      </c>
    </row>
    <row r="263" spans="1:12" x14ac:dyDescent="0.25">
      <c r="A263" t="s">
        <v>600</v>
      </c>
      <c r="B263" t="s">
        <v>601</v>
      </c>
      <c r="C263">
        <v>107513.5494432366</v>
      </c>
      <c r="D263">
        <v>24556.473082058084</v>
      </c>
      <c r="E263">
        <v>51054.178514314262</v>
      </c>
      <c r="F263">
        <v>70400.325378097725</v>
      </c>
      <c r="G263">
        <v>253524.52641770669</v>
      </c>
      <c r="H263">
        <v>119578.00427657239</v>
      </c>
      <c r="I263">
        <v>31511.091688202137</v>
      </c>
      <c r="J263">
        <v>57225.584169503927</v>
      </c>
      <c r="K263">
        <v>78900.989310361445</v>
      </c>
      <c r="L263">
        <v>287215.66944463988</v>
      </c>
    </row>
    <row r="264" spans="1:12" x14ac:dyDescent="0.25">
      <c r="A264" t="s">
        <v>235</v>
      </c>
      <c r="B264" t="s">
        <v>236</v>
      </c>
      <c r="C264">
        <v>204403.27228654758</v>
      </c>
      <c r="D264">
        <v>0</v>
      </c>
      <c r="E264">
        <v>99359.285877857736</v>
      </c>
      <c r="F264">
        <v>137009.86400506709</v>
      </c>
      <c r="G264">
        <v>440772.42216947238</v>
      </c>
      <c r="H264">
        <v>192701.24430181441</v>
      </c>
      <c r="I264">
        <v>0</v>
      </c>
      <c r="J264">
        <v>92219.646431430796</v>
      </c>
      <c r="K264">
        <v>127149.79572317238</v>
      </c>
      <c r="L264">
        <v>412070.68645641755</v>
      </c>
    </row>
    <row r="265" spans="1:12" x14ac:dyDescent="0.25">
      <c r="A265" t="s">
        <v>602</v>
      </c>
      <c r="B265" t="s">
        <v>603</v>
      </c>
      <c r="C265">
        <v>21813.787951528786</v>
      </c>
      <c r="D265">
        <v>5713.1517878928353</v>
      </c>
      <c r="E265">
        <v>13742.361229921742</v>
      </c>
      <c r="F265">
        <v>18949.804505787786</v>
      </c>
      <c r="G265">
        <v>60219.105475131146</v>
      </c>
      <c r="H265">
        <v>19632.409156375907</v>
      </c>
      <c r="I265">
        <v>5141.8366091035523</v>
      </c>
      <c r="J265">
        <v>12368.125106929569</v>
      </c>
      <c r="K265">
        <v>17054.824055209006</v>
      </c>
      <c r="L265">
        <v>54197.194927618031</v>
      </c>
    </row>
    <row r="266" spans="1:12" x14ac:dyDescent="0.25">
      <c r="A266" t="s">
        <v>76</v>
      </c>
      <c r="B266" t="s">
        <v>27</v>
      </c>
      <c r="C266">
        <v>67614.356767869074</v>
      </c>
      <c r="D266">
        <v>17708.574233596246</v>
      </c>
      <c r="E266">
        <v>58888.375549313016</v>
      </c>
      <c r="F266">
        <v>81203.163390375354</v>
      </c>
      <c r="G266">
        <v>225414.46994115369</v>
      </c>
      <c r="H266">
        <v>95993.0496796933</v>
      </c>
      <c r="I266">
        <v>23629.283995243142</v>
      </c>
      <c r="J266">
        <v>80612.084289633363</v>
      </c>
      <c r="K266">
        <v>111145.62294344953</v>
      </c>
      <c r="L266">
        <v>311380.04090801935</v>
      </c>
    </row>
    <row r="267" spans="1:12" x14ac:dyDescent="0.25">
      <c r="A267" t="s">
        <v>84</v>
      </c>
      <c r="B267" t="s">
        <v>42</v>
      </c>
      <c r="C267">
        <v>17533.600898853398</v>
      </c>
      <c r="D267">
        <v>2560.3551453745126</v>
      </c>
      <c r="E267">
        <v>14102.30077193117</v>
      </c>
      <c r="F267">
        <v>19446.137256824069</v>
      </c>
      <c r="G267">
        <v>53642.394072983152</v>
      </c>
      <c r="H267">
        <v>19862.115076940998</v>
      </c>
      <c r="I267">
        <v>0</v>
      </c>
      <c r="J267">
        <v>15831.709651657435</v>
      </c>
      <c r="K267">
        <v>21828.305855125676</v>
      </c>
      <c r="L267">
        <v>57522.130583724109</v>
      </c>
    </row>
    <row r="268" spans="1:12" x14ac:dyDescent="0.25">
      <c r="A268" t="s">
        <v>77</v>
      </c>
      <c r="B268" t="s">
        <v>29</v>
      </c>
      <c r="C268">
        <v>27045.74270714763</v>
      </c>
      <c r="D268">
        <v>0</v>
      </c>
      <c r="E268">
        <v>23555.350219725206</v>
      </c>
      <c r="F268">
        <v>32481.265356150139</v>
      </c>
      <c r="G268">
        <v>83082.358283022972</v>
      </c>
      <c r="H268">
        <v>36920.403722959076</v>
      </c>
      <c r="I268">
        <v>0</v>
      </c>
      <c r="J268">
        <v>31004.647803705233</v>
      </c>
      <c r="K268">
        <v>42748.316516711486</v>
      </c>
      <c r="L268">
        <v>110673.36804337578</v>
      </c>
    </row>
    <row r="269" spans="1:12" x14ac:dyDescent="0.25">
      <c r="A269" t="s">
        <v>237</v>
      </c>
      <c r="B269" t="s">
        <v>238</v>
      </c>
      <c r="C269">
        <v>526762.58312580653</v>
      </c>
      <c r="D269">
        <v>0</v>
      </c>
      <c r="E269">
        <v>256056.3414717915</v>
      </c>
      <c r="F269">
        <v>353084.70881938242</v>
      </c>
      <c r="G269">
        <v>1135903.6334169805</v>
      </c>
      <c r="H269">
        <v>484333.9309907211</v>
      </c>
      <c r="I269">
        <v>0</v>
      </c>
      <c r="J269">
        <v>231784.2006289979</v>
      </c>
      <c r="K269">
        <v>319577.3883577949</v>
      </c>
      <c r="L269">
        <v>1035695.5199775139</v>
      </c>
    </row>
    <row r="270" spans="1:12" x14ac:dyDescent="0.25">
      <c r="A270" t="s">
        <v>604</v>
      </c>
      <c r="B270" t="s">
        <v>605</v>
      </c>
      <c r="C270">
        <v>1050293.4939624972</v>
      </c>
      <c r="D270">
        <v>275077.67867632152</v>
      </c>
      <c r="E270">
        <v>630126.38020167081</v>
      </c>
      <c r="F270">
        <v>868902.47745506011</v>
      </c>
      <c r="G270">
        <v>2824400.0302955494</v>
      </c>
      <c r="H270">
        <v>1031467.8210619444</v>
      </c>
      <c r="I270">
        <v>271811.50312341272</v>
      </c>
      <c r="J270">
        <v>598192.61725387932</v>
      </c>
      <c r="K270">
        <v>824770.77315075661</v>
      </c>
      <c r="L270">
        <v>2726242.714589993</v>
      </c>
    </row>
    <row r="271" spans="1:12" x14ac:dyDescent="0.25">
      <c r="A271" t="s">
        <v>70</v>
      </c>
      <c r="B271" t="s">
        <v>12</v>
      </c>
      <c r="C271">
        <v>14184.318531403884</v>
      </c>
      <c r="D271">
        <v>3714.9515232200738</v>
      </c>
      <c r="E271">
        <v>7744.5641563441086</v>
      </c>
      <c r="F271">
        <v>10679.24021861037</v>
      </c>
      <c r="G271">
        <v>36323.074429578439</v>
      </c>
      <c r="H271">
        <v>15494.230345822674</v>
      </c>
      <c r="I271">
        <v>4083.0261051697285</v>
      </c>
      <c r="J271">
        <v>8687.2062007525492</v>
      </c>
      <c r="K271">
        <v>11977.67001473014</v>
      </c>
      <c r="L271">
        <v>40242.132666475089</v>
      </c>
    </row>
    <row r="272" spans="1:12" x14ac:dyDescent="0.25">
      <c r="A272" t="s">
        <v>65</v>
      </c>
      <c r="B272" t="s">
        <v>39</v>
      </c>
      <c r="C272">
        <v>3399300.7784178485</v>
      </c>
      <c r="D272">
        <v>0</v>
      </c>
      <c r="E272">
        <v>2734062.5732300743</v>
      </c>
      <c r="F272">
        <v>3770090.9183272896</v>
      </c>
      <c r="G272">
        <v>9903454.2699752115</v>
      </c>
      <c r="H272">
        <v>3730809.5949327624</v>
      </c>
      <c r="I272">
        <v>0</v>
      </c>
      <c r="J272">
        <v>2973756.5230988436</v>
      </c>
      <c r="K272">
        <v>4100129.9514156361</v>
      </c>
      <c r="L272">
        <v>10804696.069447242</v>
      </c>
    </row>
    <row r="273" spans="1:12" x14ac:dyDescent="0.25">
      <c r="A273" t="s">
        <v>606</v>
      </c>
      <c r="B273" t="s">
        <v>607</v>
      </c>
      <c r="C273">
        <v>59785.93734863447</v>
      </c>
      <c r="D273">
        <v>15658.267863113693</v>
      </c>
      <c r="E273">
        <v>34750.478238885626</v>
      </c>
      <c r="F273">
        <v>47918.604240711335</v>
      </c>
      <c r="G273">
        <v>158113.28769134512</v>
      </c>
      <c r="H273">
        <v>74843.78684936541</v>
      </c>
      <c r="I273">
        <v>19722.769617795584</v>
      </c>
      <c r="J273">
        <v>49277.588655377534</v>
      </c>
      <c r="K273">
        <v>67942.521726328021</v>
      </c>
      <c r="L273">
        <v>211786.66684886656</v>
      </c>
    </row>
    <row r="274" spans="1:12" x14ac:dyDescent="0.25">
      <c r="A274" t="s">
        <v>239</v>
      </c>
      <c r="B274" t="s">
        <v>240</v>
      </c>
      <c r="C274">
        <v>363563.13252547989</v>
      </c>
      <c r="D274">
        <v>0</v>
      </c>
      <c r="E274">
        <v>0</v>
      </c>
      <c r="F274">
        <v>0</v>
      </c>
      <c r="G274">
        <v>363563.13252547989</v>
      </c>
      <c r="H274">
        <v>328624.4434075586</v>
      </c>
      <c r="I274">
        <v>0</v>
      </c>
      <c r="J274">
        <v>0</v>
      </c>
      <c r="K274">
        <v>0</v>
      </c>
      <c r="L274">
        <v>328624.4434075586</v>
      </c>
    </row>
    <row r="275" spans="1:12" x14ac:dyDescent="0.25">
      <c r="A275" t="s">
        <v>241</v>
      </c>
      <c r="B275" t="s">
        <v>242</v>
      </c>
      <c r="C275">
        <v>21813.787951528786</v>
      </c>
      <c r="D275">
        <v>5713.1517878928353</v>
      </c>
      <c r="E275">
        <v>11030.294540462606</v>
      </c>
      <c r="F275">
        <v>15210.044452034461</v>
      </c>
      <c r="G275">
        <v>53767.27873191869</v>
      </c>
      <c r="H275">
        <v>24087.655537726801</v>
      </c>
      <c r="I275">
        <v>6347.5580379112216</v>
      </c>
      <c r="J275">
        <v>12331.681108935451</v>
      </c>
      <c r="K275">
        <v>17002.567181715436</v>
      </c>
      <c r="L275">
        <v>59769.461866288912</v>
      </c>
    </row>
    <row r="276" spans="1:12" x14ac:dyDescent="0.25">
      <c r="A276" t="s">
        <v>308</v>
      </c>
      <c r="B276" t="s">
        <v>309</v>
      </c>
      <c r="C276">
        <v>173702.38553995147</v>
      </c>
      <c r="D276">
        <v>0</v>
      </c>
      <c r="E276">
        <v>84435.756773673565</v>
      </c>
      <c r="F276">
        <v>116431.30735608473</v>
      </c>
      <c r="G276">
        <v>374569.44966970978</v>
      </c>
      <c r="H276">
        <v>166032.76852790269</v>
      </c>
      <c r="I276">
        <v>0</v>
      </c>
      <c r="J276">
        <v>79457.106077081</v>
      </c>
      <c r="K276">
        <v>109553.17220791192</v>
      </c>
      <c r="L276">
        <v>355043.04681289563</v>
      </c>
    </row>
    <row r="277" spans="1:12" x14ac:dyDescent="0.25">
      <c r="A277" t="s">
        <v>243</v>
      </c>
      <c r="B277" t="s">
        <v>244</v>
      </c>
      <c r="C277">
        <v>25045.460240644166</v>
      </c>
      <c r="D277">
        <v>6559.5446453584391</v>
      </c>
      <c r="E277">
        <v>12174.457953413397</v>
      </c>
      <c r="F277">
        <v>16787.769897854068</v>
      </c>
      <c r="G277">
        <v>60567.232737270067</v>
      </c>
      <c r="H277">
        <v>21506.835301541792</v>
      </c>
      <c r="I277">
        <v>5575.6129485546735</v>
      </c>
      <c r="J277">
        <v>10348.289260401387</v>
      </c>
      <c r="K277">
        <v>14269.604413175957</v>
      </c>
      <c r="L277">
        <v>51700.341923673812</v>
      </c>
    </row>
    <row r="278" spans="1:12" x14ac:dyDescent="0.25">
      <c r="A278" t="s">
        <v>245</v>
      </c>
      <c r="B278" t="s">
        <v>246</v>
      </c>
      <c r="C278">
        <v>82171.069931616512</v>
      </c>
      <c r="D278">
        <v>0</v>
      </c>
      <c r="E278">
        <v>38879.720560900867</v>
      </c>
      <c r="F278">
        <v>53612.555480243645</v>
      </c>
      <c r="G278">
        <v>174663.34597276102</v>
      </c>
      <c r="H278">
        <v>77424.607085550422</v>
      </c>
      <c r="I278">
        <v>0</v>
      </c>
      <c r="J278">
        <v>37052.536512628431</v>
      </c>
      <c r="K278">
        <v>51086.971495917482</v>
      </c>
      <c r="L278">
        <v>165564.11509409634</v>
      </c>
    </row>
    <row r="279" spans="1:12" x14ac:dyDescent="0.25">
      <c r="A279" t="s">
        <v>608</v>
      </c>
      <c r="B279" t="s">
        <v>609</v>
      </c>
      <c r="C279">
        <v>280529.05127836089</v>
      </c>
      <c r="D279">
        <v>72939.802411624754</v>
      </c>
      <c r="E279">
        <v>211841.42636701601</v>
      </c>
      <c r="F279">
        <v>286906.76922610379</v>
      </c>
      <c r="G279">
        <v>852217.04928310541</v>
      </c>
      <c r="H279">
        <v>252476.14615052482</v>
      </c>
      <c r="I279">
        <v>65645.822170462285</v>
      </c>
      <c r="J279">
        <v>190657.2837303144</v>
      </c>
      <c r="K279">
        <v>258216.09230349341</v>
      </c>
      <c r="L279">
        <v>766995.34435479483</v>
      </c>
    </row>
    <row r="280" spans="1:12" x14ac:dyDescent="0.25">
      <c r="A280" t="s">
        <v>610</v>
      </c>
      <c r="B280" t="s">
        <v>611</v>
      </c>
      <c r="C280">
        <v>634215.68673889257</v>
      </c>
      <c r="D280">
        <v>166104.59827762499</v>
      </c>
      <c r="E280">
        <v>378955.50143491558</v>
      </c>
      <c r="F280">
        <v>522554.49761782476</v>
      </c>
      <c r="G280">
        <v>1701830.284069258</v>
      </c>
      <c r="H280">
        <v>623698.22374471161</v>
      </c>
      <c r="I280">
        <v>164356.41348162989</v>
      </c>
      <c r="J280">
        <v>355408.13607655728</v>
      </c>
      <c r="K280">
        <v>490026.51440534886</v>
      </c>
      <c r="L280">
        <v>1633489.2877082475</v>
      </c>
    </row>
    <row r="281" spans="1:12" x14ac:dyDescent="0.25">
      <c r="A281" t="s">
        <v>247</v>
      </c>
      <c r="B281" t="s">
        <v>248</v>
      </c>
      <c r="C281">
        <v>16158.361445576884</v>
      </c>
      <c r="D281">
        <v>0</v>
      </c>
      <c r="E281">
        <v>7854.48900220219</v>
      </c>
      <c r="F281">
        <v>10830.819288938117</v>
      </c>
      <c r="G281">
        <v>34843.669736717187</v>
      </c>
      <c r="H281">
        <v>24087.655537726801</v>
      </c>
      <c r="I281">
        <v>0</v>
      </c>
      <c r="J281">
        <v>11527.455803928849</v>
      </c>
      <c r="K281">
        <v>15893.724465396548</v>
      </c>
      <c r="L281">
        <v>51508.835807052194</v>
      </c>
    </row>
    <row r="282" spans="1:12" x14ac:dyDescent="0.25">
      <c r="A282" t="s">
        <v>249</v>
      </c>
      <c r="B282" t="s">
        <v>250</v>
      </c>
      <c r="C282">
        <v>70288.872288259445</v>
      </c>
      <c r="D282">
        <v>0</v>
      </c>
      <c r="E282">
        <v>34167.027159579542</v>
      </c>
      <c r="F282">
        <v>47114.063906880787</v>
      </c>
      <c r="G282">
        <v>151569.96335471977</v>
      </c>
      <c r="H282">
        <v>65380.779316687032</v>
      </c>
      <c r="I282">
        <v>0</v>
      </c>
      <c r="J282">
        <v>31288.808610664018</v>
      </c>
      <c r="K282">
        <v>43140.109263219201</v>
      </c>
      <c r="L282">
        <v>139809.69719057024</v>
      </c>
    </row>
    <row r="283" spans="1:12" x14ac:dyDescent="0.25">
      <c r="A283" t="s">
        <v>612</v>
      </c>
      <c r="B283" t="s">
        <v>613</v>
      </c>
      <c r="C283">
        <v>38780.067469384521</v>
      </c>
      <c r="D283">
        <v>10156.714289587262</v>
      </c>
      <c r="E283">
        <v>24702.230458368351</v>
      </c>
      <c r="F283">
        <v>34062.737124372798</v>
      </c>
      <c r="G283">
        <v>107701.74934171293</v>
      </c>
      <c r="H283">
        <v>34902.060722446069</v>
      </c>
      <c r="I283">
        <v>9141.0428606285368</v>
      </c>
      <c r="J283">
        <v>22232.007412531515</v>
      </c>
      <c r="K283">
        <v>30656.463411935518</v>
      </c>
      <c r="L283">
        <v>96931.57440754163</v>
      </c>
    </row>
    <row r="284" spans="1:12" x14ac:dyDescent="0.25">
      <c r="A284" t="s">
        <v>63</v>
      </c>
      <c r="B284" t="s">
        <v>45</v>
      </c>
      <c r="C284">
        <v>438926.62689563795</v>
      </c>
      <c r="D284">
        <v>114957.3127223343</v>
      </c>
      <c r="E284">
        <v>270724.82131449744</v>
      </c>
      <c r="F284">
        <v>373311.56945604976</v>
      </c>
      <c r="G284">
        <v>1197920.3303885194</v>
      </c>
      <c r="H284">
        <v>397259.39581929479</v>
      </c>
      <c r="I284">
        <v>104044.43430574227</v>
      </c>
      <c r="J284">
        <v>245024.95943189863</v>
      </c>
      <c r="K284">
        <v>337873.16477777541</v>
      </c>
      <c r="L284">
        <v>1084201.9543347112</v>
      </c>
    </row>
    <row r="285" spans="1:12" x14ac:dyDescent="0.25">
      <c r="A285" t="s">
        <v>251</v>
      </c>
      <c r="B285" t="s">
        <v>252</v>
      </c>
      <c r="C285">
        <v>596243.5373417869</v>
      </c>
      <c r="D285">
        <v>0</v>
      </c>
      <c r="E285">
        <v>299059.66875884857</v>
      </c>
      <c r="F285">
        <v>412383.44442631863</v>
      </c>
      <c r="G285">
        <v>1307686.6505269541</v>
      </c>
      <c r="H285">
        <v>572942.09243307309</v>
      </c>
      <c r="I285">
        <v>0</v>
      </c>
      <c r="J285">
        <v>274188.77019345039</v>
      </c>
      <c r="K285">
        <v>378043.58906978933</v>
      </c>
      <c r="L285">
        <v>1225174.4516963128</v>
      </c>
    </row>
    <row r="286" spans="1:12" x14ac:dyDescent="0.25">
      <c r="A286" t="s">
        <v>614</v>
      </c>
      <c r="B286" t="s">
        <v>615</v>
      </c>
      <c r="C286">
        <v>127651.05542005741</v>
      </c>
      <c r="D286">
        <v>33432.517869891402</v>
      </c>
      <c r="E286">
        <v>70820.962263258858</v>
      </c>
      <c r="F286">
        <v>97657.408894073393</v>
      </c>
      <c r="G286">
        <v>329561.94444728107</v>
      </c>
      <c r="H286">
        <v>173775.22923645767</v>
      </c>
      <c r="I286">
        <v>45793.097273502404</v>
      </c>
      <c r="J286">
        <v>113641.46749249438</v>
      </c>
      <c r="K286">
        <v>156685.58638528295</v>
      </c>
      <c r="L286">
        <v>489895.38038773742</v>
      </c>
    </row>
    <row r="287" spans="1:12" x14ac:dyDescent="0.25">
      <c r="A287" t="s">
        <v>253</v>
      </c>
      <c r="B287" t="s">
        <v>254</v>
      </c>
      <c r="C287">
        <v>378105.65782649897</v>
      </c>
      <c r="D287">
        <v>0</v>
      </c>
      <c r="E287">
        <v>183795.04265153126</v>
      </c>
      <c r="F287">
        <v>253441.17136115182</v>
      </c>
      <c r="G287">
        <v>815341.8718391821</v>
      </c>
      <c r="H287">
        <v>401747.68343280058</v>
      </c>
      <c r="I287">
        <v>0</v>
      </c>
      <c r="J287">
        <v>192261.49501552765</v>
      </c>
      <c r="K287">
        <v>265084.61876214959</v>
      </c>
      <c r="L287">
        <v>859093.79721047787</v>
      </c>
    </row>
    <row r="288" spans="1:12" x14ac:dyDescent="0.25">
      <c r="A288" t="s">
        <v>616</v>
      </c>
      <c r="B288" t="s">
        <v>617</v>
      </c>
      <c r="C288">
        <v>58170.101204076753</v>
      </c>
      <c r="D288">
        <v>15235.071434380892</v>
      </c>
      <c r="E288">
        <v>38385.506294771025</v>
      </c>
      <c r="F288">
        <v>52931.066792059552</v>
      </c>
      <c r="G288">
        <v>164721.74572528823</v>
      </c>
      <c r="H288">
        <v>57638.318608132009</v>
      </c>
      <c r="I288">
        <v>15188.799590716144</v>
      </c>
      <c r="J288">
        <v>35442.644970639747</v>
      </c>
      <c r="K288">
        <v>48867.299347721528</v>
      </c>
      <c r="L288">
        <v>157137.06251720944</v>
      </c>
    </row>
    <row r="289" spans="1:12" x14ac:dyDescent="0.25">
      <c r="A289" t="s">
        <v>66</v>
      </c>
      <c r="B289" t="s">
        <v>51</v>
      </c>
      <c r="C289">
        <v>2623793.9901927393</v>
      </c>
      <c r="D289">
        <v>0</v>
      </c>
      <c r="E289">
        <v>1975816.9676403874</v>
      </c>
      <c r="F289">
        <v>2724520.5281375782</v>
      </c>
      <c r="G289">
        <v>7324131.4859707039</v>
      </c>
      <c r="H289">
        <v>2419048.0439163158</v>
      </c>
      <c r="I289">
        <v>0</v>
      </c>
      <c r="J289">
        <v>1714948.3779502544</v>
      </c>
      <c r="K289">
        <v>2364521.4915706059</v>
      </c>
      <c r="L289">
        <v>6498517.9134371765</v>
      </c>
    </row>
    <row r="290" spans="1:12" x14ac:dyDescent="0.25">
      <c r="A290" t="s">
        <v>255</v>
      </c>
      <c r="B290" t="s">
        <v>256</v>
      </c>
      <c r="C290">
        <v>121995.62891410544</v>
      </c>
      <c r="D290">
        <v>0</v>
      </c>
      <c r="E290">
        <v>59301.391966626543</v>
      </c>
      <c r="F290">
        <v>81772.685631482746</v>
      </c>
      <c r="G290">
        <v>263069.70651221473</v>
      </c>
      <c r="H290">
        <v>103696.28457698962</v>
      </c>
      <c r="I290">
        <v>0</v>
      </c>
      <c r="J290">
        <v>50406.183171632561</v>
      </c>
      <c r="K290">
        <v>69506.782786760334</v>
      </c>
      <c r="L290">
        <v>223609.25053538251</v>
      </c>
    </row>
    <row r="291" spans="1:12" x14ac:dyDescent="0.25">
      <c r="A291" t="s">
        <v>618</v>
      </c>
      <c r="B291" t="s">
        <v>619</v>
      </c>
      <c r="C291">
        <v>74328.462649653666</v>
      </c>
      <c r="D291">
        <v>19467.035721708915</v>
      </c>
      <c r="E291">
        <v>40696.719138002802</v>
      </c>
      <c r="F291">
        <v>56118.075983401955</v>
      </c>
      <c r="G291">
        <v>190610.29349276732</v>
      </c>
      <c r="H291">
        <v>95490.348738845554</v>
      </c>
      <c r="I291">
        <v>25163.533650290916</v>
      </c>
      <c r="J291">
        <v>56639.279241047836</v>
      </c>
      <c r="K291">
        <v>78092.608940565609</v>
      </c>
      <c r="L291">
        <v>255385.77057074991</v>
      </c>
    </row>
    <row r="292" spans="1:12" x14ac:dyDescent="0.25">
      <c r="A292" t="s">
        <v>620</v>
      </c>
      <c r="B292" t="s">
        <v>621</v>
      </c>
      <c r="C292">
        <v>271855.68930646963</v>
      </c>
      <c r="D292">
        <v>70684.658762183215</v>
      </c>
      <c r="E292">
        <v>123563.65153690509</v>
      </c>
      <c r="F292">
        <v>167348.04265721905</v>
      </c>
      <c r="G292">
        <v>633452.04226277699</v>
      </c>
      <c r="H292">
        <v>302816.24104570842</v>
      </c>
      <c r="I292">
        <v>79797.872476598233</v>
      </c>
      <c r="J292">
        <v>156813.66268977613</v>
      </c>
      <c r="K292">
        <v>216210.16723841862</v>
      </c>
      <c r="L292">
        <v>755637.94345050142</v>
      </c>
    </row>
    <row r="293" spans="1:12" x14ac:dyDescent="0.25">
      <c r="A293" t="s">
        <v>622</v>
      </c>
      <c r="B293" t="s">
        <v>623</v>
      </c>
      <c r="C293">
        <v>30700.886746596065</v>
      </c>
      <c r="D293">
        <v>6414.0564797406378</v>
      </c>
      <c r="E293">
        <v>14923.529104184163</v>
      </c>
      <c r="F293">
        <v>20578.556648982416</v>
      </c>
      <c r="G293">
        <v>72617.028979503288</v>
      </c>
      <c r="H293">
        <v>26095.753734606653</v>
      </c>
      <c r="I293">
        <v>5451.9480077795415</v>
      </c>
      <c r="J293">
        <v>12684.999738556538</v>
      </c>
      <c r="K293">
        <v>17491.773151635054</v>
      </c>
      <c r="L293">
        <v>61724.474632577789</v>
      </c>
    </row>
    <row r="294" spans="1:12" x14ac:dyDescent="0.25">
      <c r="A294" t="s">
        <v>624</v>
      </c>
      <c r="B294" t="s">
        <v>1407</v>
      </c>
      <c r="C294">
        <v>684306.60722018103</v>
      </c>
      <c r="D294">
        <v>0</v>
      </c>
      <c r="E294">
        <v>363270.11635185138</v>
      </c>
      <c r="F294">
        <v>500925.39211338776</v>
      </c>
      <c r="G294">
        <v>1548502.1156854201</v>
      </c>
      <c r="H294">
        <v>703703.65106644784</v>
      </c>
      <c r="I294">
        <v>0</v>
      </c>
      <c r="J294">
        <v>362909.01039868867</v>
      </c>
      <c r="K294">
        <v>500368.50415168056</v>
      </c>
      <c r="L294">
        <v>1566981.1656168171</v>
      </c>
    </row>
    <row r="295" spans="1:12" x14ac:dyDescent="0.25">
      <c r="A295" t="s">
        <v>625</v>
      </c>
      <c r="B295" t="s">
        <v>626</v>
      </c>
      <c r="C295">
        <v>702080.80481031537</v>
      </c>
      <c r="D295">
        <v>183878.84828440272</v>
      </c>
      <c r="E295">
        <v>459207.36827934097</v>
      </c>
      <c r="F295">
        <v>633216.49830917444</v>
      </c>
      <c r="G295">
        <v>1978383.5196832335</v>
      </c>
      <c r="H295">
        <v>733813.22048860567</v>
      </c>
      <c r="I295">
        <v>193373.82165493834</v>
      </c>
      <c r="J295">
        <v>471787.58016990969</v>
      </c>
      <c r="K295">
        <v>650487.1441676718</v>
      </c>
      <c r="L295">
        <v>2049461.7664811253</v>
      </c>
    </row>
    <row r="296" spans="1:12" x14ac:dyDescent="0.25">
      <c r="A296" t="s">
        <v>627</v>
      </c>
      <c r="B296" t="s">
        <v>628</v>
      </c>
      <c r="C296">
        <v>152913.13630714122</v>
      </c>
      <c r="D296">
        <v>38836.894137223666</v>
      </c>
      <c r="E296">
        <v>73591.811567493729</v>
      </c>
      <c r="F296">
        <v>96971.354562768945</v>
      </c>
      <c r="G296">
        <v>362313.19657462754</v>
      </c>
      <c r="H296">
        <v>153988.94075903919</v>
      </c>
      <c r="I296">
        <v>40579.031742361025</v>
      </c>
      <c r="J296">
        <v>87351.251904809033</v>
      </c>
      <c r="K296">
        <v>120437.3933933713</v>
      </c>
      <c r="L296">
        <v>402356.61779958056</v>
      </c>
    </row>
    <row r="297" spans="1:12" x14ac:dyDescent="0.25">
      <c r="A297" t="s">
        <v>257</v>
      </c>
      <c r="B297" t="s">
        <v>258</v>
      </c>
      <c r="C297">
        <v>252878.35662327809</v>
      </c>
      <c r="D297">
        <v>0</v>
      </c>
      <c r="E297">
        <v>122922.75288446431</v>
      </c>
      <c r="F297">
        <v>169502.32187188146</v>
      </c>
      <c r="G297">
        <v>545303.43137962383</v>
      </c>
      <c r="H297">
        <v>235714.91490489803</v>
      </c>
      <c r="I297">
        <v>0</v>
      </c>
      <c r="J297">
        <v>112804.38893844659</v>
      </c>
      <c r="K297">
        <v>155531.44655423766</v>
      </c>
      <c r="L297">
        <v>504050.75039758231</v>
      </c>
    </row>
    <row r="298" spans="1:12" x14ac:dyDescent="0.25">
      <c r="A298" t="s">
        <v>629</v>
      </c>
      <c r="B298" t="s">
        <v>630</v>
      </c>
      <c r="C298">
        <v>0</v>
      </c>
      <c r="D298">
        <v>2139.3204397623217</v>
      </c>
      <c r="E298">
        <v>0</v>
      </c>
      <c r="F298">
        <v>0</v>
      </c>
      <c r="G298">
        <v>2139.3204397623217</v>
      </c>
      <c r="H298">
        <v>0</v>
      </c>
      <c r="I298">
        <v>1818.4223737979735</v>
      </c>
      <c r="J298">
        <v>0</v>
      </c>
      <c r="K298">
        <v>0</v>
      </c>
      <c r="L298">
        <v>1818.4223737979735</v>
      </c>
    </row>
    <row r="299" spans="1:12" x14ac:dyDescent="0.25">
      <c r="A299" t="s">
        <v>631</v>
      </c>
      <c r="B299" t="s">
        <v>632</v>
      </c>
      <c r="C299">
        <v>42011.739758499876</v>
      </c>
      <c r="D299">
        <v>11003.107147052866</v>
      </c>
      <c r="E299">
        <v>20421.671405725705</v>
      </c>
      <c r="F299">
        <v>28160.1301512391</v>
      </c>
      <c r="G299">
        <v>101596.64846251754</v>
      </c>
      <c r="H299">
        <v>36131.483306590191</v>
      </c>
      <c r="I299">
        <v>9352.6410749949355</v>
      </c>
      <c r="J299">
        <v>17358.420694866847</v>
      </c>
      <c r="K299">
        <v>23936.110628553233</v>
      </c>
      <c r="L299">
        <v>86778.655705005207</v>
      </c>
    </row>
    <row r="300" spans="1:12" x14ac:dyDescent="0.25">
      <c r="A300" t="s">
        <v>633</v>
      </c>
      <c r="B300" t="s">
        <v>634</v>
      </c>
      <c r="C300">
        <v>65441.36385458638</v>
      </c>
      <c r="D300">
        <v>17139.455363678495</v>
      </c>
      <c r="E300">
        <v>44635.246099412849</v>
      </c>
      <c r="F300">
        <v>60982.576004739145</v>
      </c>
      <c r="G300">
        <v>188198.64132241686</v>
      </c>
      <c r="H300">
        <v>64520.505904625388</v>
      </c>
      <c r="I300">
        <v>17002.387601547918</v>
      </c>
      <c r="J300">
        <v>40534.394245833901</v>
      </c>
      <c r="K300">
        <v>55887.656779865079</v>
      </c>
      <c r="L300">
        <v>177944.94453187229</v>
      </c>
    </row>
    <row r="301" spans="1:12" x14ac:dyDescent="0.25">
      <c r="A301" t="s">
        <v>67</v>
      </c>
      <c r="B301" t="s">
        <v>1397</v>
      </c>
      <c r="C301">
        <v>894177.19076770253</v>
      </c>
      <c r="D301">
        <v>204734.93756714149</v>
      </c>
      <c r="E301">
        <v>520135.30895533948</v>
      </c>
      <c r="F301">
        <v>717232.08671013394</v>
      </c>
      <c r="G301">
        <v>2336279.5240003173</v>
      </c>
      <c r="H301">
        <v>762557.23899258091</v>
      </c>
      <c r="I301">
        <v>173687.31340474205</v>
      </c>
      <c r="J301">
        <v>441257.87954374752</v>
      </c>
      <c r="K301">
        <v>608465.34406228003</v>
      </c>
      <c r="L301">
        <v>1985967.7760033505</v>
      </c>
    </row>
    <row r="302" spans="1:12" x14ac:dyDescent="0.25">
      <c r="A302" t="s">
        <v>310</v>
      </c>
      <c r="B302" t="s">
        <v>1393</v>
      </c>
      <c r="C302">
        <v>339435.63467078982</v>
      </c>
      <c r="D302">
        <v>0</v>
      </c>
      <c r="E302">
        <v>154280.03948958201</v>
      </c>
      <c r="F302">
        <v>208948.68602963505</v>
      </c>
      <c r="G302">
        <v>702664.3601900069</v>
      </c>
      <c r="H302">
        <v>369917.56718651857</v>
      </c>
      <c r="I302">
        <v>0</v>
      </c>
      <c r="J302">
        <v>177028.78556033588</v>
      </c>
      <c r="K302">
        <v>244082.19714716132</v>
      </c>
      <c r="L302">
        <v>791028.54989401577</v>
      </c>
    </row>
    <row r="303" spans="1:12" x14ac:dyDescent="0.25">
      <c r="A303" t="s">
        <v>259</v>
      </c>
      <c r="B303" t="s">
        <v>1392</v>
      </c>
      <c r="C303">
        <v>614017.73493192135</v>
      </c>
      <c r="D303">
        <v>0</v>
      </c>
      <c r="E303">
        <v>312019.57561248221</v>
      </c>
      <c r="F303">
        <v>430254.29625306663</v>
      </c>
      <c r="G303">
        <v>1356291.6067974702</v>
      </c>
      <c r="H303">
        <v>637462.59833769826</v>
      </c>
      <c r="I303">
        <v>0</v>
      </c>
      <c r="J303">
        <v>315358.25520748214</v>
      </c>
      <c r="K303">
        <v>434806.89073191996</v>
      </c>
      <c r="L303">
        <v>1387627.7442771003</v>
      </c>
    </row>
    <row r="304" spans="1:12" x14ac:dyDescent="0.25">
      <c r="A304" t="s">
        <v>71</v>
      </c>
      <c r="B304" t="s">
        <v>1389</v>
      </c>
      <c r="C304">
        <v>9614.6000607706683</v>
      </c>
      <c r="D304">
        <v>0</v>
      </c>
      <c r="E304">
        <v>6118.2888850737545</v>
      </c>
      <c r="F304">
        <v>8436.7145021367051</v>
      </c>
      <c r="G304">
        <v>24169.603447981128</v>
      </c>
      <c r="H304">
        <v>0</v>
      </c>
      <c r="I304">
        <v>0</v>
      </c>
      <c r="J304">
        <v>0</v>
      </c>
      <c r="K304">
        <v>0</v>
      </c>
      <c r="L304">
        <v>0</v>
      </c>
    </row>
    <row r="305" spans="1:12" x14ac:dyDescent="0.25">
      <c r="A305" t="s">
        <v>635</v>
      </c>
      <c r="B305" t="s">
        <v>636</v>
      </c>
      <c r="C305">
        <v>90486.82409523052</v>
      </c>
      <c r="D305">
        <v>23699.000009036936</v>
      </c>
      <c r="E305">
        <v>58008.582349309087</v>
      </c>
      <c r="F305">
        <v>79989.986930619998</v>
      </c>
      <c r="G305">
        <v>252184.39338419656</v>
      </c>
      <c r="H305">
        <v>76913.800480945938</v>
      </c>
      <c r="I305">
        <v>20144.150007681394</v>
      </c>
      <c r="J305">
        <v>49307.294996912722</v>
      </c>
      <c r="K305">
        <v>67991.488891026995</v>
      </c>
      <c r="L305">
        <v>214356.73437656707</v>
      </c>
    </row>
    <row r="306" spans="1:12" x14ac:dyDescent="0.25">
      <c r="A306" t="s">
        <v>260</v>
      </c>
      <c r="B306" t="s">
        <v>261</v>
      </c>
      <c r="C306">
        <v>232680.40481630701</v>
      </c>
      <c r="D306">
        <v>0</v>
      </c>
      <c r="E306">
        <v>113104.64163171158</v>
      </c>
      <c r="F306">
        <v>155963.79776070884</v>
      </c>
      <c r="G306">
        <v>501748.84420872742</v>
      </c>
      <c r="H306">
        <v>197778.34409386094</v>
      </c>
      <c r="I306">
        <v>0</v>
      </c>
      <c r="J306">
        <v>0</v>
      </c>
      <c r="K306">
        <v>0</v>
      </c>
      <c r="L306">
        <v>197778.34409386094</v>
      </c>
    </row>
    <row r="307" spans="1:12" x14ac:dyDescent="0.25">
      <c r="A307" t="s">
        <v>311</v>
      </c>
      <c r="B307" t="s">
        <v>312</v>
      </c>
      <c r="C307">
        <v>132498.56385373042</v>
      </c>
      <c r="D307">
        <v>0</v>
      </c>
      <c r="E307">
        <v>64406.809818057969</v>
      </c>
      <c r="F307">
        <v>88812.718169292551</v>
      </c>
      <c r="G307">
        <v>285718.09184108092</v>
      </c>
      <c r="H307">
        <v>127320.46498512739</v>
      </c>
      <c r="I307">
        <v>0</v>
      </c>
      <c r="J307">
        <v>60930.837820766763</v>
      </c>
      <c r="K307">
        <v>84009.686459953184</v>
      </c>
      <c r="L307">
        <v>272260.98926584731</v>
      </c>
    </row>
    <row r="308" spans="1:12" x14ac:dyDescent="0.25">
      <c r="A308" t="s">
        <v>73</v>
      </c>
      <c r="B308" t="s">
        <v>1404</v>
      </c>
      <c r="C308">
        <v>29510.685488897456</v>
      </c>
      <c r="D308">
        <v>7729.0118496371269</v>
      </c>
      <c r="E308">
        <v>22641.882091211166</v>
      </c>
      <c r="F308">
        <v>31221.653403881042</v>
      </c>
      <c r="G308">
        <v>91103.232833626796</v>
      </c>
      <c r="H308">
        <v>39273.099014287531</v>
      </c>
      <c r="I308">
        <v>10349.212895849554</v>
      </c>
      <c r="J308">
        <v>28697.813676823946</v>
      </c>
      <c r="K308">
        <v>39567.719980611248</v>
      </c>
      <c r="L308">
        <v>117887.84556757228</v>
      </c>
    </row>
    <row r="309" spans="1:12" x14ac:dyDescent="0.25">
      <c r="A309" t="s">
        <v>262</v>
      </c>
      <c r="B309" t="s">
        <v>263</v>
      </c>
      <c r="C309">
        <v>24237.542168365319</v>
      </c>
      <c r="D309">
        <v>0</v>
      </c>
      <c r="E309">
        <v>11781.73350330329</v>
      </c>
      <c r="F309">
        <v>16246.228933407167</v>
      </c>
      <c r="G309">
        <v>52265.504605075781</v>
      </c>
      <c r="H309">
        <v>28389.022598035164</v>
      </c>
      <c r="I309">
        <v>0</v>
      </c>
      <c r="J309">
        <v>13585.930054630429</v>
      </c>
      <c r="K309">
        <v>18731.889548503073</v>
      </c>
      <c r="L309">
        <v>60706.842201168671</v>
      </c>
    </row>
    <row r="310" spans="1:12" x14ac:dyDescent="0.25">
      <c r="A310" t="s">
        <v>637</v>
      </c>
      <c r="B310" t="s">
        <v>638</v>
      </c>
      <c r="C310">
        <v>51227.044146483327</v>
      </c>
      <c r="D310">
        <v>13319.442179514079</v>
      </c>
      <c r="E310">
        <v>27343.95126818238</v>
      </c>
      <c r="F310">
        <v>34509.548440193255</v>
      </c>
      <c r="G310">
        <v>126399.98603437305</v>
      </c>
      <c r="H310">
        <v>43542.987524510827</v>
      </c>
      <c r="I310">
        <v>11321.525852586967</v>
      </c>
      <c r="J310">
        <v>23242.358577955023</v>
      </c>
      <c r="K310">
        <v>29333.116174164265</v>
      </c>
      <c r="L310">
        <v>107439.98812921709</v>
      </c>
    </row>
    <row r="311" spans="1:12" x14ac:dyDescent="0.25">
      <c r="A311" t="s">
        <v>639</v>
      </c>
      <c r="B311" t="s">
        <v>640</v>
      </c>
      <c r="C311">
        <v>11626.869827496843</v>
      </c>
      <c r="D311">
        <v>2952.9935984753406</v>
      </c>
      <c r="E311">
        <v>5328.460274099566</v>
      </c>
      <c r="F311">
        <v>7021.2704308745797</v>
      </c>
      <c r="G311">
        <v>26929.594130946331</v>
      </c>
      <c r="H311">
        <v>12904.101180925074</v>
      </c>
      <c r="I311">
        <v>2510.0445587040394</v>
      </c>
      <c r="J311">
        <v>6175.4227521047396</v>
      </c>
      <c r="K311">
        <v>8514.4952493195833</v>
      </c>
      <c r="L311">
        <v>30104.063741053433</v>
      </c>
    </row>
    <row r="312" spans="1:12" x14ac:dyDescent="0.25">
      <c r="A312" t="s">
        <v>641</v>
      </c>
      <c r="B312" t="s">
        <v>642</v>
      </c>
      <c r="C312">
        <v>99834.010197291136</v>
      </c>
      <c r="D312">
        <v>25957.643048259361</v>
      </c>
      <c r="E312">
        <v>46734.209563103039</v>
      </c>
      <c r="F312">
        <v>64443.374769181777</v>
      </c>
      <c r="G312">
        <v>236969.2375778353</v>
      </c>
      <c r="H312">
        <v>87747.888030290516</v>
      </c>
      <c r="I312">
        <v>22063.996591020456</v>
      </c>
      <c r="J312">
        <v>41992.874714312224</v>
      </c>
      <c r="K312">
        <v>57898.567695373153</v>
      </c>
      <c r="L312">
        <v>209703.32703099636</v>
      </c>
    </row>
    <row r="313" spans="1:12" x14ac:dyDescent="0.25">
      <c r="A313" t="s">
        <v>643</v>
      </c>
      <c r="B313" t="s">
        <v>644</v>
      </c>
      <c r="C313">
        <v>16966.279517855728</v>
      </c>
      <c r="D313">
        <v>2314.4821029367145</v>
      </c>
      <c r="E313">
        <v>8247.2134523123041</v>
      </c>
      <c r="F313">
        <v>11372.360253385017</v>
      </c>
      <c r="G313">
        <v>38900.33532648976</v>
      </c>
      <c r="H313">
        <v>18065.741653295096</v>
      </c>
      <c r="I313">
        <v>1967.3097874962073</v>
      </c>
      <c r="J313">
        <v>8645.5918529466326</v>
      </c>
      <c r="K313">
        <v>11920.29334904741</v>
      </c>
      <c r="L313">
        <v>40598.936642785346</v>
      </c>
    </row>
    <row r="314" spans="1:12" x14ac:dyDescent="0.25">
      <c r="A314" t="s">
        <v>645</v>
      </c>
      <c r="B314" t="s">
        <v>646</v>
      </c>
      <c r="C314">
        <v>12118.771084182659</v>
      </c>
      <c r="D314">
        <v>3173.9732154960188</v>
      </c>
      <c r="E314">
        <v>10352.020142677437</v>
      </c>
      <c r="F314">
        <v>14274.749052338208</v>
      </c>
      <c r="G314">
        <v>39919.513494694322</v>
      </c>
      <c r="H314">
        <v>13764.374592986747</v>
      </c>
      <c r="I314">
        <v>3627.1760216635562</v>
      </c>
      <c r="J314">
        <v>12399.579882094837</v>
      </c>
      <c r="K314">
        <v>17096.184056981707</v>
      </c>
      <c r="L314">
        <v>46887.314553726843</v>
      </c>
    </row>
    <row r="315" spans="1:12" x14ac:dyDescent="0.25">
      <c r="A315" t="s">
        <v>647</v>
      </c>
      <c r="B315" t="s">
        <v>648</v>
      </c>
      <c r="C315">
        <v>214906.20722617253</v>
      </c>
      <c r="D315">
        <v>0</v>
      </c>
      <c r="E315">
        <v>104464.70372928915</v>
      </c>
      <c r="F315">
        <v>144049.89654287684</v>
      </c>
      <c r="G315">
        <v>463420.80749833852</v>
      </c>
      <c r="H315">
        <v>211627.25936717121</v>
      </c>
      <c r="I315">
        <v>0</v>
      </c>
      <c r="J315">
        <v>101276.93313451773</v>
      </c>
      <c r="K315">
        <v>139637.72208884114</v>
      </c>
      <c r="L315">
        <v>452541.9145905301</v>
      </c>
    </row>
    <row r="316" spans="1:12" x14ac:dyDescent="0.25">
      <c r="A316" t="s">
        <v>649</v>
      </c>
      <c r="B316" t="s">
        <v>650</v>
      </c>
      <c r="C316">
        <v>3269032.8267855183</v>
      </c>
      <c r="D316">
        <v>830269.29465345829</v>
      </c>
      <c r="E316">
        <v>2238333.0034025693</v>
      </c>
      <c r="F316">
        <v>3086512.7268651389</v>
      </c>
      <c r="G316">
        <v>9424147.8517066836</v>
      </c>
      <c r="H316">
        <v>3695734.578216942</v>
      </c>
      <c r="I316">
        <v>973896.7618166646</v>
      </c>
      <c r="J316">
        <v>2929414.7061734186</v>
      </c>
      <c r="K316">
        <v>4038992.7297688983</v>
      </c>
      <c r="L316">
        <v>11638038.775975924</v>
      </c>
    </row>
    <row r="317" spans="1:12" x14ac:dyDescent="0.25">
      <c r="A317" t="s">
        <v>651</v>
      </c>
      <c r="B317" t="s">
        <v>652</v>
      </c>
      <c r="C317">
        <v>600283.12770318112</v>
      </c>
      <c r="D317">
        <v>0</v>
      </c>
      <c r="E317">
        <v>302005.10213467438</v>
      </c>
      <c r="F317">
        <v>416445.00165967044</v>
      </c>
      <c r="G317">
        <v>1318733.2314975259</v>
      </c>
      <c r="H317">
        <v>517884.59406112629</v>
      </c>
      <c r="I317">
        <v>0</v>
      </c>
      <c r="J317">
        <v>256704.33681447321</v>
      </c>
      <c r="K317">
        <v>353978.25141071988</v>
      </c>
      <c r="L317">
        <v>1128567.1822863193</v>
      </c>
    </row>
    <row r="318" spans="1:12" x14ac:dyDescent="0.25">
      <c r="A318" t="s">
        <v>653</v>
      </c>
      <c r="B318" t="s">
        <v>654</v>
      </c>
      <c r="C318">
        <v>138961.90843196114</v>
      </c>
      <c r="D318">
        <v>33726.295308902583</v>
      </c>
      <c r="E318">
        <v>67548.605418938852</v>
      </c>
      <c r="F318">
        <v>93145.045884867781</v>
      </c>
      <c r="G318">
        <v>333381.85504467034</v>
      </c>
      <c r="H318">
        <v>128180.73839718908</v>
      </c>
      <c r="I318">
        <v>28667.351012567196</v>
      </c>
      <c r="J318">
        <v>61342.532670907087</v>
      </c>
      <c r="K318">
        <v>84577.319476574499</v>
      </c>
      <c r="L318">
        <v>302767.94155723788</v>
      </c>
    </row>
  </sheetData>
  <sheetProtection algorithmName="SHA-512" hashValue="pEO7g3ZIbWKlEtv8QIKSt8QW3rmfOlHv2OYJuhLW5/5OF4yX4k+41HKvw+T38llvg74cmf22JJo6UuQuCGy8Zg==" saltValue="WjFWL/oFDx6rCpgeEgurTQ==" spinCount="100000" sheet="1" objects="1" scenarios="1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s u m i f _ c 9 c 1 6 b e 1 - 9 4 6 9 - 4 6 2 3 - 9 b 4 e - b c b 3 2 3 c c e 1 4 4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5 3 ] ] > < / C u s t o m C o n t e n t > < / G e m i n i > 
</file>

<file path=customXml/item12.xml>��< ? x m l   v e r s i o n = " 1 . 0 "   e n c o d i n g = " u t f - 1 6 " ? > < D a t a M a s h u p   s q m i d = " b 8 b b d 3 1 4 - 5 a 0 0 - 4 0 8 c - b 6 1 9 - 7 c 8 0 1 8 b 3 6 d 7 d "   x m l n s = " h t t p : / / s c h e m a s . m i c r o s o f t . c o m / D a t a M a s h u p " > A A A A A F Q c A A B Q S w M E F A A C A A g A U E C a W A 7 c E 7 + k A A A A 9 g A A A B I A H A B D b 2 5 m a W c v U G F j a 2 F n Z S 5 4 b W w g o h g A K K A U A A A A A A A A A A A A A A A A A A A A A A A A A A A A h Y + x D o I w F E V / h X S n h T p g y K M M r p K Y E I 1 r U y o 2 w s P Q Y v k 3 B z / J X x C j q J v j P f c M 9 9 6 v N 8 j H t g k u u r e m w 4 z E N C K B R t V V B u u M D O 4 Q L k k u Y C P V S d Y 6 m G S 0 6 W i r j B y d O 6 e M e e + p X 9 C u r x m P o p j t i 3 W p j r q V 5 C O b / 3 J o 0 D q J S h M B u 9 c Y w W n M E 8 q T h E b A Z g i F w a / A p 7 3 P 9 g f C a m j c 0 G u h M d y W w O Y I 7 P 1 B P A B Q S w M E F A A C A A g A U E C a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B A m l h + c / g g T h k A A E / F A A A T A B w A R m 9 y b X V s Y X M v U 2 V j d G l v b j E u b S C i G A A o o B Q A A A A A A A A A A A A A A A A A A A A A A A A A A A D t P W t z E 7 m y 3 6 n i P 6 i G O q c S M C Z 2 E h 7 3 H L b K J A 7 4 n i T O 2 u Z u U c G V c u w J D N g e n 7 H N w k 3 x 3 6 8 e 8 9 C j W 9 K M z Z 7 s X v i C M 2 p J 3 a 1 W q 7 s l t Z b h e B X F c 9 I X / z f + c f / e / X v L j 6 M k n J A H w R H 9 s Q q T q 0 E S X Y + m / X A + i e Y f y H G 0 X C X R e L U M y E s y D V f 3 7 x H 6 r x + v k 3 F I v 7 S / j s N p / b c 4 + X w d x 5 9 3 T q J p W D + K 5 6 t w v l r u B P 3 / e t 9 a L O K E 9 T a j n 6 7 O 2 7 + 9 P w k n Y T K a k p O 1 6 O H v p D W d x u M R A 1 r m p Y s k / p C M 5 m S U l 7 1 v H j x u H r 4 f R K t p S D q P W x Q k n E a z 9 9 3 + R Y c c j 1 Y j A U B U O q 6 W K S G T l J D 6 1 + n y a 7 B b I / P 1 d F o j q 2 Q d 7 t Z S q j 6 G 4 a p x x f + j t A k i b y 8 7 q 3 D 2 M h C F Q e 1 f 0 X y S / h U M v 1 + y j o d p / Q f B R R L P 4 h V l 5 5 t w R O n g T B u M r i l T 0 p L 0 + 4 7 c V Y 1 c p q W U E f 3 x a D p K l i 8 Z X s P d v G F K 1 P w D b X f w b R E W j Q 4 o h 5 Y 3 c T I 7 i q f r 2 Z w V L n c A L G q 3 t 8 F p u 9 U 5 D i j B F I i s w q + r 7 z V y G + j D T I 7 i S e i E M g B S n j 8 R P C d m + d H x s d r 5 9 4 K 2 X j g f z S i 2 g g i J Z 6 I g / b y j M Y H R h G E P F H A E 5 F 6 p q F K M a W u 9 + H e p z 3 4 4 p b O D f d s x M a u R c D T + S H Y u e X N D 8 s 9 f u B T t 7 t 6 / F 8 3 h h t U 5 d t x t S 9 J + Z 6 d U V o P P q t 9 a / T e d 8 9 e D 7 j k 5 e U e a e 8 0 D c t F r n 3 b O O u e t 3 j v L d C p w Q K a U x A n 7 t O q F s / g L G / h 4 o Q / X 5 2 i x o 3 d U O 9 g 1 q g L C x Q o K 4 T L 6 q F G x 5 a U N J l H i Z 7 P 4 u R 9 U E W E d H S b F 4 v c B a 5 p O 0 m g S i C n D v x 6 m X 8 9 p K / L 3 p + z 7 q 1 a / c 0 T e d E + P y Z t R M p u G y y V 5 N V o q g M 8 4 x t 3 z o 7 o D 8 D k D H L R 6 r 9 u D 9 r E D 9 g W D b Z 9 0 X j v g G n u 8 0 e 6 g d e q C 5 E y m X 6 O x P E F k i J T 3 8 3 E d g 9 j n v Y 2 S D y F T f g j Q Q Y 4 7 A s B Z n k 4 J D I a z / y K k s j x f j T 6 E J L 4 h b + L p x E I f H 4 d e u I w m t A q 5 i B d 1 R R u V 0 u + G W h L q n U q O r n d R C U k B 5 + v Z d Z g I P D E Z M U F t U m J C Y 3 I C t I s J i g l q S A p A k C 4 q Q I e A r C A E 2 N s x p c U E c o q L W U W V F 7 M 8 U w z o w q o o m w a u / L S V N R P a 5 4 W 6 a 7 y Q t O A e 1 X 3 y k m d 0 p F m W b L V 8 I i Q U X P L 6 / 5 7 W m c a / p m z Y C Z b J l 8 f 9 X 0 + F S u i 3 T v p s X l / + u g 6 T b 3 S F a J + 2 j w b k u J 4 t 7 W z J r 9 G / u 8 m H 0 T z 6 X 8 7 9 z q Q m Q T A W 1 U i 3 f n 7 U 7 j O O c f 7 J H 3 h 5 f / w x j q f v w l H S m T z Y m d 7 s E n L S 6 5 6 R S 4 7 B s H 5 5 H C X U M o i T b / y 3 a H p I j l P Y a X i z I p / i a A 5 X k L E b k i 6 h V r i O M u V D V / u U t k 3 I b x + p R U F r y E h S + O Y z w k G C Y R m 7 R r A 9 t W X 4 g u 1 n v p z 0 L k 7 v q s W i O Q F X J 9 Q a E Q j / H q 0 + k m i 2 W K 9 E 4 x a D 5 S y k 6 q B x x R l m G C u i M D N U O I x p q J R Q 4 3 J n T I H L 8 m z o c V m U j c J B v K L + 2 m r N N A W z U T v z 1 d O D O u v F L O 7 M L + h M T V b f E L h U S c l g u t J Z 5 j K 4 f Y N e Y 0 K Q m + 2 q t l G b N 0 3 s E 8 r r 9 X R E x v F 6 f o c 9 1 + 2 Y 2 X T K K u Q K G z g w B F h j i t 3 i L m W P g P 0 X l m 0 j k 5 P R / J t k E j X h z / u m 8 5 j b x w D 4 I Q L + F A Z / B n 9 + D n 9 + A X / m Z i 3 0 H a G 0 g Z D a 2 E e + I 7 Q 2 D p H v C L E N h N q G Q u 5 W J q 7 q r Q T a u J l + j T C g u / / T 7 g 3 e G e 7 K e f t 1 3 X B N j t u n d c M H O e n 2 B + 0 e 4 H K 0 z k 9 M 9 0 L Y l y f d 3 t n b 0 x Y 5 6 r 4 9 H 5 g e x u H j x j N y 0 b 2 o m 6 7 F R b t 3 1 D 4 f Z C 2 Y b o U w t + m k f d 1 5 d d r u m 2 6 F M L J h g K e K A / Z 3 w s 1 O G D R 1 6 i j + f Z L V C P Q B z g B Y O w F k F i L e N O B f / D H + N G 5 r g m q p 6 e E n m c 4 2 7 C d l k m i u d l w W z c 9 c G s 3 P q T x C L h M V S M z j U S X S h C p E E v A q N J k E X C V N K D H X z w a B i y X U m i q X K A Q X T L V U X e j V 0 V a X + Y s k i h P C r B A y m n x a L 5 k X V 6 y 4 d 2 H N 3 3 / c P J D W / F 7 4 J V o y K z q a j 6 b Z 9 x b h Y G q h d a 3 v z K N V R H u E i M Z W f l u d b Q W 0 v T D 7 T 0 a 6 m a P X O m t j I R L F H W d + K N k R I v b N F L F d J N o A O P V k h x y I J q Z U 4 q 5 H 4 8 9 Q 5 S K g A j S A S j r U k g i 2 o M R 4 t s J d A a A Z A L Q 1 + U Q 8 g j E M z C M g w 8 D y o M z I B e k O z P D 2 O D H O E A 2 u e n D N 0 8 o 4 e e c c j h + h f N I J f p X J z 9 W N o P q K U 4 2 4 z f Z K 2 3 O n f Z B z b o P B x g G m O Z h w L Y S b T B Z 5 c A + d T p m M H D G E C H V T T R e 8 E N c b W a B g w A X m y L P C x 4 Q b D Y t 4 g f Q i 7 B G g 5 C S m 7 E v g s t T q 0 U q Y i c S U i l r i P Z 8 G j z u k v x q t Q j q d Z o Q 0 9 v Y O d q 5 3 7 8 A c 8 n D a 9 y X M M 6 + d 0 X N B Y a 3 L O A c g K u k p 5 d g q b q m y 2 f a Z D z a 1 x m 4 V m 8 B 0 A j w s A J + d W X P h z 7 d m h Q s x p P W C I q Y S 7 F a 0 M F R k g K B G E Y b r D E 7 b p F M j F 6 3 e g L S I s O 2 p 8 i C v e y 1 q 7 w I R N 6 X G E T n r c E j S P n 5 7 1 B p 0 u u f E V e e 4 R v p v X / G f D d I f t A Z t Q m c j i 5 B z W 5 3 O 1 8 7 5 r 2 + Z f 3 D R 6 9 L G z 6 A W O Z 5 K u 3 3 S q p G j G m u h 0 q R u L Z f r 2 Y L P s D / F N G 4 W I T d a S g p g M R 2 E g N i m s w T H m x I N Y T M Z h i 4 5 i R v G L L Y i U W t u s F t d 9 F l M g G Y R 8 E j l W w / 6 M L e S i l 5 P i L I J p A Y 8 z P L n + U 6 t W S b v L E t T b H s H P J x a x D s Q o m s Q M 9 5 x W P x 8 V v x 8 I Q c + + G 7 B h L B N s C i U O j s P m b H z 3 3 E 0 h + I d B b s Y 7 9 C l V o O j 7 X x h x i A h K D z r k E l r / T S 8 W X X X l L 4 C 1 f b X x W g + Y f Q 6 m s m J E D X 4 b 4 H G j k G w F 1 Y e O j j d V r W 2 V H e 3 o q h B b 4 J R P + I 8 X J F V n B 9 R u w O 2 z 4 8 J X g i e 9 M J l m H y x h y x M y E 1 t H L R v 2 b T Z Q n R z X 4 5 p K o e E K t h N x U z + I w M n m o G A + T / Z o T 4 N X J J r 4 c s U M k d a N 1 R V E H M o A L P k a J 0 k 7 O g D b 0 h E G F 6 F l J A Q q A 7 F Y + T q L P J A / 0 g E E p W b y S M T l V v g q 1 n 1 / j k 7 y 1 S v N B Z X D c d o i K Z G o j 7 f D S a d G d U i X 5 j i A b B I Y S I O E z I g 8 u Y N G d C l C 0 K Z g k K R H F u Y B + / g q o l 0 c b V v 7 e T q o F w 3 h 8 A 8 Y L 0 8 t f f y r F w v z z F i X t i 7 K T Y s 5 Z 0 N u u g o o y f 6 W o 0 + h 3 M S r 8 G B z N a 0 C B y F 9 f V K k o w R A s b C i i w Q y m I c Z P T 7 K J k s C V 0 / S R K O 4 w 8 s i s O H W G O m 3 j a v B j R + 1 s 3 1 V L b n S T 9 R + Z 6 s x 4 j w n L c H d I U n x 5 3 + o N c 5 0 n c 0 S h q U 6 s a o s C Y v u V 4 t T g s b q 0 1 3 9 T F M z D V H N G w x J D N 9 L W n o s m q z q p 6 s o B h L a s K y q s + Q d x 8 B 1 y T a k B V D O J C 9 y I b 3 X q Q 6 1 n B E s q z d r 2 K S L t m d Y 2 H z e 4 S r l R p + F b w c A L 9 I e R k f w J M Y I w J q i a x i Y V w 4 l F q l o Q q O d x k W c p e 8 5 K x 3 g W x i Q g W + o B U N r M A D q o L l F T g g q p h j g Q s E X K i l D 5 C R F c 6 4 R V D u V F x / M Y 1 W 5 G g 0 H c P O p f v 6 V x m V l J 0 w z X w E S i Y 7 i 6 l 8 C N g X X 0 3 C Y U v q i r R 9 8 3 w k d i J S n O C g t e p G D f O r V A 3 T 1 g 1 E X a t U S d t P x n W l b b C t U Y Z v j W 0 y r t 5 w s I 4 C b K Q c B X l M / 9 n G p z T e M n 7 F X b I q t E N V t 3 v t w 3 q x T h 3 b p o f 1 4 J B G 9 S g / P w c l H 9 j 9 n p 3 Y z Q G 8 p F S 7 H u A r q y L O o u G j n P E P i j C F A K l r x a j w N T y k T + n 6 1 t Z P I Q n M y p o E + B j t o 5 F d D T 3 7 O C 3 X s + j G D h J w G N 8 h E s A l B o d H t 7 M u m P s 2 U y Y B i e b S / r V R L A a O V 6 8 7 q s J A 8 t C 2 J n y 0 q O 0 U z w o S 6 N c c d Y 1 M g R C 7 p J O u i U v S O 7 k 4 f Z Q x k / 2 R + 3 Z O J I e P L q 0 a Z A h j 2 o B R V Y i h i P 6 t e 8 P x Y R 3 q N 5 1 z H J G O n 1 w + 8 C A U i T C 6 P R 6 V G j Z D H M g W F 6 S y z U a Q M 0 2 Y M 7 o T Z M r + 3 0 j O E f u I l G a M j N 6 + e + C a k o i N R Q d E R D e W m f w 8 I l l f a o F D 7 h B h Q 1 A 9 c K P K 5 3 G f W Z E M W W H O t u d J P J 2 m s T 6 B j b k A y k w s S y M i c v u l R O 5 A 3 B C 3 o O 4 p b 4 d u e d u X 5 U 3 r M j S 5 B Q 7 R 9 v l 1 U I p f h 8 q N e h s R F r 5 5 7 5 + o e N Z 8 l P 1 W j 4 H D y s F K m b I C N 3 E D Q U W O d Y a s U c x 8 S d U L s P o 5 l G U h 2 d x c / w 6 u 9 p w o c 0 x F D a v 7 q B 6 3 5 g T 8 9 B t / + o 0 / / c a f f u N P v / E u + I 2 v k 3 i 9 M P a i + N f y / u K t y 0 P j d s s p r c d W s R 3 M o d j N t 8 6 m U 3 4 K T d k c N F Y / r V H A h s Q a V J c u h R X y s p U S 3 J 1 P v y G L l x Q W r b Y r l 6 5 Y Y I o k l O G y + M T J h O / p A d q L F 5 l H T v Q d J K w b A I G K K W t 0 H O H U S 1 m n h V S B T F G u s m M 2 N 2 x y m 6 f 1 8 t b k / d a s 2 6 C i v l R 9 7 H L K 0 l d X 3 k 3 V + O f U j N F E u 9 6 q y W v D O q l 0 R V k M t 5 5 1 Q b 8 l o g q f h M H x m q q V 8 W i V t 1 s g k B d J Q m 2 g C 3 Q l / 0 0 e U 9 D F t 6 C K c 2 K i J k 1 m p f X i 1 j b g 3 + X N S A L P u B H N x y u T q 0 1 Z 5 M H E M V J 7 s g I / W 0 9 X E S 1 h A R h I g Y u O j + L Z d T Q P d 2 4 l f V / L I j f s j 2 q G U 6 b a o f m f 7 p h r l 4 U 2 d Y S Z 8 M F + B G g Q o v 6 j Z w B T c y F R T 3 G T Y J U 1 A O M R b S j t J I F n o A t l K y / 4 9 v i 4 A u m l d I s a 5 X 0 n B C / 3 C J k c 4 / X z 5 u p 4 U x Y Y / 3 F w + a o y U + x j s R 3 W l 1 3 u d M Y b X E L l 1 2 C 0 j c F 4 K 9 L 5 4 P T s S K H 1 H N s V C u 7 B w q y e G k T R D b l 0 S Q S 7 6 c D M b E K t y 7 k K r o K F 0 2 X o 0 Z w 0 S D m x Z O a g D O A A O 5 g B N u B J m y 7 J H n T q Y + R D s 9 F N 1 V 0 T h F i 6 C m F s 0 I O W T C x B W f C I 2 z r W d f O g G e D R + O a c A / q s / Q D N h U z E k p P U O 9 u d Z H Z U 8 D k d 5 k L u b e I h K 0 f U q Z y 7 p S + l s L u l J v / F z V L c K j U 9 L i O f M O 4 3 l p E 4 P R B W 2 W 3 3 9 W 0 M 5 F R z u 2 M Y 9 0 F m W + Y n e z U T f J P Q X w N J g e N 5 r V P c + / m P 3 0 3 6 i 1 z o L D W Q 9 r u d l l v J x W V N 6 L s z 2 Z r 2 3 Z l t T f v + D P n + H P n + A v l e X G D Q H a 1 / h Y s V O Y m S 5 U o L h f J v 5 4 a H V e W y l 9 5 H 7 d a a v u q g + C n d 7 H x a / J Q u e U o Z V q W k V w 1 H g l U 9 v y r L P Z P l l 7 k D l w f 9 U n S K d D C n K d q W 2 c g H 5 e r g i q X R u c r I R N K N g L D b y z J i Q Q V P L n I W U 8 F J Q m Z 7 U U s y + h B d R 9 Q C + M b T A g H y T s c S z X z j n V S j N e N Z R h b U W c + O i 6 d e O X b + V 0 t N X 2 3 b N l / C w D y c C g Q M k H t 7 L I E r 5 u 3 B K T 7 L e H 0 I c m i C Q B O + D s I W y K Y 5 k c x h 6 B f D Y H H t Q A T N R m + 0 s c 1 O m O g Z m Y Z P L v 1 I k P 0 W k a 6 p J A V O u m v E 3 X J G h p 4 x q g o Z R Y 7 v k p R 4 Y O n V e H 4 K z 0 w 2 X o U e k f S q J C 1 + e D r b z k j R E m 9 V I c N 7 8 X X i Z M 1 y b 0 t r 7 8 h j b 0 l c b 8 t U D 6 W m h 3 L R I 8 n n g W z z c H p 5 n 3 z y R g J 5 f 0 X m b 3 0 Y e f / U i 1 G W 5 U Z X c J s t O d J m g R R C L d Y b a u H Q T w 3 f R S Y D L 7 m y F L 0 Y W b v R C E 7 u k c F x G 8 A / L N e y O F T i 0 7 Y c H v h U 3 H u z r 1 U F y e Z 9 u T x G l y K i h d 8 e S L l N s z C b 8 u 3 h J U j a U E U 0 O 6 i A H G f 9 Z N z g 0 0 4 2 4 A i m i W E z 3 L I / H 1 6 a 3 N R w O m + / x v G R D r B L 2 d O c z O L J a F N c N D j x e w i C 7 q m Y H b d P c c w Y 2 i m T 0 m x v T q w 4 3 P D + P R + 0 F F g N r z T z H I o a w z t F L U 9 S 5 0 B O 5 O O F c H u p Y p Y C E h g z n i 0 P x S t H R s 6 s 5 0 C M Q f k M p A S n 4 w R c Q k V R T J G y 3 F 4 V e Y 8 Y L p J 8 D m W c 9 9 I 5 I J f v k k e i U i b F K p l Z l b x 0 N w V / U A g Y X E M G y D s p m A 1 X k s q V O o K J W A 1 e K i V 2 w r I 1 4 s y F r w M j 7 R B D O I p R Z x K Q j j t g P I H i I s s U W m c P V J f U n M r u K M N G I 5 q 2 E k 9 9 K e x D h C v 8 j L u 2 R F R N Y A P T w Z x w F D f L / o e w 2 S T n 3 H 3 m n 5 t 6 3 P C U q 0 l j i z G B / P K y s c c z X l z C q F I I s l f f a 4 p h b R h D K I z J t g t Z k 6 b c E O V 1 I Z w N g p i I N T i y O x a C n h 7 u 7 Z E 4 s R C 0 V 2 8 c 7 m I E 5 Z a w e w A M 0 m V D u l 1 u I H 6 h p N k H g k L Q g T j E 8 O a m u h N n k L r M 0 C 8 v O y 6 c i Q N p y s J l P I 0 m L J 4 s 4 l W w d W d i F 1 A N T r I Q l 2 N 9 S x W b 0 L I Z C I o E T 1 6 C D b i G b U 1 O d 5 J j I R v E e a a V F B e 1 L E e p i j M K 4 V 0 r d l T 4 2 x c 1 I j 0 n k L 0 f k D 0 Y U L w Q k D 0 J o G T 3 B 9 L 5 A / n 7 g Y T 9 1 g z 9 Q E p + L Q f / F h 0 K R 1 y s y o l X a b 9 O F k E 5 7 Y 1 + X g 5 O 3 C G Z 3 d U W b n x x A d c C R N 1 i G s u c d N s 7 r 6 s z r r O 1 1 1 A v 0 2 E o p h 1 X T / L X Q K S m 5 a I R A M V v 5 + J m 0 z X 1 x S f I s V 3 3 0 Q k z V a / k x Z h Z n 3 K 3 S y + y j L + R Y w u V I g i y E D + o V B F X s C P 4 D R H F B f H b L N A f 6 L M + E I E E c B x h n 0 K y 1 B D 1 M q 0 w Q 2 K V W W A n 0 O J 8 a f o b 5 R 4 l t k o + v k S N V y I b n K f t U c T x 5 g / 3 w Q u Q D f 1 0 J k l N y I e S J I 1 k L o 4 s H 1 h 6 q k i G K 3 v a U a M g O z o g f e J 7 M Z b d I H V P x g r o d R L P v v F U 6 k y k A 2 u P z Z A t x v C d c W g x F 1 G U 6 z 7 o W q r 7 U G K p 7 k m k p Q U n / V V P i L q F 0 5 B n f a / S 2 F d U C r 3 k 1 n y Z u + x + o o b Q H 7 I N k G 9 O F t / q U M c a C I S H B o K g p U E B W O r t A E g X 7 B 9 B r 8 e 4 d 0 b V H q E n a J Q o C + j V 7 m W R I C k 4 i K 8 5 3 C d P 1 f c G k 3 z 4 0 N q H J y r / z F F x D P 2 Q R c F + H L 6 7 K b 5 O N L T I J S B a 4 J i D 0 p H Z 7 u A r Q f m Q Q x a 2 P O p + n P Y a c w / V + o O H H d p Z J o 9 2 b I 0 9 3 J Q i b O w h X N T h 1 3 U G H l e F V R D 8 8 l M + 8 r o P V W G u / 5 L x u S o D H W v l c N M B 1 / f f H 1 k n u Q s b + x w n 4 D D r G J S 9 P A 4 P I p a 4 F H 6 4 D s t a i k C X T V m K O U O l 7 p n 7 E I E 8 o Y a 9 m W Z R f y B b 9 U T g E B 5 1 D A e f e h C O P v U Q G n y q G j R u K c c q P E a 3 1 f l X 6 X V B 7 x F D O F j 1 O U H v f g G z r 8 r D g x v n w d N V h n o Q V l U Q e p n f P W r 9 Z G 2 p / H c m O v r p z u L I Z w Z W N 0 D U j R + W C 5 4 / x W i 3 k v W u y 7 1 P m S + m V t T g L d U q G m O o 7 7 4 C T 0 + i + 0 E 5 R / L Q L f h w p Q g Z P a g 2 I 4 e P L h + U Y S G H r z o N e e U q 8 0 k z t A y 9 b N n l B V k G t i J 7 V j u e A s I j v k A s n N t m u z / C E X O F S 3 6 w R W 4 I u M s R 2 w x f z B i 3 z L M i d g p 4 6 K h J j p o j S E t E m n i w m 8 6 F H Z Y z W o Q s c m k J b o R 6 b + h Z 2 V C 7 N f a V p G 0 D e X c B P w f 0 V 9 m J c k X k z U j 4 / + d g q B k H u / N R O d 1 e M Q y R q t 7 A 9 j Z / o Y 3 f i s 9 3 l 7 O H N n i g u + K L 3 M 5 l G Q p 4 o u t 1 W Z f R q d W r 3 0 e F 9 q a 3 9 A T 7 X X t F f b M n 4 T d 7 g h 3 b r I a k A 9 x r / o M e Y d f 7 9 7 7 g d h 7 + z k 6 c 5 Q 4 P d Q L G H 0 P s + q N 8 N 8 D / y E O 2 F 5 2 + C S p f f u c P g + o X 3 7 f x O C h 8 q A Y 9 j o O l o K r 8 X q h 0 g 8 + 1 w 6 + 4 1 0 5 g L 3 / b f Z e k z K 6 c B w E W 4 w s x s L h I 2 1 u u W 1 r 1 q G l / Q 6 h k r l i / Q c y G / C / z W F Q j 8 E U O l w E 9 H I a 0 g Y 7 2 d z 2 q o R r y n f k 4 C d 2 R H C 8 i w A 6 i r I N c g 1 U T 2 + G T y + p c k E / W + 2 0 N W H n l U l H 4 B o E D t J p 6 2 m R r w I l 7 V d N 2 A 2 O 1 n F X 8 1 z R t Q f 0 u e z k V x s U 1 3 v U K Y + Z s s 9 x g W p u q O N J 2 k i 1 i Y K 2 I y o i z F i h A z l q I d D n r A a L n 7 s v H 5 a K 2 7 x O h Z F h e D s E K a v + + c i 8 m D p 0 j t U z L 8 o b l C D o L i X a W G Y y 4 H p J d 7 t v 6 r B k + v L Q t b E q c t r O k y J f A B w l H Z p H U H 0 G N M o K k G M G x c 1 / H N u L K s L F i b V P E M W x W B j 9 0 8 a H M n s i G g w U E i D 0 H q w y S 2 B g N R i u h B F z j h I 2 r M U y 5 W i k G c r M Z V m U N 2 W i G V d G c x S 3 v 7 d O C j Z 1 Y v W w K 0 j H W Y u y w F j c d t 0 p b f a 5 x 2 2 D U 9 G 0 V v x H b c M N S 5 a / I I 1 x i q m k D I p X S 3 t T W i h 0 p y 2 r H t 6 U s a h U o N + Y z h c G R r H r v 1 c Y n F k u 1 E m 4 + A W / h I Q B s 1 1 7 2 C t q q h A M D l k e l C O F Z P A m n l W 6 y K E Z R 1 a Q k 2 Z k U N F C p n l q 3 g H m 5 p r Z 4 a J m Y m R V d 6 y D Z x 9 s t P p v M a K 2 u q o b 0 4 B 1 G Y t 1 J n q s a Q r d P N Y w h W F U H p x z V M B Z 6 9 I b z V r 9 O D 6 Q k s n s n F t k D g y H 6 6 o t P N t v Q G v l M q p 0 Q y l f J S j j o h 7 w 8 W Y c y G o / l l G a Y u f b p D C t j X 5 d h k 9 k z k D P A l 1 U 4 O 6 x t V e G W a Q n o H K t 8 N K w s + 0 x U t P Q F v u y z 8 w h t S 2 J f B W 1 m 8 K 2 S k Z k l o a n Q f 6 l X h F E W g B F P V s b v 0 a c Z G x H 9 R o 1 I R H J p i W V Q a C m C 0 L D a e Q w t R / f P w x j + 6 / t P a 6 K 8 N W F f 8 q t r 8 8 r T 9 C 5 s T V Q 4 Y A C d u P k 5 T 3 / O 0 x 9 g 9 Z f I U G I + y G y f e 1 h p Y D 0 A Z d 7 B t p 6 D M q 9 n O 4 5 D g X e 3 L Q e j j E v d X s e j A v R 8 8 l Z f h L V o W 8 + D b d A p N q s u 9 j h 2 h 7 W L y Y M J a s g A T E / d D g I f v A U J s L e D n j W v F u T i Q 2 E k l d 8 w Z U v Z 1 2 j + t I f i y 5 x + R x P l 8 u y 3 a R B N S g G X v 0 o I n b P j A q C m X 5 p S g L d S q l 3 2 6 S 1 7 y 1 f r o F a 8 9 V H q N Z + i C 0 a g J D H v x D M E y p 0 v 4 J 5 O u n 0 w C L + u 6 j 0 m j z v 8 p z g u y S 4 C c Z y G F L 2 9 o F 4 P X g T f y W 5 t r 3 a Q X i A O A t R 4 s b z Y o z s d A O V V T j o 2 A i 1 I a 8 a K 1 c N D U L l X W B Y M Q p e J x 8 K Y w S u V A W t e K d B v E 8 q C I O 4 z O G J 0 E D 7 A o x U u a d p T L w 2 6 M c c v 9 z R x 8 c F I r H n y y p I E v R n 8 4 / 8 A U E s B A i 0 A F A A C A A g A U E C a W A 7 c E 7 + k A A A A 9 g A A A B I A A A A A A A A A A A A A A A A A A A A A A E N v b m Z p Z y 9 Q Y W N r Y W d l L n h t b F B L A Q I t A B Q A A g A I A F B A m l g P y u m r p A A A A O k A A A A T A A A A A A A A A A A A A A A A A P A A A A B b Q 2 9 u d G V u d F 9 U e X B l c 1 0 u e G 1 s U E s B A i 0 A F A A C A A g A U E C a W H 5 z + C B O G Q A A T 8 U A A B M A A A A A A A A A A A A A A A A A 4 Q E A A E Z v c m 1 1 b G F z L 1 N l Y 3 R p b 2 4 x L m 1 Q S w U G A A A A A A M A A w D C A A A A f B s A A A A A E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Z m F s c 2 U 8 L 0 Z p c m V 3 Y W x s R W 5 h Y m x l Z D 4 8 L 1 B l c m 1 p c 3 N p b 2 5 M a X N 0 P j 3 I A Q A A A A A A G 8 g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d 0 F B Q U F B Q U F B Q 1 B z W i 9 E Z D Z X S F F M L 0 h v V i t x a E p F a 0 V W T n Z k W E p q W l h N Z 2 R H O G d k W E J r W V h S b E F B Q U F B Q U F B Q U F B Q U F B a W 9 I Q k h 0 Q l p k R n R T T H g x c E R l N V p B U l U z Q n N h W F F n W T J G c 1 k z V n N Z W F J w Y j I 0 Q U F B R U F B Q U F B Q U F B Q X F I M U p l U 0 N l b D B l W k d 3 N j F a Z k t W b E E x U 1 p T M U V i e U J 4 Z F d W e W F X V n p B Q U F E Q U F B Q S I g L z 4 8 L 1 N 0 Y W J s Z U V u d H J p Z X M + P C 9 J d G V t P j x J d G V t P j x J d G V t T G 9 j Y X R p b 2 4 + P E l 0 Z W 1 U e X B l P k Z v c m 1 1 b G E 8 L 0 l 0 Z W 1 U e X B l P j x J d G V t U G F 0 a D 5 T Z W N 0 a W 9 u M S 9 G U l B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M D F j O T h k M z Q t M G M w N y 0 0 Y W Q z L W E 4 Y m M t O W J i N z g y M z h k M m M 5 I i A v P j x F b n R y e S B U e X B l P S J R d W V y e U d y b 3 V w S U Q i I F Z h b H V l P S J z Y z M 5 Z m I x O G Y t Y T U 3 N y 0 0 M D g 3 L W J m Y z c t Y T E 1 Z m F h O D Q 5 M T I 0 I i A v P j x F b n R y e S B U e X B l P S J G a W x s V G 9 E Y X R h T W 9 k Z W x F b m F i b G V k I i B W Y W x 1 Z T 0 i b D E i I C 8 + P E V u d H J 5 I F R 5 c G U 9 I k Z p b G x P Y m p l Y 3 R U e X B l I i B W Y W x 1 Z T 0 i c 0 N v b m 5 l Y 3 R p b 2 5 P b m x 5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z E i I C 8 + P E V u d H J 5 I F R 5 c G U 9 I k Z p b G x M Y X N 0 V X B k Y X R l Z C I g V m F s d W U 9 I m Q y M D I 0 L T A 0 L T I 2 V D E 1 O j A y O j I 5 L j c 0 N z M 1 O T J a I i A v P j x F b n R y e S B U e X B l P S J G a W x s Q 2 9 s d W 1 u V H l w Z X M i I F Z h b H V l P S J z Q m d Z R 0 F 3 T U Y i I C 8 + P E V u d H J 5 I F R 5 c G U 9 I k Z p b G x D b 2 x 1 b W 5 O Y W 1 l c y I g V m F s d W U 9 I n N b J n F 1 b 3 Q 7 c 2 N o b 2 9 s W W V h c i Z x d W 9 0 O y w m c X V v d D t D Q 0 R E R C Z x d W 9 0 O y w m c X V v d D t E a X N 0 c m l j d E 5 h b W U m c X V v d D s s J n F 1 b 3 Q 7 V G 9 0 Y W x T d H V k Z W 5 0 c y Z x d W 9 0 O y w m c X V v d D t U b 3 R h b F N 0 d W R l b n R z S W 5 Q b 3 Z l c n R 5 J n F 1 b 3 Q 7 L C Z x d W 9 0 O 1 R v d G F s U G V y Y 2 V u d E l u U G 9 2 Z X J 0 e S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l J Q T C 9 D a G F u Z 2 V k I F R 5 c G U u e 3 N j a G 9 v b F l l Y X I s M H 0 m c X V v d D s s J n F 1 b 3 Q 7 U 2 V j d G l v b j E v R l J Q T C 9 D a G F u Z 2 V k I F R 5 c G U u e 0 R p c 3 R y a W N 0 Q 2 9 k Z S w x f S Z x d W 9 0 O y w m c X V v d D t T Z W N 0 a W 9 u M S 9 G U l B M L 0 N o Y W 5 n Z W Q g V H l w Z S 5 7 R G l z d H J p Y 3 R O Y W 1 l L D J 9 J n F 1 b 3 Q 7 L C Z x d W 9 0 O 1 N l Y 3 R p b 2 4 x L 0 Z S U E w v Q 2 h h b m d l Z C B U e X B l L n t U b 3 R h b F N 0 d W R l b n R z L D N 9 J n F 1 b 3 Q 7 L C Z x d W 9 0 O 1 N l Y 3 R p b 2 4 x L 0 Z S U E w v Q 2 h h b m d l Z C B U e X B l L n t U b 3 R h b F N 0 d W R l b n R z S W 5 Q b 3 Z l c n R 5 L D R 9 J n F 1 b 3 Q 7 L C Z x d W 9 0 O 1 N l Y 3 R p b 2 4 x L 0 Z S U E w v Q 2 h h b m d l Z C B U e X B l L n t U b 3 R h b F B l c m N l b n R J b l B v d m V y d H k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l J Q T C 9 D a G F u Z 2 V k I F R 5 c G U u e 3 N j a G 9 v b F l l Y X I s M H 0 m c X V v d D s s J n F 1 b 3 Q 7 U 2 V j d G l v b j E v R l J Q T C 9 D a G F u Z 2 V k I F R 5 c G U u e 0 R p c 3 R y a W N 0 Q 2 9 k Z S w x f S Z x d W 9 0 O y w m c X V v d D t T Z W N 0 a W 9 u M S 9 G U l B M L 0 N o Y W 5 n Z W Q g V H l w Z S 5 7 R G l z d H J p Y 3 R O Y W 1 l L D J 9 J n F 1 b 3 Q 7 L C Z x d W 9 0 O 1 N l Y 3 R p b 2 4 x L 0 Z S U E w v Q 2 h h b m d l Z C B U e X B l L n t U b 3 R h b F N 0 d W R l b n R z L D N 9 J n F 1 b 3 Q 7 L C Z x d W 9 0 O 1 N l Y 3 R p b 2 4 x L 0 Z S U E w v Q 2 h h b m d l Z C B U e X B l L n t U b 3 R h b F N 0 d W R l b n R z S W 5 Q b 3 Z l c n R 5 L D R 9 J n F 1 b 3 Q 7 L C Z x d W 9 0 O 1 N l Y 3 R p b 2 4 x L 0 Z S U E w v Q 2 h h b m d l Z C B U e X B l L n t U b 3 R h b F B l c m N l b n R J b l B v d m V y d H k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S U E w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l J Q T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f V H J p Y m F s U 2 V u Z G l u Z y U y M E R p c 3 R y a W N 0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d y b 3 V w S U Q i I F Z h b H V l P S J z Y z M 5 Z m I x O G Y t Y T U 3 N y 0 0 M D g 3 L W J m Y z c t Y T E 1 Z m F h O D Q 5 M T I 0 I i A v P j x F b n R y e S B U e X B l P S J R d W V y e U l E I i B W Y W x 1 Z T 0 i c 2 I 5 Z W J i Y j Q 0 L W I 4 Y 2 Y t N D A 2 Y S 0 4 O W U 0 L T N l M D h i Y z Z h Y W I 2 M y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E i I C 8 + P E V u d H J 5 I F R 5 c G U 9 I k Z p b G x M Y X N 0 V X B k Y X R l Z C I g V m F s d W U 9 I m Q y M D I 0 L T A 0 L T I 2 V D E 1 O j A y O j I 5 L j c 0 O D U 5 N D V a I i A v P j x F b n R y e S B U e X B l P S J G a W x s Q 2 9 s d W 1 u V H l w Z X M i I F Z h b H V l P S J z Q m d Z R 0 J n W U F B Q T 0 9 I i A v P j x F b n R y e S B U e X B l P S J G a W x s Q 2 9 s d W 1 u T m F t Z X M i I F Z h b H V l P S J z W y Z x d W 9 0 O 0 N D R E R E J n F 1 b 3 Q 7 L C Z x d W 9 0 O 0 N o Y X J 0 Z X I v V H J p Y m F s I C Z x d W 9 0 O y w m c X V v d D t T Z W 5 k a W 5 n I E R p c 3 R y a W N 0 J n F 1 b 3 Q 7 L C Z x d W 9 0 O 1 N l b m R p b m c g R G l z d H J p Y 3 Q g Q 0 N E R E Q m c X V v d D s s J n F 1 b 3 Q 7 T E V B S U Q m c X V v d D s s J n F 1 b 3 Q 7 S X N O Z X c m c X V v d D s s J n F 1 b 3 Q 7 S X N F e H B h b m R l Z C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h h c n R l c l 9 U c m l i Y W x T Z W 5 k a W 5 n I E R p c 3 R y a W N 0 c y 9 D a G F u Z 2 V k I F R 5 c G U u e 0 N D R E R E L D B 9 J n F 1 b 3 Q 7 L C Z x d W 9 0 O 1 N l Y 3 R p b 2 4 x L 0 N o Y X J 0 Z X J f V H J p Y m F s U 2 V u Z G l u Z y B E a X N 0 c m l j d H M v Q 2 h h b m d l Z C B U e X B l L n t D a G F y d G V y L 1 R y a W J h b C A s M X 0 m c X V v d D s s J n F 1 b 3 Q 7 U 2 V j d G l v b j E v Q 2 h h c n R l c l 9 U c m l i Y W x T Z W 5 k a W 5 n I E R p c 3 R y a W N 0 c y 9 D a G F u Z 2 V k I F R 5 c G U u e 1 N l b m R p b m c g R G l z d H J p Y 3 Q s M n 0 m c X V v d D s s J n F 1 b 3 Q 7 U 2 V j d G l v b j E v Q 2 h h c n R l c l 9 U c m l i Y W x T Z W 5 k a W 5 n I E R p c 3 R y a W N 0 c y 9 D a G F u Z 2 V k I F R 5 c G U u e 1 N l b m R p b m c g R G l z d H J p Y 3 Q g Q 2 9 k Z S w z f S Z x d W 9 0 O y w m c X V v d D t T Z W N 0 a W 9 u M S 9 D a G F y d G V y X 1 R y a W J h b F N l b m R p b m c g R G l z d H J p Y 3 R z L 0 N o Y W 5 n Z W Q g V H l w Z S 5 7 T E V B S U Q s N H 0 m c X V v d D s s J n F 1 b 3 Q 7 U 2 V j d G l v b j E v Q 2 h h c n R l c l 9 U c m l i Y W x T Z W 5 k a W 5 n I E R p c 3 R y a W N 0 c y 9 Q c m 9 t b 3 R l Z C B I Z W F k Z X J z L n t J c 0 5 l d y w 1 f S Z x d W 9 0 O y w m c X V v d D t T Z W N 0 a W 9 u M S 9 D a G F y d G V y X 1 R y a W J h b F N l b m R p b m c g R G l z d H J p Y 3 R z L 1 B y b 2 1 v d G V k I E h l Y W R l c n M u e 0 l z R X h w Y W 5 k Z W Q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2 h h c n R l c l 9 U c m l i Y W x T Z W 5 k a W 5 n I E R p c 3 R y a W N 0 c y 9 D a G F u Z 2 V k I F R 5 c G U u e 0 N D R E R E L D B 9 J n F 1 b 3 Q 7 L C Z x d W 9 0 O 1 N l Y 3 R p b 2 4 x L 0 N o Y X J 0 Z X J f V H J p Y m F s U 2 V u Z G l u Z y B E a X N 0 c m l j d H M v Q 2 h h b m d l Z C B U e X B l L n t D a G F y d G V y L 1 R y a W J h b C A s M X 0 m c X V v d D s s J n F 1 b 3 Q 7 U 2 V j d G l v b j E v Q 2 h h c n R l c l 9 U c m l i Y W x T Z W 5 k a W 5 n I E R p c 3 R y a W N 0 c y 9 D a G F u Z 2 V k I F R 5 c G U u e 1 N l b m R p b m c g R G l z d H J p Y 3 Q s M n 0 m c X V v d D s s J n F 1 b 3 Q 7 U 2 V j d G l v b j E v Q 2 h h c n R l c l 9 U c m l i Y W x T Z W 5 k a W 5 n I E R p c 3 R y a W N 0 c y 9 D a G F u Z 2 V k I F R 5 c G U u e 1 N l b m R p b m c g R G l z d H J p Y 3 Q g Q 2 9 k Z S w z f S Z x d W 9 0 O y w m c X V v d D t T Z W N 0 a W 9 u M S 9 D a G F y d G V y X 1 R y a W J h b F N l b m R p b m c g R G l z d H J p Y 3 R z L 0 N o Y W 5 n Z W Q g V H l w Z S 5 7 T E V B S U Q s N H 0 m c X V v d D s s J n F 1 b 3 Q 7 U 2 V j d G l v b j E v Q 2 h h c n R l c l 9 U c m l i Y W x T Z W 5 k a W 5 n I E R p c 3 R y a W N 0 c y 9 Q c m 9 t b 3 R l Z C B I Z W F k Z X J z L n t J c 0 5 l d y w 1 f S Z x d W 9 0 O y w m c X V v d D t T Z W N 0 a W 9 u M S 9 D a G F y d G V y X 1 R y a W J h b F N l b m R p b m c g R G l z d H J p Y 3 R z L 1 B y b 2 1 v d G V k I E h l Y W R l c n M u e 0 l z R X h w Y W 5 k Z W Q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o Y X J 0 Z X J f V H J p Y m F s U 2 V u Z G l u Z y U y M E R p c 3 R y a W N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X 1 R y a W J h b F N l b m R p b m c l M j B E a X N 0 c m l j d H M v U 2 h l Z X Q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l 9 U c m l i Y W x T Z W 5 k a W 5 n J T I w R G l z d H J p Y 3 R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P b m x 5 P C 9 J d G V t U G F 0 a D 4 8 L 0 l 0 Z W 1 M b 2 N h d G l v b j 4 8 U 3 R h Y m x l R W 5 0 c m l l c z 4 8 R W 5 0 c n k g V H l w Z T 0 i R m l s b E V u Y W J s Z W Q i I F Z h b H V l P S J s M C I g L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Z l N D c 3 N z k t Y W E 5 Y y 0 0 N 2 U w L T h j M D U t O G I 1 Y T c 4 Y j I w N z A y I i A v P j x F b n R y e S B U e X B l P S J R d W V y e U d y b 3 V w S U Q i I F Z h b H V l P S J z M T E x Y 2 E 4 M D g t M D V l Z C 0 0 N T k 3 L W I 1 M j I t Z j F k N j k w Z G V l N T k w I i A v P j x F b n R y e S B U e X B l P S J G a W x s V G 9 E Y X R h T W 9 k Z W x F b m F i b G V k I i B W Y W x 1 Z T 0 i b D E i I C 8 + P E V u d H J 5 I F R 5 c G U 9 I k Z p b G x P Y m p l Y 3 R U e X B l I i B W Y W x 1 Z T 0 i c 0 N v b m 5 l Y 3 R p b 2 5 P b m x 5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M S I g L z 4 8 R W 5 0 c n k g V H l w Z T 0 i R m l s b E x h c 3 R V c G R h d G V k I i B W Y W x 1 Z T 0 i Z D I w M j Q t M D Q t M j Z U M T U 6 M D I 6 M j k u N z Y 0 M D k 5 N F o i I C 8 + P E V u d H J 5 I F R 5 c G U 9 I k Z p b G x D b 2 x 1 b W 5 U e X B l c y I g V m F s d W U 9 I n N C Z 1 l H Q U F B R E F 3 W U Z B Q V F F Q U F R R U F B P T 0 i I C 8 + P E V u d H J 5 I F R 5 c G U 9 I k Z p b G x D b 2 x 1 b W 5 O Y W 1 l c y I g V m F s d W U 9 I n N b J n F 1 b 3 Q 7 Q 0 N E R E Q m c X V v d D s s J n F 1 b 3 Q 7 R G l z d H J p Y 3 R O Y W 1 l J n F 1 b 3 Q 7 L C Z x d W 9 0 O 0 x F Q W l k J n F 1 b 3 Q 7 L C Z x d W 9 0 O 0 l z T m V 3 J n F 1 b 3 Q 7 L C Z x d W 9 0 O 0 l z R X h w Y W 5 k Z W Q m c X V v d D s s J n F 1 b 3 Q 7 R l J Q T C 5 U b 3 R h b F N 0 d W R l b n R z J n F 1 b 3 Q 7 L C Z x d W 9 0 O 1 N l b m R p b m d U b 3 R h b F N 0 d W R l b n R z J n F 1 b 3 Q 7 L C Z x d W 9 0 O 1 N l b m R p b m d M R U F p Z C Z x d W 9 0 O y w m c X V v d D t D a G F y d G V y c 1 R v d G F s U 3 R 1 Z G V u d H M m c X V v d D s s J n F 1 b 3 Q 7 U 3 V t I G 9 m I E N o Y X J 0 Z X J z I F J G U E w r U 2 V u Z G l u Z y B S R l B M J n F 1 b 3 Q 7 L C Z x d W 9 0 O 1 N o Y X J l I G 9 m I E Z S U E w m c X V v d D s s J n F 1 b 3 Q 7 U 2 V u Z G l u Z y B T a G F y Z S B v Z i B G U l B M J n F 1 b 3 Q 7 L C Z x d W 9 0 O 1 N 1 b S B v Z i B j a G F y d G V y I H R v d G F s I H N 0 d W R l b n R z I C s g U 2 V u Z G l u Z y B 0 b 3 R h b C B z d H V k Z W 5 0 c y Z x d W 9 0 O y w m c X V v d D t T a G F y Z S B v Z i B U b 3 R h b C B F b n J v b G x t Z W 5 0 J n F 1 b 3 Q 7 L C Z x d W 9 0 O 1 N l b m R p b m c g U 2 h h c m U g b 2 Y g V G 9 0 Y W w g Z W 5 y b 2 x s b W V u d C Z x d W 9 0 O y w m c X V v d D t E a X N 0 c m l j d F R 5 c G U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c G x p d C B D Y W x j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T 2 5 s e S 9 D a G F u Z 2 V k I F R 5 c G U u e 0 x F Q W l k L D J 9 J n F 1 b 3 Q 7 L C Z x d W 9 0 O 1 N l Y 3 R p b 2 4 x L 0 N o Y X J 0 Z X J f V H J p Y m F s U 2 V u Z G l u Z y B E a X N 0 c m l j d H M v U H J v b W 9 0 Z W Q g S G V h Z G V y c y 5 7 S X N O Z X c s N X 0 m c X V v d D s s J n F 1 b 3 Q 7 U 2 V j d G l v b j E v Q 2 h h c n R l c l 9 U c m l i Y W x T Z W 5 k a W 5 n I E R p c 3 R y a W N 0 c y 9 Q c m 9 t b 3 R l Z C B I Z W F k Z X J z L n t J c 0 V 4 c G F u Z G V k L D Z 9 J n F 1 b 3 Q 7 L C Z x d W 9 0 O 1 N l Y 3 R p b 2 4 x L 0 Z S U E w v Q 2 h h b m d l Z C B U e X B l L n t U b 3 R h b F N 0 d W R l b n R z L D N 9 J n F 1 b 3 Q 7 L C Z x d W 9 0 O 1 N l Y 3 R p b 2 4 x L 0 Z S U E w v Q 2 h h b m d l Z C B U e X B l L n t U b 3 R h b F N 0 d W R l b n R z L D N 9 J n F 1 b 3 Q 7 L C Z x d W 9 0 O 1 N l Y 3 R p b 2 4 x L 0 N D R E R E X F w v T E V B a W Q v U 2 9 1 c m N l L n t O Q 0 V T T E V B T n V t Y m V y L D N 9 J n F 1 b 3 Q 7 L C Z x d W 9 0 O 1 N l Y 3 R p b 2 4 x L 3 N 1 b W l m L 0 d y b 3 V w Z W Q g U m 9 3 c y 5 7 U 3 V t V G 9 0 Y W x T d H V k Z W 5 0 c y w y f S Z x d W 9 0 O y w m c X V v d D t T Z W N 0 a W 9 u M S 9 T c G x p d C B D Y W x j L 0 F k Z G V k I E N 1 c 3 R v b S 5 7 U 3 V t I G 9 m I E N o Y X J 0 Z X J z I F J G U E w r U 2 V u Z G l u Z y B S R l B M L D E 0 f S Z x d W 9 0 O y w m c X V v d D t T Z W N 0 a W 9 u M S 9 T c G x p d C B D Y W x j L 0 N o Y W 5 n Z W Q g V H l w Z T E u e y V P Z i B S R l B M I G l u I H N l b m R p b m c g Z G l z d H J p Y 3 Q s M T V 9 J n F 1 b 3 Q 7 L C Z x d W 9 0 O 1 N l Y 3 R p b 2 4 x L 1 N w b G l 0 I E N h b G M v Q 2 h h b m d l Z C B U e X B l M i 5 7 U 2 V u Z G l u Z y B E a X N 0 c m l j d C A l I C w x N X 0 m c X V v d D s s J n F 1 b 3 Q 7 U 2 V j d G l v b j E v U 3 B s a X Q g Q 2 F s Y y 9 B Z G R l Z C B D d X N 0 b 2 0 z L n t T d W 0 g b 2 Y g Y 2 h h c n R l c i B 0 b 3 R h b C B z d H V k Z W 5 0 c y A r I F N l b m R p b m c g d G 9 0 Y W w g c 3 R 1 Z G V u d H M s M T d 9 J n F 1 b 3 Q 7 L C Z x d W 9 0 O 1 N l Y 3 R p b 2 4 x L 1 N w b G l 0 I E N h b G M v Q 2 h h b m d l Z C B U e X B l M y 5 7 U 2 h h c m U g b 2 Y g V G 9 0 Y W w g R W 5 y b 2 x s b W V u d C w x O H 0 m c X V v d D s s J n F 1 b 3 Q 7 U 2 V j d G l v b j E v U 3 B s a X Q g Q 2 F s Y y 9 D a G F u Z 2 V k I F R 5 c G U 0 L n t T Z W 5 k a W 5 n I F N o Y X J l I G 9 m I F R v d G F s I G V u c m 9 s b G 1 l b n Q s M T l 9 J n F 1 b 3 Q 7 L C Z x d W 9 0 O 1 N l Y 3 R p b 2 4 x L 0 N o Y X J 0 Z X J P b m x 5 L 0 F k Z G V k I E N 1 c 3 R v b S 5 7 R G l z d H J p Y 3 R U e X B l L D E 3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3 B s a X Q g Q 2 F s Y y 9 D a G F u Z 2 V k I F R 5 c G U u e 0 N D R E R E L D B 9 J n F 1 b 3 Q 7 L C Z x d W 9 0 O 1 N l Y 3 R p b 2 4 x L 0 N o Y X J 0 Z X J f V H J p Y m F s U 2 V u Z G l u Z y B E a X N 0 c m l j d H M v Q 2 h h b m d l Z C B U e X B l L n t D a G F y d G V y L 1 R y a W J h b C A s M X 0 m c X V v d D s s J n F 1 b 3 Q 7 U 2 V j d G l v b j E v Q 2 h h c n R l c k 9 u b H k v Q 2 h h b m d l Z C B U e X B l L n t M R U F p Z C w y f S Z x d W 9 0 O y w m c X V v d D t T Z W N 0 a W 9 u M S 9 D a G F y d G V y X 1 R y a W J h b F N l b m R p b m c g R G l z d H J p Y 3 R z L 1 B y b 2 1 v d G V k I E h l Y W R l c n M u e 0 l z T m V 3 L D V 9 J n F 1 b 3 Q 7 L C Z x d W 9 0 O 1 N l Y 3 R p b 2 4 x L 0 N o Y X J 0 Z X J f V H J p Y m F s U 2 V u Z G l u Z y B E a X N 0 c m l j d H M v U H J v b W 9 0 Z W Q g S G V h Z G V y c y 5 7 S X N F e H B h b m R l Z C w 2 f S Z x d W 9 0 O y w m c X V v d D t T Z W N 0 a W 9 u M S 9 G U l B M L 0 N o Y W 5 n Z W Q g V H l w Z S 5 7 V G 9 0 Y W x T d H V k Z W 5 0 c y w z f S Z x d W 9 0 O y w m c X V v d D t T Z W N 0 a W 9 u M S 9 G U l B M L 0 N o Y W 5 n Z W Q g V H l w Z S 5 7 V G 9 0 Y W x T d H V k Z W 5 0 c y w z f S Z x d W 9 0 O y w m c X V v d D t T Z W N 0 a W 9 u M S 9 D Q 0 R E R F x c L 0 x F Q W l k L 1 N v d X J j Z S 5 7 T k N F U 0 x F Q U 5 1 b W J l c i w z f S Z x d W 9 0 O y w m c X V v d D t T Z W N 0 a W 9 u M S 9 z d W 1 p Z i 9 H c m 9 1 c G V k I F J v d 3 M u e 1 N 1 b V R v d G F s U 3 R 1 Z G V u d H M s M n 0 m c X V v d D s s J n F 1 b 3 Q 7 U 2 V j d G l v b j E v U 3 B s a X Q g Q 2 F s Y y 9 B Z G R l Z C B D d X N 0 b 2 0 u e 1 N 1 b S B v Z i B D a G F y d G V y c y B S R l B M K 1 N l b m R p b m c g U k Z Q T C w x N H 0 m c X V v d D s s J n F 1 b 3 Q 7 U 2 V j d G l v b j E v U 3 B s a X Q g Q 2 F s Y y 9 D a G F u Z 2 V k I F R 5 c G U x L n s l T 2 Y g U k Z Q T C B p b i B z Z W 5 k a W 5 n I G R p c 3 R y a W N 0 L D E 1 f S Z x d W 9 0 O y w m c X V v d D t T Z W N 0 a W 9 u M S 9 T c G x p d C B D Y W x j L 0 N o Y W 5 n Z W Q g V H l w Z T I u e 1 N l b m R p b m c g R G l z d H J p Y 3 Q g J S A s M T V 9 J n F 1 b 3 Q 7 L C Z x d W 9 0 O 1 N l Y 3 R p b 2 4 x L 1 N w b G l 0 I E N h b G M v Q W R k Z W Q g Q 3 V z d G 9 t M y 5 7 U 3 V t I G 9 m I G N o Y X J 0 Z X I g d G 9 0 Y W w g c 3 R 1 Z G V u d H M g K y B T Z W 5 k a W 5 n I H R v d G F s I H N 0 d W R l b n R z L D E 3 f S Z x d W 9 0 O y w m c X V v d D t T Z W N 0 a W 9 u M S 9 T c G x p d C B D Y W x j L 0 N o Y W 5 n Z W Q g V H l w Z T M u e 1 N o Y X J l I G 9 m I F R v d G F s I E V u c m 9 s b G 1 l b n Q s M T h 9 J n F 1 b 3 Q 7 L C Z x d W 9 0 O 1 N l Y 3 R p b 2 4 x L 1 N w b G l 0 I E N h b G M v Q 2 h h b m d l Z C B U e X B l N C 5 7 U 2 V u Z G l u Z y B T a G F y Z S B v Z i B U b 3 R h b C B l b n J v b G x t Z W 5 0 L D E 5 f S Z x d W 9 0 O y w m c X V v d D t T Z W N 0 a W 9 u M S 9 D a G F y d G V y T 2 5 s e S 9 B Z G R l Z C B D d X N 0 b 2 0 u e 0 R p c 3 R y a W N 0 V H l w Z S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o Y X J 0 Z X J P b m x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P C 9 J d G V t U G F 0 a D 4 8 L 0 l 0 Z W 1 M b 2 N h d G l v b j 4 8 U 3 R h Y m x l R W 5 0 c m l l c z 4 8 R W 5 0 c n k g V H l w Z T 0 i R m l s b E V u Y W J s Z W Q i I F Z h b H V l P S J s M C I g L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Y m U 1 O D B j M z A t N 2 U z M S 0 0 N G U 5 L T k 3 N j Y t N z M 2 Y 2 E 0 M z U x Z W Q 0 I i A v P j x F b n R y e S B U e X B l P S J R d W V y e U d y b 3 V w S U Q i I F Z h b H V l P S J z M T E x Y 2 E 4 M D g t M D V l Z C 0 0 N T k 3 L W I 1 M j I t Z j F k N j k w Z G V l N T k w I i A v P j x F b n R y e S B U e X B l P S J G a W x s V G 9 E Y X R h T W 9 k Z W x F b m F i b G V k I i B W Y W x 1 Z T 0 i b D E i I C 8 + P E V u d H J 5 I F R 5 c G U 9 I k Z p b G x P Y m p l Y 3 R U e X B l I i B W Y W x 1 Z T 0 i c 0 N v b m 5 l Y 3 R p b 2 5 P b m x 5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S I g L z 4 8 R W 5 0 c n k g V H l w Z T 0 i R m l s b E x h c 3 R V c G R h d G V k I i B W Y W x 1 Z T 0 i Z D I w M j Q t M D Q t M j Z U M T U 6 M D I 6 M j k u N z Y 3 M T I 0 M 1 o i I C 8 + P E V u d H J 5 I F R 5 c G U 9 I k Z p b G x D b 2 x 1 b W 5 U e X B l c y I g V m F s d W U 9 I n N C Z 1 l H Q U F Z P S I g L z 4 8 R W 5 0 c n k g V H l w Z T 0 i R m l s b E N v b H V t b k 5 h b W V z I i B W Y W x 1 Z T 0 i c 1 s m c X V v d D t D Q 0 R E R C Z x d W 9 0 O y w m c X V v d D t E a X N 0 c m l j d E 5 h b W U m c X V v d D s s J n F 1 b 3 Q 7 U 2 V u Z G l u Z 0 x F Q W l k J n F 1 b 3 Q 7 L C Z x d W 9 0 O 0 R p c 3 R y a W N 0 V H l w Z S Z x d W 9 0 O y w m c X V v d D t M R U F p Z C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J n F 1 b 3 Q 7 Q 0 N E R E Q m c X V v d D t d L C Z x d W 9 0 O 3 F 1 Z X J 5 U m V s Y X R p b 2 5 z a G l w c y Z x d W 9 0 O z p b X S w m c X V v d D t j b 2 x 1 b W 5 J Z G V u d G l 0 a W V z J n F 1 b 3 Q 7 O l s m c X V v d D t T Z W N 0 a W 9 u M S 9 T Z W 5 k a W 5 n T 2 5 s e S 9 D a G F u Z 2 V k I F R 5 c G U u e 0 N D R E R E L D B 9 J n F 1 b 3 Q 7 L C Z x d W 9 0 O 1 N l Y 3 R p b 2 4 x L 0 N o Y X J 0 Z X J f V H J p Y m F s U 2 V u Z G l u Z y B E a X N 0 c m l j d H M v Q 2 h h b m d l Z C B U e X B l L n t T Z W 5 k a W 5 n I E R p c 3 R y a W N 0 L D J 9 J n F 1 b 3 Q 7 L C Z x d W 9 0 O 1 N l Y 3 R p b 2 4 x L 0 N D R E R E X F w v T E V B a W Q v U 2 9 1 c m N l L n t O Q 0 V T T E V B T n V t Y m V y L D N 9 J n F 1 b 3 Q 7 L C Z x d W 9 0 O 1 N l Y 3 R p b 2 4 x L 1 N l b m R p b m d P b m x 5 L 0 F k Z G V k I E N 1 c 3 R v b S 5 7 R G l z d H J p Y 3 R U e X B l L D J 9 J n F 1 b 3 Q 7 L C Z x d W 9 0 O 1 N l Y 3 R p b 2 4 x L 1 N l b m R p b m d P b m x 5 L 0 R 1 c G x p Y 2 F 0 Z W Q g Q 2 9 s d W 1 u L n t T Z W 5 k a W 5 n T E V B a W Q g L S B D b 3 B 5 L D R 9 J n F 1 b 3 Q 7 X S w m c X V v d D t D b 2 x 1 b W 5 D b 3 V u d C Z x d W 9 0 O z o 1 L C Z x d W 9 0 O 0 t l e U N v b H V t b k 5 h b W V z J n F 1 b 3 Q 7 O l s m c X V v d D t D Q 0 R E R C Z x d W 9 0 O 1 0 s J n F 1 b 3 Q 7 Q 2 9 s d W 1 u S W R l b n R p d G l l c y Z x d W 9 0 O z p b J n F 1 b 3 Q 7 U 2 V j d G l v b j E v U 2 V u Z G l u Z 0 9 u b H k v Q 2 h h b m d l Z C B U e X B l L n t D Q 0 R E R C w w f S Z x d W 9 0 O y w m c X V v d D t T Z W N 0 a W 9 u M S 9 D a G F y d G V y X 1 R y a W J h b F N l b m R p b m c g R G l z d H J p Y 3 R z L 0 N o Y W 5 n Z W Q g V H l w Z S 5 7 U 2 V u Z G l u Z y B E a X N 0 c m l j d C w y f S Z x d W 9 0 O y w m c X V v d D t T Z W N 0 a W 9 u M S 9 D Q 0 R E R F x c L 0 x F Q W l k L 1 N v d X J j Z S 5 7 T k N F U 0 x F Q U 5 1 b W J l c i w z f S Z x d W 9 0 O y w m c X V v d D t T Z W N 0 a W 9 u M S 9 T Z W 5 k a W 5 n T 2 5 s e S 9 B Z G R l Z C B D d X N 0 b 2 0 u e 0 R p c 3 R y a W N 0 V H l w Z S w y f S Z x d W 9 0 O y w m c X V v d D t T Z W N 0 a W 9 u M S 9 T Z W 5 k a W 5 n T 2 5 s e S 9 E d X B s a W N h d G V k I E N v b H V t b i 5 7 U 2 V u Z G l u Z 0 x F Q W l k I C 0 g Q 2 9 w e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V u Z G l u Z 0 9 u b H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k 9 u b H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T 2 5 s e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N E R E Q l M k Z M R U F p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R d W V y e U l E I i B W Y W x 1 Z T 0 i c 2 R m M W R m M D R h L T A 1 Z j A t N D l h N C 0 4 N D E 5 L W U w Z D V l Z j c y Z D N i M y I g L z 4 8 R W 5 0 c n k g V H l w Z T 0 i U X V l c n l H c m 9 1 c E l E I i B W Y W x 1 Z T 0 i c 2 M z O W Z i M T h m L W E 1 N z c t N D A 4 N y 1 i Z m M 3 L W E x N W Z h Y T g 0 O T E y N C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I 3 I i A v P j x F b n R y e S B U e X B l P S J G a W x s T G F z d F V w Z G F 0 Z W Q i I F Z h b H V l P S J k M j A y N C 0 w N C 0 y N l Q x N T o w M j o y O S 4 3 O D A 3 M D k 2 W i I g L z 4 8 R W 5 0 c n k g V H l w Z T 0 i R m l s b E N v b H V t b l R 5 c G V z I i B W Y W x 1 Z T 0 i c 0 J n S U d C Z 1 l D I i A v P j x F b n R y e S B U e X B l P S J G a W x s Q 2 9 s d W 1 u T m F t Z X M i I F Z h b H V l P S J z W y Z x d W 9 0 O 0 R p c 3 R y a W N 0 Q 2 9 k Z S Z x d W 9 0 O y w m c X V v d D t P c m d h b m l 6 Y X R p b 2 5 J Z C Z x d W 9 0 O y w m c X V v d D t E a X N 0 c m l j d E 5 h b W U m c X V v d D s s J n F 1 b 3 Q 7 T k N F U 0 x F Q U 5 1 b W J l c i Z x d W 9 0 O y w m c X V v d D t O Q 0 V T T E V B T m F t Z S Z x d W 9 0 O y w m c X V v d D t T Y 2 h v b 2 x Z Z W F y S W Q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D R E R E X F w v T E V B a W Q v U 2 9 1 c m N l L n t E a X N 0 c m l j d E N v Z G U s M H 0 m c X V v d D s s J n F 1 b 3 Q 7 U 2 V j d G l v b j E v Q 0 N E R E R c X C 9 M R U F p Z C 9 T b 3 V y Y 2 U u e 0 9 y Z 2 F u a X p h d G l v b k l k L D F 9 J n F 1 b 3 Q 7 L C Z x d W 9 0 O 1 N l Y 3 R p b 2 4 x L 0 N D R E R E X F w v T E V B a W Q v U 2 9 1 c m N l L n t E a X N 0 c m l j d E 5 h b W U s M n 0 m c X V v d D s s J n F 1 b 3 Q 7 U 2 V j d G l v b j E v Q 0 N E R E R c X C 9 M R U F p Z C 9 T b 3 V y Y 2 U u e 0 5 D R V N M R U F O d W 1 i Z X I s M 3 0 m c X V v d D s s J n F 1 b 3 Q 7 U 2 V j d G l v b j E v Q 0 N E R E R c X C 9 M R U F p Z C 9 T b 3 V y Y 2 U u e 0 5 D R V N M R U F O Y W 1 l L D R 9 J n F 1 b 3 Q 7 L C Z x d W 9 0 O 1 N l Y 3 R p b 2 4 x L 0 N D R E R E X F w v T E V B a W Q v U 2 9 1 c m N l L n t T Y 2 h v b 2 x Z Z W F y S W Q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0 N E R E R c X C 9 M R U F p Z C 9 T b 3 V y Y 2 U u e 0 R p c 3 R y a W N 0 Q 2 9 k Z S w w f S Z x d W 9 0 O y w m c X V v d D t T Z W N 0 a W 9 u M S 9 D Q 0 R E R F x c L 0 x F Q W l k L 1 N v d X J j Z S 5 7 T 3 J n Y W 5 p e m F 0 a W 9 u S W Q s M X 0 m c X V v d D s s J n F 1 b 3 Q 7 U 2 V j d G l v b j E v Q 0 N E R E R c X C 9 M R U F p Z C 9 T b 3 V y Y 2 U u e 0 R p c 3 R y a W N 0 T m F t Z S w y f S Z x d W 9 0 O y w m c X V v d D t T Z W N 0 a W 9 u M S 9 D Q 0 R E R F x c L 0 x F Q W l k L 1 N v d X J j Z S 5 7 T k N F U 0 x F Q U 5 1 b W J l c i w z f S Z x d W 9 0 O y w m c X V v d D t T Z W N 0 a W 9 u M S 9 D Q 0 R E R F x c L 0 x F Q W l k L 1 N v d X J j Z S 5 7 T k N F U 0 x F Q U 5 h b W U s N H 0 m c X V v d D s s J n F 1 b 3 Q 7 U 2 V j d G l v b j E v Q 0 N E R E R c X C 9 M R U F p Z C 9 T b 3 V y Y 2 U u e 1 N j a G 9 v b F l l Y X J J Z C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0 N E R E Q l M k Z M R U F p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8 L 0 l 0 Z W 1 Q Y X R o P j w v S X R l b U x v Y 2 F 0 a W 9 u P j x T d G F i b G V F b n R y a W V z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S X N Q c m l 2 Y X R l I i B W Y W x 1 Z T 0 i b D A i I C 8 + P E V u d H J 5 I F R 5 c G U 9 I l F 1 Z X J 5 R 3 J v d X B J R C I g V m F s d W U 9 I n M x M T F j Y T g w O C 0 w N W V k L T Q 1 O T c t Y j U y M i 1 m M W Q 2 O T B k Z W U 1 O T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T E V B I F N w b G l 0 I E N h b G M i I C 8 + P E V u d H J 5 I F R 5 c G U 9 I k Z p b G x l Z E N v b X B s Z X R l U m V z d W x 0 V G 9 X b 3 J r c 2 h l Z X Q i I F Z h b H V l P S J s M S I g L z 4 8 R W 5 0 c n k g V H l w Z T 0 i U X V l c n l J R C I g V m F s d W U 9 I n M 1 M T Q 3 O D E w N y 0 3 Z j c 5 L T Q w Z W M t Y j F h Y i 0 1 M j V k O T h i N D d m Y T k i I C 8 + P E V u d H J 5 I F R 5 c G U 9 I k Z p b G x U b 0 R h d G F N b 2 R l b E V u Y W J s Z W Q i I F Z h b H V l P S J s M S I g L z 4 8 R W 5 0 c n k g V H l w Z T 0 i R m l s b F R h c m d l d C I g V m F s d W U 9 I n N T c G x p d F 9 D Y W x j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E i I C 8 + P E V u d H J 5 I F R 5 c G U 9 I k Z p b G x M Y X N 0 V X B k Y X R l Z C I g V m F s d W U 9 I m Q y M D I 0 L T A 0 L T I 2 V D E 1 O j A y O j I 5 L j c 1 O D k z M z R a I i A v P j x F b n R y e S B U e X B l P S J G a W x s Q 2 9 s d W 1 u V H l w Z X M i I F Z h b H V l P S J z Q m d Z R 0 J n W U F B Q U 1 E Q X d N R 0 J R Q U V C Q U F F Q k E 9 P S I g L z 4 8 R W 5 0 c n k g V H l w Z T 0 i R m l s b E N v b H V t b k 5 h b W V z I i B W Y W x 1 Z T 0 i c 1 s m c X V v d D t D Q 0 R E R C Z x d W 9 0 O y w m c X V v d D t D a G F y d G V y L 1 R y a W J h b C A m c X V v d D s s J n F 1 b 3 Q 7 U 2 V u Z G l u Z y B E a X N 0 c m l j d C Z x d W 9 0 O y w m c X V v d D t T Z W 5 k a W 5 n I E R p c 3 R y a W N 0 I E N D R E R E J n F 1 b 3 Q 7 L C Z x d W 9 0 O 0 x F Q U l E J n F 1 b 3 Q 7 L C Z x d W 9 0 O 0 l z T m V 3 J n F 1 b 3 Q 7 L C Z x d W 9 0 O 0 l z R X h w Y W 5 k Z W Q m c X V v d D s s J n F 1 b 3 Q 7 R l J Q T C 5 U b 3 R h b F N 0 d W R l b n R z J n F 1 b 3 Q 7 L C Z x d W 9 0 O 1 R v d G F s U 3 R 1 Z G V u d H N J b l B v d m V y d H k m c X V v d D s s J n F 1 b 3 Q 7 U 2 V u Z G l u Z 1 R v d G F s U 3 R 1 Z G V u d H M m c X V v d D s s J n F 1 b 3 Q 7 U 2 V u Z G l u Z 1 R v d G F s U 3 R 1 Z G V u d H N J b l B v d m V y d H k m c X V v d D s s J n F 1 b 3 Q 7 U 2 V u Z G l u Z 0 x F Q U l k J n F 1 b 3 Q 7 L C Z x d W 9 0 O 0 N o Y X J 0 Z X J z V G 9 0 Y W x T d H V k Z W 5 0 c y Z x d W 9 0 O y w m c X V v d D t T d W 0 g b 2 Y g Q 2 h h c n R l c n M g U k Z Q T C t T Z W 5 k a W 5 n I F J G U E w m c X V v d D s s J n F 1 b 3 Q 7 U 2 h h c m U g b 2 Y g R l J Q T C Z x d W 9 0 O y w m c X V v d D t T Z W 5 k a W 5 n I F N o Y X J l I G 9 m I E Z S U E w m c X V v d D s s J n F 1 b 3 Q 7 U 3 V t I G 9 m I G N o Y X J 0 Z X I g d G 9 0 Y W w g c 3 R 1 Z G V u d H M g K y B T Z W 5 k a W 5 n I H R v d G F s I H N 0 d W R l b n R z J n F 1 b 3 Q 7 L C Z x d W 9 0 O 1 N o Y X J l I G 9 m I F R v d G F s I E V u c m 9 s b G 1 l b n Q m c X V v d D s s J n F 1 b 3 Q 7 U 2 V u Z G l u Z y B T a G F y Z S B v Z i B U b 3 R h b C B l b n J v b G x t Z W 5 0 J n F 1 b 3 Q 7 X S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3 B s a X Q g Q 2 F s Y y 9 D a G F u Z 2 V k I F R 5 c G U u e 0 N D R E R E L D B 9 J n F 1 b 3 Q 7 L C Z x d W 9 0 O 1 N l Y 3 R p b 2 4 x L 0 N o Y X J 0 Z X J f V H J p Y m F s U 2 V u Z G l u Z y B E a X N 0 c m l j d H M v Q 2 h h b m d l Z C B U e X B l L n t D a G F y d G V y L 1 R y a W J h b C A s M X 0 m c X V v d D s s J n F 1 b 3 Q 7 U 2 V j d G l v b j E v Q 2 h h c n R l c l 9 U c m l i Y W x T Z W 5 k a W 5 n I E R p c 3 R y a W N 0 c y 9 D a G F u Z 2 V k I F R 5 c G U u e 1 N l b m R p b m c g R G l z d H J p Y 3 Q s M n 0 m c X V v d D s s J n F 1 b 3 Q 7 U 2 V j d G l v b j E v Q 2 h h c n R l c l 9 U c m l i Y W x T Z W 5 k a W 5 n I E R p c 3 R y a W N 0 c y 9 D a G F u Z 2 V k I F R 5 c G U u e 1 N l b m R p b m c g R G l z d H J p Y 3 Q g Q 2 9 k Z S w z f S Z x d W 9 0 O y w m c X V v d D t T Z W N 0 a W 9 u M S 9 D a G F y d G V y X 1 R y a W J h b F N l b m R p b m c g R G l z d H J p Y 3 R z L 0 N o Y W 5 n Z W Q g V H l w Z S 5 7 T E V B S U Q s N H 0 m c X V v d D s s J n F 1 b 3 Q 7 U 2 V j d G l v b j E v Q 2 h h c n R l c l 9 U c m l i Y W x T Z W 5 k a W 5 n I E R p c 3 R y a W N 0 c y 9 Q c m 9 t b 3 R l Z C B I Z W F k Z X J z L n t J c 0 5 l d y w 1 f S Z x d W 9 0 O y w m c X V v d D t T Z W N 0 a W 9 u M S 9 D a G F y d G V y X 1 R y a W J h b F N l b m R p b m c g R G l z d H J p Y 3 R z L 1 B y b 2 1 v d G V k I E h l Y W R l c n M u e 0 l z R X h w Y W 5 k Z W Q s N n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N J b l B v d m V y d H k s N H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N J b l B v d m V y d H k s N H 0 m c X V v d D s s J n F 1 b 3 Q 7 U 2 V j d G l v b j E v Q 0 N E R E R c X C 9 M R U F p Z C 9 T b 3 V y Y 2 U u e 0 5 D R V N M R U F O d W 1 i Z X I s M 3 0 m c X V v d D s s J n F 1 b 3 Q 7 U 2 V j d G l v b j E v c 3 V t a W Y v R 3 J v d X B l Z C B S b 3 d z L n t T d W 1 U b 3 R h b F N 0 d W R l b n R z L D J 9 J n F 1 b 3 Q 7 L C Z x d W 9 0 O 1 N l Y 3 R p b 2 4 x L 1 N w b G l 0 I E N h b G M v Q W R k Z W Q g Q 3 V z d G 9 t L n t T d W 0 g b 2 Y g Q 2 h h c n R l c n M g U k Z Q T C t T Z W 5 k a W 5 n I F J G U E w s M T R 9 J n F 1 b 3 Q 7 L C Z x d W 9 0 O 1 N l Y 3 R p b 2 4 x L 1 N w b G l 0 I E N h b G M v Q 2 h h b m d l Z C B U e X B l M S 5 7 J U 9 m I F J G U E w g a W 4 g c 2 V u Z G l u Z y B k a X N 0 c m l j d C w x N X 0 m c X V v d D s s J n F 1 b 3 Q 7 U 2 V j d G l v b j E v U 3 B s a X Q g Q 2 F s Y y 9 D a G F u Z 2 V k I F R 5 c G U y L n t T Z W 5 k a W 5 n I E R p c 3 R y a W N 0 I C U g L D E 1 f S Z x d W 9 0 O y w m c X V v d D t T Z W N 0 a W 9 u M S 9 T c G x p d C B D Y W x j L 0 F k Z G V k I E N 1 c 3 R v b T M u e 1 N 1 b S B v Z i B j a G F y d G V y I H R v d G F s I H N 0 d W R l b n R z I C s g U 2 V u Z G l u Z y B 0 b 3 R h b C B z d H V k Z W 5 0 c y w x N 3 0 m c X V v d D s s J n F 1 b 3 Q 7 U 2 V j d G l v b j E v U 3 B s a X Q g Q 2 F s Y y 9 D a G F u Z 2 V k I F R 5 c G U z L n t T a G F y Z S B v Z i B U b 3 R h b C B F b n J v b G x t Z W 5 0 L D E 4 f S Z x d W 9 0 O y w m c X V v d D t T Z W N 0 a W 9 u M S 9 T c G x p d C B D Y W x j L 0 N o Y W 5 n Z W Q g V H l w Z T Q u e 1 N l b m R p b m c g U 2 h h c m U g b 2 Y g V G 9 0 Y W w g Z W 5 y b 2 x s b W V u d C w x O X 0 m c X V v d D t d L C Z x d W 9 0 O 0 N v b H V t b k N v d W 5 0 J n F 1 b 3 Q 7 O j E 5 L C Z x d W 9 0 O 0 t l e U N v b H V t b k 5 h b W V z J n F 1 b 3 Q 7 O l t d L C Z x d W 9 0 O 0 N v b H V t b k l k Z W 5 0 a X R p Z X M m c X V v d D s 6 W y Z x d W 9 0 O 1 N l Y 3 R p b 2 4 x L 1 N w b G l 0 I E N h b G M v Q 2 h h b m d l Z C B U e X B l L n t D Q 0 R E R C w w f S Z x d W 9 0 O y w m c X V v d D t T Z W N 0 a W 9 u M S 9 D a G F y d G V y X 1 R y a W J h b F N l b m R p b m c g R G l z d H J p Y 3 R z L 0 N o Y W 5 n Z W Q g V H l w Z S 5 7 Q 2 h h c n R l c i 9 U c m l i Y W w g L D F 9 J n F 1 b 3 Q 7 L C Z x d W 9 0 O 1 N l Y 3 R p b 2 4 x L 0 N o Y X J 0 Z X J f V H J p Y m F s U 2 V u Z G l u Z y B E a X N 0 c m l j d H M v Q 2 h h b m d l Z C B U e X B l L n t T Z W 5 k a W 5 n I E R p c 3 R y a W N 0 L D J 9 J n F 1 b 3 Q 7 L C Z x d W 9 0 O 1 N l Y 3 R p b 2 4 x L 0 N o Y X J 0 Z X J f V H J p Y m F s U 2 V u Z G l u Z y B E a X N 0 c m l j d H M v Q 2 h h b m d l Z C B U e X B l L n t T Z W 5 k a W 5 n I E R p c 3 R y a W N 0 I E N v Z G U s M 3 0 m c X V v d D s s J n F 1 b 3 Q 7 U 2 V j d G l v b j E v Q 2 h h c n R l c l 9 U c m l i Y W x T Z W 5 k a W 5 n I E R p c 3 R y a W N 0 c y 9 D a G F u Z 2 V k I F R 5 c G U u e 0 x F Q U l E L D R 9 J n F 1 b 3 Q 7 L C Z x d W 9 0 O 1 N l Y 3 R p b 2 4 x L 0 N o Y X J 0 Z X J f V H J p Y m F s U 2 V u Z G l u Z y B E a X N 0 c m l j d H M v U H J v b W 9 0 Z W Q g S G V h Z G V y c y 5 7 S X N O Z X c s N X 0 m c X V v d D s s J n F 1 b 3 Q 7 U 2 V j d G l v b j E v Q 2 h h c n R l c l 9 U c m l i Y W x T Z W 5 k a W 5 n I E R p c 3 R y a W N 0 c y 9 Q c m 9 t b 3 R l Z C B I Z W F k Z X J z L n t J c 0 V 4 c G F u Z G V k L D Z 9 J n F 1 b 3 Q 7 L C Z x d W 9 0 O 1 N l Y 3 R p b 2 4 x L 0 Z S U E w v Q 2 h h b m d l Z C B U e X B l L n t U b 3 R h b F N 0 d W R l b n R z L D N 9 J n F 1 b 3 Q 7 L C Z x d W 9 0 O 1 N l Y 3 R p b 2 4 x L 0 Z S U E w v Q 2 h h b m d l Z C B U e X B l L n t U b 3 R h b F N 0 d W R l b n R z S W 5 Q b 3 Z l c n R 5 L D R 9 J n F 1 b 3 Q 7 L C Z x d W 9 0 O 1 N l Y 3 R p b 2 4 x L 0 Z S U E w v Q 2 h h b m d l Z C B U e X B l L n t U b 3 R h b F N 0 d W R l b n R z L D N 9 J n F 1 b 3 Q 7 L C Z x d W 9 0 O 1 N l Y 3 R p b 2 4 x L 0 Z S U E w v Q 2 h h b m d l Z C B U e X B l L n t U b 3 R h b F N 0 d W R l b n R z S W 5 Q b 3 Z l c n R 5 L D R 9 J n F 1 b 3 Q 7 L C Z x d W 9 0 O 1 N l Y 3 R p b 2 4 x L 0 N D R E R E X F w v T E V B a W Q v U 2 9 1 c m N l L n t O Q 0 V T T E V B T n V t Y m V y L D N 9 J n F 1 b 3 Q 7 L C Z x d W 9 0 O 1 N l Y 3 R p b 2 4 x L 3 N 1 b W l m L 0 d y b 3 V w Z W Q g U m 9 3 c y 5 7 U 3 V t V G 9 0 Y W x T d H V k Z W 5 0 c y w y f S Z x d W 9 0 O y w m c X V v d D t T Z W N 0 a W 9 u M S 9 T c G x p d C B D Y W x j L 0 F k Z G V k I E N 1 c 3 R v b S 5 7 U 3 V t I G 9 m I E N o Y X J 0 Z X J z I F J G U E w r U 2 V u Z G l u Z y B S R l B M L D E 0 f S Z x d W 9 0 O y w m c X V v d D t T Z W N 0 a W 9 u M S 9 T c G x p d C B D Y W x j L 0 N o Y W 5 n Z W Q g V H l w Z T E u e y V P Z i B S R l B M I G l u I H N l b m R p b m c g Z G l z d H J p Y 3 Q s M T V 9 J n F 1 b 3 Q 7 L C Z x d W 9 0 O 1 N l Y 3 R p b 2 4 x L 1 N w b G l 0 I E N h b G M v Q 2 h h b m d l Z C B U e X B l M i 5 7 U 2 V u Z G l u Z y B E a X N 0 c m l j d C A l I C w x N X 0 m c X V v d D s s J n F 1 b 3 Q 7 U 2 V j d G l v b j E v U 3 B s a X Q g Q 2 F s Y y 9 B Z G R l Z C B D d X N 0 b 2 0 z L n t T d W 0 g b 2 Y g Y 2 h h c n R l c i B 0 b 3 R h b C B z d H V k Z W 5 0 c y A r I F N l b m R p b m c g d G 9 0 Y W w g c 3 R 1 Z G V u d H M s M T d 9 J n F 1 b 3 Q 7 L C Z x d W 9 0 O 1 N l Y 3 R p b 2 4 x L 1 N w b G l 0 I E N h b G M v Q 2 h h b m d l Z C B U e X B l M y 5 7 U 2 h h c m U g b 2 Y g V G 9 0 Y W w g R W 5 y b 2 x s b W V u d C w x O H 0 m c X V v d D s s J n F 1 b 3 Q 7 U 2 V j d G l v b j E v U 3 B s a X Q g Q 2 F s Y y 9 D a G F u Z 2 V k I F R 5 c G U 0 L n t T Z W 5 k a W 5 n I F N o Y X J l I G 9 m I F R v d G F s I G V u c m 9 s b G 1 l b n Q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c G x p d C U y M E N h b G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0 V 4 c G F u Z G V k J T I w Q 0 N E R E Q l M k Z M R U F p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1 J l b 3 J k Z X J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k 9 u b H k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k 9 u b H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T 2 5 s e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E d X B s a W N h d G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U m V u Y W 1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Q W x s b 2 N h d G l v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R d W V y e U l E I i B W Y W x 1 Z T 0 i c 2 R m Z D Y z Z D I 1 L W Y y N T c t N D V j N C 0 4 M D N k L T M 3 Y z c 2 Y 2 R h Z T l k O S I g L z 4 8 R W 5 0 c n k g V H l w Z T 0 i U X V l c n l H c m 9 1 c E l E I i B W Y W x 1 Z T 0 i c 2 M z O W Z i M T h m L W E 1 N z c t N D A 4 N y 1 i Z m M 3 L W E x N W Z h Y T g 0 O T E y N C I g L z 4 8 R W 5 0 c n k g V H l w Z T 0 i U m V j b 3 Z l c n l U Y X J n Z X R D b 2 x 1 b W 4 i I F Z h b H V l P S J s M S I g L z 4 8 R W 5 0 c n k g V H l w Z T 0 i U m V j b 3 Z l c n l U Y X J n Z X R T a G V l d C I g V m F s d W U 9 I n N E T 0 U g Q W x s b 2 N h d G l v b i I g L z 4 8 R W 5 0 c n k g V H l w Z T 0 i R m l s b F R v R G F 0 Y U 1 v Z G V s R W 5 h Y m x l Z C I g V m F s d W U 9 I m w x I i A v P j x F b n R y e S B U e X B l P S J S Z W N v d m V y e V R h c m d l d F J v d y I g V m F s d W U 9 I m w x I i A v P j x F b n R y e S B U e X B l P S J G a W x s T 2 J q Z W N 0 V H l w Z S I g V m F s d W U 9 I n N D b 2 5 u Z W N 0 a W 9 u T 2 5 s e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k 5 I i A v P j x F b n R y e S B U e X B l P S J G a W x s T G F z d F V w Z G F 0 Z W Q i I F Z h b H V l P S J k M j A y N C 0 w N C 0 y N l Q x N T o w M j o y O S 4 3 N z c x N z k 2 W i I g L z 4 8 R W 5 0 c n k g V H l w Z T 0 i R m l s b E N v b H V t b l R 5 c G V z I i B W Y W x 1 Z T 0 i c 0 J n W U Z C U V V G Q l F V R k J R V U Z C U V U 9 I i A v P j x F b n R y e S B U e X B l P S J G a W x s Q 2 9 s d W 1 u T m F t Z X M i I F Z h b H V l P S J z W y Z x d W 9 0 O 0 x F Q W l k J n F 1 b 3 Q 7 L C Z x d W 9 0 O 0 x F Q U 5 h b W U m c X V v d D s s J n F 1 b 3 Q 7 Q k F T S U M g S E 9 M R C B I Y X J t b G V z c y B C Y X N l J n F 1 b 3 Q 7 L C Z x d W 9 0 O 0 N P T k M u I E h P T E Q g S G F y b W x l c 3 M g Q m F z Z S Z x d W 9 0 O y w m c X V v d D t U Q V J H R V R F R C B I T 0 x E I E h h c m 1 s Z X N z I E J h c 2 U m c X V v d D s s J n F 1 b 3 Q 7 R U Z J R y B I T 0 x E I E h h c m 1 s Z X N z I E J h c 2 U m c X V v d D s s J n F 1 b 3 Q 7 V E 9 U Q U w g S E 9 M R C B I Y X J t b G V z c y B C Y X N l J n F 1 b 3 Q 7 L C Z x d W 9 0 O 0 J h c 2 l j I E F s b G 9 j Y X R p b 2 4 m c X V v d D s s J n F 1 b 3 Q 7 Q 2 9 u Y y 4 g Q W x s b 2 N h d G l v b i Z x d W 9 0 O y w m c X V v d D t U Y X J n Z X R l Z C B B b G x v Y 2 F 0 a W 9 u J n F 1 b 3 Q 7 L C Z x d W 9 0 O 0 V G S U c g Q W x s b 2 N h d G l v b i Z x d W 9 0 O y w m c X V v d D t U a X R s Z S B J I E F s b G 9 j Y X R p b 2 4 m c X V v d D s s J n F 1 b 3 Q 7 U G V y Y 2 V u d G F n Z S B v Z i B I b 2 x k I E h h c m 1 s Z X N z I E J h c 2 U m c X V v d D s s J n F 1 b 3 Q 7 U m V z a W R l b n Q g U G 9 w L i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R S B B b G x v Y 2 F 0 a W 9 u L 0 N o Y W 5 n Z W Q g V H l w Z S 5 7 T E V B a W Q s M H 0 m c X V v d D s s J n F 1 b 3 Q 7 U 2 V j d G l v b j E v R E 9 F I E F s b G 9 j Y X R p b 2 4 v Q 2 h h b m d l Z C B U e X B l L n t M R U F O Y W 1 l L D F 9 J n F 1 b 3 Q 7 L C Z x d W 9 0 O 1 N l Y 3 R p b 2 4 x L 0 R P R S B B b G x v Y 2 F 0 a W 9 u L 0 N o Y W 5 n Z W Q g V H l w Z S 5 7 Q k F T S U M g S E 9 M R C B I Y X J t b G V z c y B C Y X N l L D J 9 J n F 1 b 3 Q 7 L C Z x d W 9 0 O 1 N l Y 3 R p b 2 4 x L 0 R P R S B B b G x v Y 2 F 0 a W 9 u L 0 N o Y W 5 n Z W Q g V H l w Z S 5 7 Q 0 9 O Q y 4 g S E 9 M R C B I Y X J t b G V z c y B C Y X N l L D N 9 J n F 1 b 3 Q 7 L C Z x d W 9 0 O 1 N l Y 3 R p b 2 4 x L 0 R P R S B B b G x v Y 2 F 0 a W 9 u L 0 N o Y W 5 n Z W Q g V H l w Z S 5 7 V E F S R 0 V U R U Q g S E 9 M R C B I Y X J t b G V z c y B C Y X N l L D R 9 J n F 1 b 3 Q 7 L C Z x d W 9 0 O 1 N l Y 3 R p b 2 4 x L 0 R P R S B B b G x v Y 2 F 0 a W 9 u L 0 N o Y W 5 n Z W Q g V H l w Z S 5 7 R U Z J R y B I T 0 x E I E h h c m 1 s Z X N z I E J h c 2 U s N X 0 m c X V v d D s s J n F 1 b 3 Q 7 U 2 V j d G l v b j E v R E 9 F I E F s b G 9 j Y X R p b 2 4 v Q 2 h h b m d l Z C B U e X B l L n t U T 1 R B T C B I T 0 x E I E h h c m 1 s Z X N z I E J h c 2 U s N n 0 m c X V v d D s s J n F 1 b 3 Q 7 U 2 V j d G l v b j E v R E 9 F I E F s b G 9 j Y X R p b 2 4 v Q 2 h h b m d l Z C B U e X B l L n t C Y X N p Y y B B b G x v Y 2 F 0 a W 9 u L D d 9 J n F 1 b 3 Q 7 L C Z x d W 9 0 O 1 N l Y 3 R p b 2 4 x L 0 R P R S B B b G x v Y 2 F 0 a W 9 u L 0 N o Y W 5 n Z W Q g V H l w Z S 5 7 Q 2 9 u Y y 4 g Q W x s b 2 N h d G l v b i w 4 f S Z x d W 9 0 O y w m c X V v d D t T Z W N 0 a W 9 u M S 9 E T 0 U g Q W x s b 2 N h d G l v b i 9 D a G F u Z 2 V k I F R 5 c G U u e 1 R h c m d l d G V k I E F s b G 9 j Y X R p b 2 4 s O X 0 m c X V v d D s s J n F 1 b 3 Q 7 U 2 V j d G l v b j E v R E 9 F I E F s b G 9 j Y X R p b 2 4 v Q 2 h h b m d l Z C B U e X B l L n t F R k l H I E F s b G 9 j Y X R p b 2 4 s M T B 9 J n F 1 b 3 Q 7 L C Z x d W 9 0 O 1 N l Y 3 R p b 2 4 x L 0 R P R S B B b G x v Y 2 F 0 a W 9 u L 0 N o Y W 5 n Z W Q g V H l w Z S 5 7 V G l 0 b G U g S S B B b G x v Y 2 F 0 a W 9 u L D E x f S Z x d W 9 0 O y w m c X V v d D t T Z W N 0 a W 9 u M S 9 E T 0 U g Q W x s b 2 N h d G l v b i 9 D a G F u Z 2 V k I F R 5 c G U u e 1 B l c m N l b n R h Z 2 U g b 2 Y g S G 9 s Z C B I Y X J t b G V z c y B C Y X N l L D E y f S Z x d W 9 0 O y w m c X V v d D t T Z W N 0 a W 9 u M S 9 E T 0 U g Q W x s b 2 N h d G l v b i 9 D a G F u Z 2 V k I F R 5 c G U u e 1 J l c 2 l k Z W 5 0 I F B v c C 4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E T 0 U g Q W x s b 2 N h d G l v b i 9 D a G F u Z 2 V k I F R 5 c G U u e 0 x F Q W l k L D B 9 J n F 1 b 3 Q 7 L C Z x d W 9 0 O 1 N l Y 3 R p b 2 4 x L 0 R P R S B B b G x v Y 2 F 0 a W 9 u L 0 N o Y W 5 n Z W Q g V H l w Z S 5 7 T E V B T m F t Z S w x f S Z x d W 9 0 O y w m c X V v d D t T Z W N 0 a W 9 u M S 9 E T 0 U g Q W x s b 2 N h d G l v b i 9 D a G F u Z 2 V k I F R 5 c G U u e 0 J B U 0 l D I E h P T E Q g S G F y b W x l c 3 M g Q m F z Z S w y f S Z x d W 9 0 O y w m c X V v d D t T Z W N 0 a W 9 u M S 9 E T 0 U g Q W x s b 2 N h d G l v b i 9 D a G F u Z 2 V k I F R 5 c G U u e 0 N P T k M u I E h P T E Q g S G F y b W x l c 3 M g Q m F z Z S w z f S Z x d W 9 0 O y w m c X V v d D t T Z W N 0 a W 9 u M S 9 E T 0 U g Q W x s b 2 N h d G l v b i 9 D a G F u Z 2 V k I F R 5 c G U u e 1 R B U k d F V E V E I E h P T E Q g S G F y b W x l c 3 M g Q m F z Z S w 0 f S Z x d W 9 0 O y w m c X V v d D t T Z W N 0 a W 9 u M S 9 E T 0 U g Q W x s b 2 N h d G l v b i 9 D a G F u Z 2 V k I F R 5 c G U u e 0 V G S U c g S E 9 M R C B I Y X J t b G V z c y B C Y X N l L D V 9 J n F 1 b 3 Q 7 L C Z x d W 9 0 O 1 N l Y 3 R p b 2 4 x L 0 R P R S B B b G x v Y 2 F 0 a W 9 u L 0 N o Y W 5 n Z W Q g V H l w Z S 5 7 V E 9 U Q U w g S E 9 M R C B I Y X J t b G V z c y B C Y X N l L D Z 9 J n F 1 b 3 Q 7 L C Z x d W 9 0 O 1 N l Y 3 R p b 2 4 x L 0 R P R S B B b G x v Y 2 F 0 a W 9 u L 0 N o Y W 5 n Z W Q g V H l w Z S 5 7 Q m F z a W M g Q W x s b 2 N h d G l v b i w 3 f S Z x d W 9 0 O y w m c X V v d D t T Z W N 0 a W 9 u M S 9 E T 0 U g Q W x s b 2 N h d G l v b i 9 D a G F u Z 2 V k I F R 5 c G U u e 0 N v b m M u I E F s b G 9 j Y X R p b 2 4 s O H 0 m c X V v d D s s J n F 1 b 3 Q 7 U 2 V j d G l v b j E v R E 9 F I E F s b G 9 j Y X R p b 2 4 v Q 2 h h b m d l Z C B U e X B l L n t U Y X J n Z X R l Z C B B b G x v Y 2 F 0 a W 9 u L D l 9 J n F 1 b 3 Q 7 L C Z x d W 9 0 O 1 N l Y 3 R p b 2 4 x L 0 R P R S B B b G x v Y 2 F 0 a W 9 u L 0 N o Y W 5 n Z W Q g V H l w Z S 5 7 R U Z J R y B B b G x v Y 2 F 0 a W 9 u L D E w f S Z x d W 9 0 O y w m c X V v d D t T Z W N 0 a W 9 u M S 9 E T 0 U g Q W x s b 2 N h d G l v b i 9 D a G F u Z 2 V k I F R 5 c G U u e 1 R p d G x l I E k g Q W x s b 2 N h d G l v b i w x M X 0 m c X V v d D s s J n F 1 b 3 Q 7 U 2 V j d G l v b j E v R E 9 F I E F s b G 9 j Y X R p b 2 4 v Q 2 h h b m d l Z C B U e X B l L n t Q Z X J j Z W 5 0 Y W d l I G 9 m I E h v b G Q g S G F y b W x l c 3 M g Q m F z Z S w x M n 0 m c X V v d D s s J n F 1 b 3 Q 7 U 2 V j d G l v b j E v R E 9 F I E F s b G 9 j Y X R p b 2 4 v Q 2 h h b m d l Z C B U e X B l L n t S Z X N p Z G V u d C B Q b 3 A u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E 9 F J T I w Q W x s b 2 N h d G l v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B b G x v Y 2 F 0 a W 9 u L 0 F s b G 9 j Y X R p b 2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G b 3 J t d W x h J T I w Y 2 9 1 b n R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N j M x Z G Q 3 N 2 U t Z T g y N S 0 0 Z T B i L W F i Y z I t N j N l N z k 4 N T c z Z j E 1 I i A v P j x F b n R y e S B U e X B l P S J R d W V y e U d y b 3 V w S U Q i I F Z h b H V l P S J z Y z M 5 Z m I x O G Y t Y T U 3 N y 0 0 M D g 3 L W J m Y z c t Y T E 1 Z m F h O D Q 5 M T I 0 I i A v P j x F b n R y e S B U e X B l P S J G a W x s V G 9 E Y X R h T W 9 k Z W x F b m F i b G V k I i B W Y W x 1 Z T 0 i b D E i I C 8 + P E V u d H J 5 I F R 5 c G U 9 I k Z p b G x P Y m p l Y 3 R U e X B l I i B W Y W x 1 Z T 0 i c 0 N v b m 5 l Y 3 R p b 2 5 P b m x 5 I i A v P j x F b n R y e S B U e X B l P S J S Z W N v d m V y e V R h c m d l d F N o Z W V 0 I i B W Y W x 1 Z T 0 i c 0 R P R S B G b 3 J t d W x h I G N v d W 5 0 c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k 5 I i A v P j x F b n R y e S B U e X B l P S J G a W x s T G F z d F V w Z G F 0 Z W Q i I F Z h b H V l P S J k M j A y N C 0 w N C 0 y N l Q x N T o w M j o y O S 4 3 O D c y N T A w W i I g L z 4 8 R W 5 0 c n k g V H l w Z T 0 i R m l s b E N v b H V t b l R 5 c G V z I i B W Y W x 1 Z T 0 i c 0 J n W U Z C U V V G Q l F V R k J R V U Z C U V V G I i A v P j x F b n R y e S B U e X B l P S J G a W x s Q 2 9 s d W 1 u T m F t Z X M i I F Z h b H V l P S J z W y Z x d W 9 0 O 0 x F Q W l k J n F 1 b 3 Q 7 L C Z x d W 9 0 O 0 x F Q S Z x d W 9 0 O y w m c X V v d D t Q T 1 Z F U l R Z J n F 1 b 3 Q 7 L C Z x d W 9 0 O 0 5 F R y 4 m c X V v d D s s J n F 1 b 3 Q 7 R E V M L i Z x d W 9 0 O y w m c X V v d D t G T 1 N U R V I m c X V v d D s s J n F 1 b 3 Q 7 V E F O R i Z x d W 9 0 O y w m c X V v d D t U T 1 R B T C B G T 1 J N V U x B I E N P V U 5 U J n F 1 b 3 Q 7 L C Z x d W 9 0 O z U t M T c g U E 9 Q L i Z x d W 9 0 O y w m c X V v d D t Q R V J D R U 5 U I E Z P U k 1 V T E E m c X V v d D s s J n F 1 b 3 Q 7 Q k F T S U M g R U x J R 0 l C T E V T J n F 1 b 3 Q 7 L C Z x d W 9 0 O 0 N P T k M u I E V M S U d J Q k x F U y Z x d W 9 0 O y w m c X V v d D t U Q V J H R V R F R C B c d T A w M j Y g R U Z J R y B F T E l H S U J M R V M m c X V v d D s s J n F 1 b 3 Q 7 Q 0 9 V T l R T I F R B U k d F V E V E J n F 1 b 3 Q 7 L C Z x d W 9 0 O 0 N P V U 5 U U y B F R k l H J n F 1 b 3 Q 7 X S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9 F I E Z v c m 1 1 b G E g Y 2 9 1 b n R z L 0 N o Y W 5 n Z W Q g V H l w Z T I u e 0 x F Q W l k L D B 9 J n F 1 b 3 Q 7 L C Z x d W 9 0 O 1 N l Y 3 R p b 2 4 x L 0 R P R S B G b 3 J t d W x h I G N v d W 5 0 c y 9 D a G F u Z 2 V k I F R 5 c G U u e 0 N v b H V t b j U s N H 0 m c X V v d D s s J n F 1 b 3 Q 7 U 2 V j d G l v b j E v R E 9 F I E Z v c m 1 1 b G E g Y 2 9 1 b n R z L 0 N o Y W 5 n Z W Q g V H l w Z T I u e 1 B P V k V S V F k s M n 0 m c X V v d D s s J n F 1 b 3 Q 7 U 2 V j d G l v b j E v R E 9 F I E Z v c m 1 1 b G E g Y 2 9 1 b n R z L 0 N o Y W 5 n Z W Q g V H l w Z T I u e 0 5 F R y 4 s M 3 0 m c X V v d D s s J n F 1 b 3 Q 7 U 2 V j d G l v b j E v R E 9 F I E Z v c m 1 1 b G E g Y 2 9 1 b n R z L 0 N o Y W 5 n Z W Q g V H l w Z T I u e 0 R F T C 4 s N H 0 m c X V v d D s s J n F 1 b 3 Q 7 U 2 V j d G l v b j E v R E 9 F I E Z v c m 1 1 b G E g Y 2 9 1 b n R z L 0 N o Y W 5 n Z W Q g V H l w Z T I u e 0 Z P U 1 R F U i w 1 f S Z x d W 9 0 O y w m c X V v d D t T Z W N 0 a W 9 u M S 9 E T 0 U g R m 9 y b X V s Y S B j b 3 V u d H M v Q 2 h h b m d l Z C B U e X B l M i 5 7 V E F O R i w 2 f S Z x d W 9 0 O y w m c X V v d D t T Z W N 0 a W 9 u M S 9 E T 0 U g R m 9 y b X V s Y S B j b 3 V u d H M v Q 2 h h b m d l Z C B U e X B l M i 5 7 V E 9 U Q U w g R k 9 S T V V M Q S B D T 1 V O V C w 3 f S Z x d W 9 0 O y w m c X V v d D t T Z W N 0 a W 9 u M S 9 E T 0 U g R m 9 y b X V s Y S B j b 3 V u d H M v Q 2 h h b m d l Z C B U e X B l M i 5 7 N S 0 x N y B Q T 1 A u L D h 9 J n F 1 b 3 Q 7 L C Z x d W 9 0 O 1 N l Y 3 R p b 2 4 x L 0 R P R S B G b 3 J t d W x h I G N v d W 5 0 c y 9 D a G F u Z 2 V k I F R 5 c G U y L n t Q R V J D R U 5 U I E Z P U k 1 V T E E s O X 0 m c X V v d D s s J n F 1 b 3 Q 7 U 2 V j d G l v b j E v R E 9 F I E Z v c m 1 1 b G E g Y 2 9 1 b n R z L 0 N o Y W 5 n Z W Q g V H l w Z T I u e 0 J B U 0 l D I E V M S U d J Q k x F U y w x M H 0 m c X V v d D s s J n F 1 b 3 Q 7 U 2 V j d G l v b j E v R E 9 F I E Z v c m 1 1 b G E g Y 2 9 1 b n R z L 0 N o Y W 5 n Z W Q g V H l w Z T I u e 0 N P T k M u I E V M S U d J Q k x F U y w x M X 0 m c X V v d D s s J n F 1 b 3 Q 7 U 2 V j d G l v b j E v R E 9 F I E Z v c m 1 1 b G E g Y 2 9 1 b n R z L 0 N o Y W 5 n Z W Q g V H l w Z T I u e 1 R B U k d F V E V E I F x 1 M D A y N i B F R k l H I E V M S U d J Q k x F U y w x M n 0 m c X V v d D s s J n F 1 b 3 Q 7 U 2 V j d G l v b j E v R E 9 F I E Z v c m 1 1 b G E g Y 2 9 1 b n R z L 0 N o Y W 5 n Z W Q g V H l w Z T I u e 0 N P V U 5 U U y B U Q V J H R V R F R C w x M 3 0 m c X V v d D s s J n F 1 b 3 Q 7 U 2 V j d G l v b j E v R E 9 F I E Z v c m 1 1 b G E g Y 2 9 1 b n R z L 0 N o Y W 5 n Z W Q g V H l w Z T I u e 0 N P V U 5 U U y B F R k l H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R E 9 F I E Z v c m 1 1 b G E g Y 2 9 1 b n R z L 0 N o Y W 5 n Z W Q g V H l w Z T I u e 0 x F Q W l k L D B 9 J n F 1 b 3 Q 7 L C Z x d W 9 0 O 1 N l Y 3 R p b 2 4 x L 0 R P R S B G b 3 J t d W x h I G N v d W 5 0 c y 9 D a G F u Z 2 V k I F R 5 c G U u e 0 N v b H V t b j U s N H 0 m c X V v d D s s J n F 1 b 3 Q 7 U 2 V j d G l v b j E v R E 9 F I E Z v c m 1 1 b G E g Y 2 9 1 b n R z L 0 N o Y W 5 n Z W Q g V H l w Z T I u e 1 B P V k V S V F k s M n 0 m c X V v d D s s J n F 1 b 3 Q 7 U 2 V j d G l v b j E v R E 9 F I E Z v c m 1 1 b G E g Y 2 9 1 b n R z L 0 N o Y W 5 n Z W Q g V H l w Z T I u e 0 5 F R y 4 s M 3 0 m c X V v d D s s J n F 1 b 3 Q 7 U 2 V j d G l v b j E v R E 9 F I E Z v c m 1 1 b G E g Y 2 9 1 b n R z L 0 N o Y W 5 n Z W Q g V H l w Z T I u e 0 R F T C 4 s N H 0 m c X V v d D s s J n F 1 b 3 Q 7 U 2 V j d G l v b j E v R E 9 F I E Z v c m 1 1 b G E g Y 2 9 1 b n R z L 0 N o Y W 5 n Z W Q g V H l w Z T I u e 0 Z P U 1 R F U i w 1 f S Z x d W 9 0 O y w m c X V v d D t T Z W N 0 a W 9 u M S 9 E T 0 U g R m 9 y b X V s Y S B j b 3 V u d H M v Q 2 h h b m d l Z C B U e X B l M i 5 7 V E F O R i w 2 f S Z x d W 9 0 O y w m c X V v d D t T Z W N 0 a W 9 u M S 9 E T 0 U g R m 9 y b X V s Y S B j b 3 V u d H M v Q 2 h h b m d l Z C B U e X B l M i 5 7 V E 9 U Q U w g R k 9 S T V V M Q S B D T 1 V O V C w 3 f S Z x d W 9 0 O y w m c X V v d D t T Z W N 0 a W 9 u M S 9 E T 0 U g R m 9 y b X V s Y S B j b 3 V u d H M v Q 2 h h b m d l Z C B U e X B l M i 5 7 N S 0 x N y B Q T 1 A u L D h 9 J n F 1 b 3 Q 7 L C Z x d W 9 0 O 1 N l Y 3 R p b 2 4 x L 0 R P R S B G b 3 J t d W x h I G N v d W 5 0 c y 9 D a G F u Z 2 V k I F R 5 c G U y L n t Q R V J D R U 5 U I E Z P U k 1 V T E E s O X 0 m c X V v d D s s J n F 1 b 3 Q 7 U 2 V j d G l v b j E v R E 9 F I E Z v c m 1 1 b G E g Y 2 9 1 b n R z L 0 N o Y W 5 n Z W Q g V H l w Z T I u e 0 J B U 0 l D I E V M S U d J Q k x F U y w x M H 0 m c X V v d D s s J n F 1 b 3 Q 7 U 2 V j d G l v b j E v R E 9 F I E Z v c m 1 1 b G E g Y 2 9 1 b n R z L 0 N o Y W 5 n Z W Q g V H l w Z T I u e 0 N P T k M u I E V M S U d J Q k x F U y w x M X 0 m c X V v d D s s J n F 1 b 3 Q 7 U 2 V j d G l v b j E v R E 9 F I E Z v c m 1 1 b G E g Y 2 9 1 b n R z L 0 N o Y W 5 n Z W Q g V H l w Z T I u e 1 R B U k d F V E V E I F x 1 M D A y N i B F R k l H I E V M S U d J Q k x F U y w x M n 0 m c X V v d D s s J n F 1 b 3 Q 7 U 2 V j d G l v b j E v R E 9 F I E Z v c m 1 1 b G E g Y 2 9 1 b n R z L 0 N o Y W 5 n Z W Q g V H l w Z T I u e 0 N P V U 5 U U y B U Q V J H R V R F R C w x M 3 0 m c X V v d D s s J n F 1 b 3 Q 7 U 2 V j d G l v b j E v R E 9 F I E Z v c m 1 1 b G E g Y 2 9 1 b n R z L 0 N o Y W 5 n Z W Q g V H l w Z T I u e 0 N P V U 5 U U y B F R k l H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E 9 F J T I w R m 9 y b X V s Y S U y M G N v d W 5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G b 3 J t d W x h J T I w Y 2 9 1 b n R z L 0 Z v c m 1 1 b G E l M j B j b 3 V u d H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G b 3 J t d W x h J T I w Y 2 9 1 b n R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R m 9 y b X V s Y S U y M G N v d W 5 0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Z v c m 1 1 b G E l M j B j b 3 V u d H M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Y W R q d X N 0 Z W Q l M j B h b G x v Y 2 F 0 a W 9 u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i Y z A 5 N G R k L T A 1 Z j I t N G E y Y i 1 h Y T M z L T J l Z W J m N z J h Z D N h M C I g L z 4 8 R W 5 0 c n k g V H l w Z T 0 i U X V l c n l H c m 9 1 c E l E I i B W Y W x 1 Z T 0 i c 2 M z O W Z i M T h m L W E 1 N z c t N D A 4 N y 1 i Z m M 3 L W E x N W Z h Y T g 0 O T E y N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E 3 I i A v P j x F b n R y e S B U e X B l P S J G a W x s T G F z d F V w Z G F 0 Z W Q i I F Z h b H V l P S J k M j A y N C 0 w N C 0 y N l Q x N T o w M j o y O S 4 3 O D k y N T Q y W i I g L z 4 8 R W 5 0 c n k g V H l w Z T 0 i R m l s b E N v b H V t b l R 5 c G V z I i B W Y W x 1 Z T 0 i c 0 J n W U Z C U V V G Q l F V R k J R V U Y i I C 8 + P E V u d H J 5 I F R 5 c G U 9 I k Z p b G x D b 2 x 1 b W 5 O Y W 1 l c y I g V m F s d W U 9 I n N b J n F 1 b 3 Q 7 T E V B S U Q m c X V v d D s s J n F 1 b 3 Q 7 T E V B T k F N R S Z x d W 9 0 O y w m c X V v d D t C Q V N J Q y B I b 2 x k I E h h c m 1 s Z X N z I G J h c 2 U g K F B y a W 9 y I H l l Y X I g Y W R q d X N 0 Z W Q g Y W x s b 2 M p J n F 1 b 3 Q 7 L C Z x d W 9 0 O 0 N v b m M g S G 9 s Z C B I Y X J t b G V z c y B C Y X N l I C g g N C B 5 Z W F y I G x v b 2 t i Y W N r K S Z x d W 9 0 O y w m c X V v d D t U Q V J H R V R F R C B I b 2 x k I E h h c m 1 s Z X N z I E J h c 2 U g K F B y a W 9 y I F l l Y X I g Y W R q d X N 0 Z W Q g Y W x s b 2 M p J n F 1 b 3 Q 7 L C Z x d W 9 0 O 0 V G S U c g S G 9 s Z C B I Y X J t b G V z c y B i Y X N l I C h Q c m l v c i B Z Z W F y I G F k a n V z d G V k I G F s b G 9 j K S Z x d W 9 0 O y w m c X V v d D t U b 3 R h b C B I b 2 x k I E h h c m 1 s Z X N z I G J h c 2 U m c X V v d D s s J n F 1 b 3 Q 7 Q W R q I E J h c 2 l j I E F s b G 9 j Y X R p b 2 4 m c X V v d D s s J n F 1 b 3 Q 7 Q W R q I E N v b m M u I E F s b G 9 j Y X R p b 2 4 m c X V v d D s s J n F 1 b 3 Q 7 Q W R q I F R h c m d l d G V k I G F s b G 9 j Y X R p b 2 4 m c X V v d D s s J n F 1 b 3 Q 7 Q W R q I E V G S U c g Q W x s b 2 N h d G l v b i Z x d W 9 0 O y w m c X V v d D t B Z G o g V G 9 0 Y W w g V G l 0 b G U g S S B B b G x v Y 2 F 0 a W 9 u J n F 1 b 3 Q 7 X S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H J p b 3 I g W W V h c i B h Z G p 1 c 3 R l Z C B h b G x v Y 2 F 0 a W 9 u c y 9 D a G F u Z 2 V k I F R 5 c G U u e 0 x F Q U l E L D B 9 J n F 1 b 3 Q 7 L C Z x d W 9 0 O 1 N l Y 3 R p b 2 4 x L 1 B y a W 9 y I F l l Y X I g Y W R q d X N 0 Z W Q g Y W x s b 2 N h d G l v b n M v Q 2 h h b m d l Z C B U e X B l L n t M R U F O Q U 1 F L D F 9 J n F 1 b 3 Q 7 L C Z x d W 9 0 O 1 N l Y 3 R p b 2 4 x L 1 B y a W 9 y I F l l Y X I g Y W R q d X N 0 Z W Q g Y W x s b 2 N h d G l v b n M v Q 2 h h b m d l Z C B U e X B l L n t C Q V N J Q y B I b 2 x k I E h h c m 1 s Z X N z I G J h c 2 U g K F B y a W 9 y I H l l Y X I g Y W R q d X N 0 Z W Q g Y W x s b 2 M p L D J 9 J n F 1 b 3 Q 7 L C Z x d W 9 0 O 1 N l Y 3 R p b 2 4 x L 1 B y a W 9 y I F l l Y X I g Y W R q d X N 0 Z W Q g Y W x s b 2 N h d G l v b n M v Q 2 h h b m d l Z C B U e X B l L n t D b 2 5 j I E h v b G Q g S G F y b W x l c 3 M g Q m F z Z S A o I D Q g e W V h c i B s b 2 9 r Y m F j a y k s M 3 0 m c X V v d D s s J n F 1 b 3 Q 7 U 2 V j d G l v b j E v U H J p b 3 I g W W V h c i B h Z G p 1 c 3 R l Z C B h b G x v Y 2 F 0 a W 9 u c y 9 D a G F u Z 2 V k I F R 5 c G U u e 1 R B U k d F V E V E I E h v b G Q g S G F y b W x l c 3 M g Q m F z Z S A o U H J p b 3 I g W W V h c i B h Z G p 1 c 3 R l Z C B h b G x v Y y k s N H 0 m c X V v d D s s J n F 1 b 3 Q 7 U 2 V j d G l v b j E v U H J p b 3 I g W W V h c i B h Z G p 1 c 3 R l Z C B h b G x v Y 2 F 0 a W 9 u c y 9 D a G F u Z 2 V k I F R 5 c G U u e 0 V G S U c g S G 9 s Z C B I Y X J t b G V z c y B i Y X N l I C h Q c m l v c i B Z Z W F y I G F k a n V z d G V k I G F s b G 9 j K S w 1 f S Z x d W 9 0 O y w m c X V v d D t T Z W N 0 a W 9 u M S 9 Q c m l v c i B Z Z W F y I G F k a n V z d G V k I G F s b G 9 j Y X R p b 2 5 z L 0 N o Y W 5 n Z W Q g V H l w Z S 5 7 V G 9 0 Y W w g S G 9 s Z C B I Y X J t b G V z c y B i Y X N l L D Z 9 J n F 1 b 3 Q 7 L C Z x d W 9 0 O 1 N l Y 3 R p b 2 4 x L 1 B y a W 9 y I F l l Y X I g Y W R q d X N 0 Z W Q g Y W x s b 2 N h d G l v b n M v Q 2 h h b m d l Z C B U e X B l L n t B Z G o g Q m F z a W M g Q W x s b 2 N h d G l v b i w 3 f S Z x d W 9 0 O y w m c X V v d D t T Z W N 0 a W 9 u M S 9 Q c m l v c i B Z Z W F y I G F k a n V z d G V k I G F s b G 9 j Y X R p b 2 5 z L 0 N o Y W 5 n Z W Q g V H l w Z S 5 7 Q W R q I E N v b m M u I E F s b G 9 j Y X R p b 2 4 s O H 0 m c X V v d D s s J n F 1 b 3 Q 7 U 2 V j d G l v b j E v U H J p b 3 I g W W V h c i B h Z G p 1 c 3 R l Z C B h b G x v Y 2 F 0 a W 9 u c y 9 D a G F u Z 2 V k I F R 5 c G U u e 0 F k a i B U Y X J n Z X R l Z C B h b G x v Y 2 F 0 a W 9 u L D l 9 J n F 1 b 3 Q 7 L C Z x d W 9 0 O 1 N l Y 3 R p b 2 4 x L 1 B y a W 9 y I F l l Y X I g Y W R q d X N 0 Z W Q g Y W x s b 2 N h d G l v b n M v Q 2 h h b m d l Z C B U e X B l L n t B Z G o g R U Z J R y B B b G x v Y 2 F 0 a W 9 u L D E w f S Z x d W 9 0 O y w m c X V v d D t T Z W N 0 a W 9 u M S 9 Q c m l v c i B Z Z W F y I G F k a n V z d G V k I G F s b G 9 j Y X R p b 2 5 z L 0 N o Y W 5 n Z W Q g V H l w Z S 5 7 Q W R q I F R v d G F s I F R p d G x l I E k g Q W x s b 2 N h d G l v b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B y a W 9 y I F l l Y X I g Y W R q d X N 0 Z W Q g Y W x s b 2 N h d G l v b n M v Q 2 h h b m d l Z C B U e X B l L n t M R U F J R C w w f S Z x d W 9 0 O y w m c X V v d D t T Z W N 0 a W 9 u M S 9 Q c m l v c i B Z Z W F y I G F k a n V z d G V k I G F s b G 9 j Y X R p b 2 5 z L 0 N o Y W 5 n Z W Q g V H l w Z S 5 7 T E V B T k F N R S w x f S Z x d W 9 0 O y w m c X V v d D t T Z W N 0 a W 9 u M S 9 Q c m l v c i B Z Z W F y I G F k a n V z d G V k I G F s b G 9 j Y X R p b 2 5 z L 0 N o Y W 5 n Z W Q g V H l w Z S 5 7 Q k F T S U M g S G 9 s Z C B I Y X J t b G V z c y B i Y X N l I C h Q c m l v c i B 5 Z W F y I G F k a n V z d G V k I G F s b G 9 j K S w y f S Z x d W 9 0 O y w m c X V v d D t T Z W N 0 a W 9 u M S 9 Q c m l v c i B Z Z W F y I G F k a n V z d G V k I G F s b G 9 j Y X R p b 2 5 z L 0 N o Y W 5 n Z W Q g V H l w Z S 5 7 Q 2 9 u Y y B I b 2 x k I E h h c m 1 s Z X N z I E J h c 2 U g K C A 0 I H l l Y X I g b G 9 v a 2 J h Y 2 s p L D N 9 J n F 1 b 3 Q 7 L C Z x d W 9 0 O 1 N l Y 3 R p b 2 4 x L 1 B y a W 9 y I F l l Y X I g Y W R q d X N 0 Z W Q g Y W x s b 2 N h d G l v b n M v Q 2 h h b m d l Z C B U e X B l L n t U Q V J H R V R F R C B I b 2 x k I E h h c m 1 s Z X N z I E J h c 2 U g K F B y a W 9 y I F l l Y X I g Y W R q d X N 0 Z W Q g Y W x s b 2 M p L D R 9 J n F 1 b 3 Q 7 L C Z x d W 9 0 O 1 N l Y 3 R p b 2 4 x L 1 B y a W 9 y I F l l Y X I g Y W R q d X N 0 Z W Q g Y W x s b 2 N h d G l v b n M v Q 2 h h b m d l Z C B U e X B l L n t F R k l H I E h v b G Q g S G F y b W x l c 3 M g Y m F z Z S A o U H J p b 3 I g W W V h c i B h Z G p 1 c 3 R l Z C B h b G x v Y y k s N X 0 m c X V v d D s s J n F 1 b 3 Q 7 U 2 V j d G l v b j E v U H J p b 3 I g W W V h c i B h Z G p 1 c 3 R l Z C B h b G x v Y 2 F 0 a W 9 u c y 9 D a G F u Z 2 V k I F R 5 c G U u e 1 R v d G F s I E h v b G Q g S G F y b W x l c 3 M g Y m F z Z S w 2 f S Z x d W 9 0 O y w m c X V v d D t T Z W N 0 a W 9 u M S 9 Q c m l v c i B Z Z W F y I G F k a n V z d G V k I G F s b G 9 j Y X R p b 2 5 z L 0 N o Y W 5 n Z W Q g V H l w Z S 5 7 Q W R q I E J h c 2 l j I E F s b G 9 j Y X R p b 2 4 s N 3 0 m c X V v d D s s J n F 1 b 3 Q 7 U 2 V j d G l v b j E v U H J p b 3 I g W W V h c i B h Z G p 1 c 3 R l Z C B h b G x v Y 2 F 0 a W 9 u c y 9 D a G F u Z 2 V k I F R 5 c G U u e 0 F k a i B D b 2 5 j L i B B b G x v Y 2 F 0 a W 9 u L D h 9 J n F 1 b 3 Q 7 L C Z x d W 9 0 O 1 N l Y 3 R p b 2 4 x L 1 B y a W 9 y I F l l Y X I g Y W R q d X N 0 Z W Q g Y W x s b 2 N h d G l v b n M v Q 2 h h b m d l Z C B U e X B l L n t B Z G o g V G F y Z 2 V 0 Z W Q g Y W x s b 2 N h d G l v b i w 5 f S Z x d W 9 0 O y w m c X V v d D t T Z W N 0 a W 9 u M S 9 Q c m l v c i B Z Z W F y I G F k a n V z d G V k I G F s b G 9 j Y X R p b 2 5 z L 0 N o Y W 5 n Z W Q g V H l w Z S 5 7 Q W R q I E V G S U c g Q W x s b 2 N h d G l v b i w x M H 0 m c X V v d D s s J n F 1 b 3 Q 7 U 2 V j d G l v b j E v U H J p b 3 I g W W V h c i B h Z G p 1 c 3 R l Z C B h b G x v Y 2 F 0 a W 9 u c y 9 D a G F u Z 2 V k I F R 5 c G U u e 0 F k a i B U b 3 R h b C B U a X R s Z S B J I E F s b G 9 j Y X R p b 2 4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m l v c i U y M F l l Y X I l M j B h Z G p 1 c 3 R l Z C U y M G F s b G 9 j Y X R p b 2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F k a n V z d G V k J T I w R m 9 y b X V s Y S U y M G N v d W 5 0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R d W V y e U l E I i B W Y W x 1 Z T 0 i c z k 2 M z Z h M W Y 5 L T A 4 M z U t N G Y 2 M y 1 h M D A 5 L T d i N W Q 5 M D U 1 Y z R l Y i I g L z 4 8 R W 5 0 c n k g V H l w Z T 0 i U X V l c n l H c m 9 1 c E l E I i B W Y W x 1 Z T 0 i c 2 M z O W Z i M T h m L W E 1 N z c t N D A 4 N y 1 i Z m M 3 L W E x N W Z h Y T g 0 O T E y N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C 0 y N l Q x N T o w M j o y O S 4 3 O D k y N T Q y W i I g L z 4 8 R W 5 0 c n k g V H l w Z T 0 i R m l s b E N v d W 5 0 I i B W Y W x 1 Z T 0 i b D M x N y I g L z 4 8 R W 5 0 c n k g V H l w Z T 0 i R m l s b E N v b H V t b l R 5 c G V z I i B W Y W x 1 Z T 0 i c 0 J n W U d B d 0 1 E Q X d N R E F 3 T U Z B Q U F B Q U E 9 P S I g L z 4 8 R W 5 0 c n k g V H l w Z T 0 i R m l s b E N v b H V t b k 5 h b W V z I i B W Y W x 1 Z T 0 i c 1 s m c X V v d D t M R U F J R C Z x d W 9 0 O y w m c X V v d D t M R U F O Q U 1 F J n F 1 b 3 Q 7 L C Z x d W 9 0 O 1 N l b m R p b m d M R U F p Z C Z x d W 9 0 O y w m c X V v d D t O R U c u I G F k a i Z x d W 9 0 O y w m c X V v d D t B Z G o g R E V M L i Z x d W 9 0 O y w m c X V v d D t B Z G o g R m 9 z d G V y J n F 1 b 3 Q 7 L C Z x d W 9 0 O 0 F k a i B U Q U 5 G J n F 1 b 3 Q 7 L C Z x d W 9 0 O 0 F k a i A t I D U t M T c g c G 9 w J n F 1 b 3 Q 7 L C Z x d W 9 0 O 0 F k a i B w b 3 Z l c n R 5 J n F 1 b 3 Q 7 L C Z x d W 9 0 O 0 F k a i B U b 3 R h b C B m b 3 J t d W x h I G N v d W 5 0 J n F 1 b 3 Q 7 L C Z x d W 9 0 O 1 R v d G F s I E Z v c m 1 1 b G E g Q 2 9 1 b n Q g R E 9 F J n F 1 b 3 Q 7 L C Z x d W 9 0 O 0 F k a i B w b 3 Z l c n R 5 I H B l c m N l b n R h Z 2 U m c X V v d D s s J n F 1 b 3 Q 7 Q k F T S U M g Z W x p Z 2 l i a W x p d H k m c X V v d D s s J n F 1 b 3 Q 7 Q 2 9 u Y y 4 g R W x p Z 2 l n a W J p b G l 0 e S Z x d W 9 0 O y w m c X V v d D t U Y X J n Z X R l Z C B F b G l n a W J p b G l 0 e S Z x d W 9 0 O y w m c X V v d D t F R k l H I G V s a W d p Y m l s a X R 5 J n F 1 b 3 Q 7 X S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H J p b 3 I g W W V h c i B B Z G p 1 c 3 R l Z C B G b 3 J t d W x h I G N v d W 5 0 c y 9 D a G F u Z 2 V k I F R 5 c G U u e 0 x F Q U l E L D B 9 J n F 1 b 3 Q 7 L C Z x d W 9 0 O 1 N l Y 3 R p b 2 4 x L 1 B y a W 9 y I F l l Y X I g Q W R q d X N 0 Z W Q g R m 9 y b X V s Y S B j b 3 V u d H M v Q 2 h h b m d l Z C B U e X B l L n t M R U F O Q U 1 F L D F 9 J n F 1 b 3 Q 7 L C Z x d W 9 0 O 1 N l Y 3 R p b 2 4 x L 1 B y a W 9 y I F l l Y X I g Q W R q d X N 0 Z W Q g R m 9 y b X V s Y S B j b 3 V u d H M v Q 2 h h b m d l Z C B U e X B l L n t T Z W 5 k a W 5 n T E V B a W Q s M n 0 m c X V v d D s s J n F 1 b 3 Q 7 U 2 V j d G l v b j E v U H J p b 3 I g W W V h c i B B Z G p 1 c 3 R l Z C B G b 3 J t d W x h I G N v d W 5 0 c y 9 D a G F u Z 2 V k I F R 5 c G U u e 0 5 F R y 4 g Y W R q L D N 9 J n F 1 b 3 Q 7 L C Z x d W 9 0 O 1 N l Y 3 R p b 2 4 x L 1 B y a W 9 y I F l l Y X I g Q W R q d X N 0 Z W Q g R m 9 y b X V s Y S B j b 3 V u d H M v Q 2 h h b m d l Z C B U e X B l L n t B Z G o g R E V M L i w 0 f S Z x d W 9 0 O y w m c X V v d D t T Z W N 0 a W 9 u M S 9 Q c m l v c i B Z Z W F y I E F k a n V z d G V k I E Z v c m 1 1 b G E g Y 2 9 1 b n R z L 0 N o Y W 5 n Z W Q g V H l w Z S 5 7 Q W R q I E Z v c 3 R l c i w 1 f S Z x d W 9 0 O y w m c X V v d D t T Z W N 0 a W 9 u M S 9 Q c m l v c i B Z Z W F y I E F k a n V z d G V k I E Z v c m 1 1 b G E g Y 2 9 1 b n R z L 0 N o Y W 5 n Z W Q g V H l w Z S 5 7 Q W R q I F R B T k Y s N n 0 m c X V v d D s s J n F 1 b 3 Q 7 U 2 V j d G l v b j E v U H J p b 3 I g W W V h c i B B Z G p 1 c 3 R l Z C B G b 3 J t d W x h I G N v d W 5 0 c y 9 D a G F u Z 2 V k I F R 5 c G U u e 0 F k a i A t I D U t M T c g c G 9 w L D d 9 J n F 1 b 3 Q 7 L C Z x d W 9 0 O 1 N l Y 3 R p b 2 4 x L 1 B y a W 9 y I F l l Y X I g Q W R q d X N 0 Z W Q g R m 9 y b X V s Y S B j b 3 V u d H M v Q 2 h h b m d l Z C B U e X B l L n t B Z G o g c G 9 2 Z X J 0 e S w 4 f S Z x d W 9 0 O y w m c X V v d D t T Z W N 0 a W 9 u M S 9 Q c m l v c i B Z Z W F y I E F k a n V z d G V k I E Z v c m 1 1 b G E g Y 2 9 1 b n R z L 0 N o Y W 5 n Z W Q g V H l w Z S 5 7 Q W R q I F R v d G F s I G Z v c m 1 1 b G E g Y 2 9 1 b n Q s O X 0 m c X V v d D s s J n F 1 b 3 Q 7 U 2 V j d G l v b j E v U H J p b 3 I g W W V h c i B B Z G p 1 c 3 R l Z C B G b 3 J t d W x h I G N v d W 5 0 c y 9 D a G F u Z 2 V k I F R 5 c G U u e 1 R v d G F s I E Z v c m 1 1 b G E g Q 2 9 1 b n Q g R E 9 F L D E w f S Z x d W 9 0 O y w m c X V v d D t T Z W N 0 a W 9 u M S 9 Q c m l v c i B Z Z W F y I E F k a n V z d G V k I E Z v c m 1 1 b G E g Y 2 9 1 b n R z L 0 N o Y W 5 n Z W Q g V H l w Z S 5 7 Q W R q I H B v d m V y d H k g c G V y Y 2 V u d G F n Z S w x M X 0 m c X V v d D s s J n F 1 b 3 Q 7 U 2 V j d G l v b j E v U H J p b 3 I g W W V h c i B B Z G p 1 c 3 R l Z C B G b 3 J t d W x h I G N v d W 5 0 c y 9 J b m l 0 a W F s X 2 F k a n V z d G V k X 2 Z v c m 1 1 b G F f Y 2 9 1 b n R f V G F i b G U u e 0 J B U 0 l D I G V s a W d p Y m l s a X R 5 L D E y f S Z x d W 9 0 O y w m c X V v d D t T Z W N 0 a W 9 u M S 9 Q c m l v c i B Z Z W F y I E F k a n V z d G V k I E Z v c m 1 1 b G E g Y 2 9 1 b n R z L 0 l u a X R p Y W x f Y W R q d X N 0 Z W R f Z m 9 y b X V s Y V 9 j b 3 V u d F 9 U Y W J s Z S 5 7 Q 2 9 u Y y 4 g R W x p Z 2 l n a W J p b G l 0 e S w x M 3 0 m c X V v d D s s J n F 1 b 3 Q 7 U 2 V j d G l v b j E v U H J p b 3 I g W W V h c i B B Z G p 1 c 3 R l Z C B G b 3 J t d W x h I G N v d W 5 0 c y 9 J b m l 0 a W F s X 2 F k a n V z d G V k X 2 Z v c m 1 1 b G F f Y 2 9 1 b n R f V G F i b G U u e 1 R h c m d l d G V k I E V s a W d p Y m l s a X R 5 L D E 0 f S Z x d W 9 0 O y w m c X V v d D t T Z W N 0 a W 9 u M S 9 Q c m l v c i B Z Z W F y I E F k a n V z d G V k I E Z v c m 1 1 b G E g Y 2 9 1 b n R z L 0 l u a X R p Y W x f Y W R q d X N 0 Z W R f Z m 9 y b X V s Y V 9 j b 3 V u d F 9 U Y W J s Z S 5 7 R U Z J R y B l b G l n a W J p b G l 0 e S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B y a W 9 y I F l l Y X I g Q W R q d X N 0 Z W Q g R m 9 y b X V s Y S B j b 3 V u d H M v Q 2 h h b m d l Z C B U e X B l L n t M R U F J R C w w f S Z x d W 9 0 O y w m c X V v d D t T Z W N 0 a W 9 u M S 9 Q c m l v c i B Z Z W F y I E F k a n V z d G V k I E Z v c m 1 1 b G E g Y 2 9 1 b n R z L 0 N o Y W 5 n Z W Q g V H l w Z S 5 7 T E V B T k F N R S w x f S Z x d W 9 0 O y w m c X V v d D t T Z W N 0 a W 9 u M S 9 Q c m l v c i B Z Z W F y I E F k a n V z d G V k I E Z v c m 1 1 b G E g Y 2 9 1 b n R z L 0 N o Y W 5 n Z W Q g V H l w Z S 5 7 U 2 V u Z G l u Z 0 x F Q W l k L D J 9 J n F 1 b 3 Q 7 L C Z x d W 9 0 O 1 N l Y 3 R p b 2 4 x L 1 B y a W 9 y I F l l Y X I g Q W R q d X N 0 Z W Q g R m 9 y b X V s Y S B j b 3 V u d H M v Q 2 h h b m d l Z C B U e X B l L n t O R U c u I G F k a i w z f S Z x d W 9 0 O y w m c X V v d D t T Z W N 0 a W 9 u M S 9 Q c m l v c i B Z Z W F y I E F k a n V z d G V k I E Z v c m 1 1 b G E g Y 2 9 1 b n R z L 0 N o Y W 5 n Z W Q g V H l w Z S 5 7 Q W R q I E R F T C 4 s N H 0 m c X V v d D s s J n F 1 b 3 Q 7 U 2 V j d G l v b j E v U H J p b 3 I g W W V h c i B B Z G p 1 c 3 R l Z C B G b 3 J t d W x h I G N v d W 5 0 c y 9 D a G F u Z 2 V k I F R 5 c G U u e 0 F k a i B G b 3 N 0 Z X I s N X 0 m c X V v d D s s J n F 1 b 3 Q 7 U 2 V j d G l v b j E v U H J p b 3 I g W W V h c i B B Z G p 1 c 3 R l Z C B G b 3 J t d W x h I G N v d W 5 0 c y 9 D a G F u Z 2 V k I F R 5 c G U u e 0 F k a i B U Q U 5 G L D Z 9 J n F 1 b 3 Q 7 L C Z x d W 9 0 O 1 N l Y 3 R p b 2 4 x L 1 B y a W 9 y I F l l Y X I g Q W R q d X N 0 Z W Q g R m 9 y b X V s Y S B j b 3 V u d H M v Q 2 h h b m d l Z C B U e X B l L n t B Z G o g L S A 1 L T E 3 I H B v c C w 3 f S Z x d W 9 0 O y w m c X V v d D t T Z W N 0 a W 9 u M S 9 Q c m l v c i B Z Z W F y I E F k a n V z d G V k I E Z v c m 1 1 b G E g Y 2 9 1 b n R z L 0 N o Y W 5 n Z W Q g V H l w Z S 5 7 Q W R q I H B v d m V y d H k s O H 0 m c X V v d D s s J n F 1 b 3 Q 7 U 2 V j d G l v b j E v U H J p b 3 I g W W V h c i B B Z G p 1 c 3 R l Z C B G b 3 J t d W x h I G N v d W 5 0 c y 9 D a G F u Z 2 V k I F R 5 c G U u e 0 F k a i B U b 3 R h b C B m b 3 J t d W x h I G N v d W 5 0 L D l 9 J n F 1 b 3 Q 7 L C Z x d W 9 0 O 1 N l Y 3 R p b 2 4 x L 1 B y a W 9 y I F l l Y X I g Q W R q d X N 0 Z W Q g R m 9 y b X V s Y S B j b 3 V u d H M v Q 2 h h b m d l Z C B U e X B l L n t U b 3 R h b C B G b 3 J t d W x h I E N v d W 5 0 I E R P R S w x M H 0 m c X V v d D s s J n F 1 b 3 Q 7 U 2 V j d G l v b j E v U H J p b 3 I g W W V h c i B B Z G p 1 c 3 R l Z C B G b 3 J t d W x h I G N v d W 5 0 c y 9 D a G F u Z 2 V k I F R 5 c G U u e 0 F k a i B w b 3 Z l c n R 5 I H B l c m N l b n R h Z 2 U s M T F 9 J n F 1 b 3 Q 7 L C Z x d W 9 0 O 1 N l Y 3 R p b 2 4 x L 1 B y a W 9 y I F l l Y X I g Q W R q d X N 0 Z W Q g R m 9 y b X V s Y S B j b 3 V u d H M v S W 5 p d G l h b F 9 h Z G p 1 c 3 R l Z F 9 m b 3 J t d W x h X 2 N v d W 5 0 X 1 R h Y m x l L n t C Q V N J Q y B l b G l n a W J p b G l 0 e S w x M n 0 m c X V v d D s s J n F 1 b 3 Q 7 U 2 V j d G l v b j E v U H J p b 3 I g W W V h c i B B Z G p 1 c 3 R l Z C B G b 3 J t d W x h I G N v d W 5 0 c y 9 J b m l 0 a W F s X 2 F k a n V z d G V k X 2 Z v c m 1 1 b G F f Y 2 9 1 b n R f V G F i b G U u e 0 N v b m M u I E V s a W d p Z 2 l i a W x p d H k s M T N 9 J n F 1 b 3 Q 7 L C Z x d W 9 0 O 1 N l Y 3 R p b 2 4 x L 1 B y a W 9 y I F l l Y X I g Q W R q d X N 0 Z W Q g R m 9 y b X V s Y S B j b 3 V u d H M v S W 5 p d G l h b F 9 h Z G p 1 c 3 R l Z F 9 m b 3 J t d W x h X 2 N v d W 5 0 X 1 R h Y m x l L n t U Y X J n Z X R l Z C B F b G l n a W J p b G l 0 e S w x N H 0 m c X V v d D s s J n F 1 b 3 Q 7 U 2 V j d G l v b j E v U H J p b 3 I g W W V h c i B B Z G p 1 c 3 R l Z C B G b 3 J t d W x h I G N v d W 5 0 c y 9 J b m l 0 a W F s X 2 F k a n V z d G V k X 2 Z v c m 1 1 b G F f Y 2 9 1 b n R f V G F i b G U u e 0 V G S U c g Z W x p Z 2 l i a W x p d H k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m l v c i U y M F l l Y X I l M j B B Z G p 1 c 3 R l Z C U y M E Z v c m 1 1 b G E l M j B j b 3 V u d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R m 9 y b X V s Y S U y M G N v d W 5 0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V 4 c G F u Z G V k J T I w R l J Q T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F e H B h b m R l Z C U y M E Z S U E w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V 4 c G F u Z G V k J T I w Q 0 N E R E Q l M k Z M R U F p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j w v S X R l b V B h d G g + P C 9 J d G V t T G 9 j Y X R p b 2 4 + P F N 0 Y W J s Z U V u d H J p Z X M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J c 1 B y a X Z h d G U i I F Z h b H V l P S J s M C I g L z 4 8 R W 5 0 c n k g V H l w Z T 0 i U X V l c n l H c m 9 1 c E l E I i B W Y W x 1 Z T 0 i c z E x M W N h O D A 4 L T A 1 Z W Q t N D U 5 N y 1 i N T I y L W Y x Z D Y 5 M G R l Z T U 5 M C I g L z 4 8 R W 5 0 c n k g V H l w Z T 0 i U m V j b 3 Z l c n l U Y X J n Z X R T a G V l d C I g V m F s d W U 9 I n N z d W 1 p Z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E i I C 8 + P E V u d H J 5 I F R 5 c G U 9 I k Z p b G x P Y m p l Y 3 R U e X B l I i B W Y W x 1 Z T 0 i c 0 N v b m 5 l Y 3 R p b 2 5 P b m x 5 I i A v P j x F b n R y e S B U e X B l P S J M b 2 F k Z W R U b 0 F u Y W x 5 c 2 l z U 2 V y d m l j Z X M i I F Z h b H V l P S J s M C I g L z 4 8 R W 5 0 c n k g V H l w Z T 0 i U X V l c n l J R C I g V m F s d W U 9 I n M 3 Y 2 E z Z j B h Z C 0 x Y T R i L T Q 0 Z D k t Y m M 1 M S 0 y Y T A y Z T Y z M z J j Z G M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x I i A v P j x F b n R y e S B U e X B l P S J G a W x s T G F z d F V w Z G F 0 Z W Q i I F Z h b H V l P S J k M j A y N C 0 w N C 0 y N l Q x N T o w M j o y O S 4 3 O T k 3 N j Q 1 W i I g L z 4 8 R W 5 0 c n k g V H l w Z T 0 i R m l s b E N v b H V t b l R 5 c G V z I i B W Y W x 1 Z T 0 i c 0 J n V U Y i I C 8 + P E V u d H J 5 I F R 5 c G U 9 I k Z p b G x D b 2 x 1 b W 5 O Y W 1 l c y I g V m F s d W U 9 I n N b J n F 1 b 3 Q 7 U 2 V u Z G l u Z y B E a X N 0 c m l j d C B D Q 0 R E R C Z x d W 9 0 O y w m c X V v d D t T d W 1 U b 3 R h b F N 0 d W R l b n R z I G l u I H B v d m V y d H k m c X V v d D s s J n F 1 b 3 Q 7 U 3 V t V G 9 0 Y W x T d H V k Z W 5 0 c y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J n F 1 b 3 Q 7 U 2 V u Z G l u Z y B E a X N 0 c m l j d C B D Q 0 R E R C Z x d W 9 0 O 1 0 s J n F 1 b 3 Q 7 c X V l c n l S Z W x h d G l v b n N o a X B z J n F 1 b 3 Q 7 O l t d L C Z x d W 9 0 O 2 N v b H V t b k l k Z W 5 0 a X R p Z X M m c X V v d D s 6 W y Z x d W 9 0 O 1 N l Y 3 R p b 2 4 x L 3 N 1 b W l m L 0 d y b 3 V w Z W Q g U m 9 3 c y 5 7 U 2 V u Z G l u Z y B E a X N 0 c m l j d C B D Q 0 R E R C w w f S Z x d W 9 0 O y w m c X V v d D t T Z W N 0 a W 9 u M S 9 z d W 1 p Z i 9 H c m 9 1 c G V k I F J v d 3 M u e 1 N 1 b V R v d G F s U 3 R 1 Z G V u d H M g a W 4 g c G 9 2 Z X J 0 e S w x f S Z x d W 9 0 O y w m c X V v d D t T Z W N 0 a W 9 u M S 9 z d W 1 p Z i 9 H c m 9 1 c G V k I F J v d 3 M u e 1 N 1 b V R v d G F s U 3 R 1 Z G V u d H M s M n 0 m c X V v d D t d L C Z x d W 9 0 O 0 N v b H V t b k N v d W 5 0 J n F 1 b 3 Q 7 O j M s J n F 1 b 3 Q 7 S 2 V 5 Q 2 9 s d W 1 u T m F t Z X M m c X V v d D s 6 W y Z x d W 9 0 O 1 N l b m R p b m c g R G l z d H J p Y 3 Q g Q 0 N E R E Q m c X V v d D t d L C Z x d W 9 0 O 0 N v b H V t b k l k Z W 5 0 a X R p Z X M m c X V v d D s 6 W y Z x d W 9 0 O 1 N l Y 3 R p b 2 4 x L 3 N 1 b W l m L 0 d y b 3 V w Z W Q g U m 9 3 c y 5 7 U 2 V u Z G l u Z y B E a X N 0 c m l j d C B D Q 0 R E R C w w f S Z x d W 9 0 O y w m c X V v d D t T Z W N 0 a W 9 u M S 9 z d W 1 p Z i 9 H c m 9 1 c G V k I F J v d 3 M u e 1 N 1 b V R v d G F s U 3 R 1 Z G V u d H M g a W 4 g c G 9 2 Z X J 0 e S w x f S Z x d W 9 0 O y w m c X V v d D t T Z W N 0 a W 9 u M S 9 z d W 1 p Z i 9 H c m 9 1 c G V k I F J v d 3 M u e 1 N 1 b V R v d G F s U 3 R 1 Z G V u d H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1 b W l m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W l m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i 9 F e H B h b m R l Z C U y M E Z S U E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i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W l m L 0 V 4 c G F u Z G V k J T I w R l J Q T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i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W l m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T W V y Z 2 V k J T I w U X V l c m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i 9 F e H B h b m R l Z C U y M E N D R E R E J T J G T E V B a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i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i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N Z X J n Z W Q l M j B R d W V y a W V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F e H B h b m R l Z C U y M H N 1 b W l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3 V t c H R p b 2 5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U Y X J n Z X Q i I F Z h b H V l P S J z Q X N z d W 1 w d G l v b n M i I C 8 + P E V u d H J 5 I F R 5 c G U 9 I l F 1 Z X J 5 S U Q i I F Z h b H V l P S J z N D U z M T I w Z G E t Y j E 5 Z i 0 0 O T M 5 L W J j M m Y t O T U 3 N T h h Y z N k M W M x I i A v P j x F b n R y e S B U e X B l P S J R d W V y e U d y b 3 V w S U Q i I F Z h b H V l P S J z Y z M 5 Z m I x O G Y t Y T U 3 N y 0 0 M D g 3 L W J m Y z c t Y T E 1 Z m F h O D Q 5 M T I 0 I i A v P j x F b n R y e S B U e X B l P S J S Z W N v d m V y e V R h c m d l d F N o Z W V 0 I i B W Y W x 1 Z T 0 i c 0 F z c 3 V t c H R p b 2 5 z I C I g L z 4 8 R W 5 0 c n k g V H l w Z T 0 i U m V j b 3 Z l c n l U Y X J n Z X R D b 2 x 1 b W 4 i I F Z h b H V l P S J s M y I g L z 4 8 R W 5 0 c n k g V H l w Z T 0 i U m V j b 3 Z l c n l U Y X J n Z X R S b 3 c i I F Z h b H V l P S J s M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R m l s b E x h c 3 R V c G R h d G V k I i B W Y W x 1 Z T 0 i Z D I w M j Q t M D Q t M j Z U M T U 6 M D I 6 M j k u O D A 4 M D k x N V o i I C 8 + P E V u d H J 5 I F R 5 c G U 9 I k Z p b G x D b 2 x 1 b W 5 U e X B l c y I g V m F s d W U 9 I n N B Q U F B Q U F B Q U F 3 P T 0 i I C 8 + P E V u d H J 5 I F R 5 c G U 9 I k Z p b G x D b 2 x 1 b W 5 O Y W 1 l c y I g V m F s d W U 9 I n N b J n F 1 b 3 Q 7 Q 2 9 s d W 1 u M S Z x d W 9 0 O y w m c X V v d D t C Q V N J Q y B H U k F O V F M m c X V v d D s s J n F 1 b 3 Q 7 Q 0 9 O Q 0 V O V F J B V E l P T i B H U k F O V F M m c X V v d D s s J n F 1 b 3 Q 7 V E F S R 0 V U R U Q g R 1 J B T l R T J n F 1 b 3 Q 7 L C Z x d W 9 0 O 0 V G S U c g R 1 J B T l R T J n F 1 b 3 Q 7 L C Z x d W 9 0 O 1 R P V E F M I E x F Q S B H U k F O V F M m c X V v d D s s J n F 1 b 3 Q 7 U m V 2 I E Z p b i A g V C 1 J I F N 0 Y X R l I E F k b S A g M T A w N C h i K S 5 U S V R M R S B J L C B Q Q V J U I E E g V E 9 U Q U w g T E V B I E d S Q U 5 U U y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N z d W 1 w d G l v b n M v U 3 R h d G U g V G F i b G U g R l k g M j Q g U H J l b F 9 T a G V l d C 5 7 Q 2 9 s d W 1 u M S w w f S Z x d W 9 0 O y w m c X V v d D t T Z W N 0 a W 9 u M S 9 B c 3 N 1 b X B 0 a W 9 u c y 9 T d G F 0 Z S B U Y W J s Z S B G W S A y N C B Q c m V s X 1 N o Z W V 0 L n t D b 2 x 1 b W 4 y L D F 9 J n F 1 b 3 Q 7 L C Z x d W 9 0 O 1 N l Y 3 R p b 2 4 x L 0 F z c 3 V t c H R p b 2 5 z L 1 N 0 Y X R l I F R h Y m x l I E Z Z I D I 0 I F B y Z W x f U 2 h l Z X Q u e 0 N v b H V t b j Q s M 3 0 m c X V v d D s s J n F 1 b 3 Q 7 U 2 V j d G l v b j E v Q X N z d W 1 w d G l v b n M v U 3 R h d G U g V G F i b G U g R l k g M j Q g U H J l b F 9 T a G V l d C 5 7 Q 2 9 s d W 1 u N i w 1 f S Z x d W 9 0 O y w m c X V v d D t T Z W N 0 a W 9 u M S 9 B c 3 N 1 b X B 0 a W 9 u c y 9 T d G F 0 Z S B U Y W J s Z S B G W S A y N C B Q c m V s X 1 N o Z W V 0 L n t D b 2 x 1 b W 4 4 L D d 9 J n F 1 b 3 Q 7 L C Z x d W 9 0 O 1 N l Y 3 R p b 2 4 x L 0 F z c 3 V t c H R p b 2 5 z L 1 N 0 Y X R l I F R h Y m x l I E Z Z I D I 0 I F B y Z W x f U 2 h l Z X Q u e 0 N v b H V t b j E w L D l 9 J n F 1 b 3 Q 7 L C Z x d W 9 0 O 1 N l Y 3 R p b 2 4 x L 1 Q t S S B T d G F 0 Z S B B Z G 0 g I D E w M D Q o Y i k v Q 2 h h b m d l Z C B U e X B l L n t U S V R M R S B J L C B Q Q V J U I E E g V E 9 U Q U w g T E V B I E d S Q U 5 U U y w x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c 3 N 1 b X B 0 a W 9 u c y 9 T d G F 0 Z S B U Y W J s Z S B G W S A y N C B Q c m V s X 1 N o Z W V 0 L n t D b 2 x 1 b W 4 x L D B 9 J n F 1 b 3 Q 7 L C Z x d W 9 0 O 1 N l Y 3 R p b 2 4 x L 0 F z c 3 V t c H R p b 2 5 z L 1 N 0 Y X R l I F R h Y m x l I E Z Z I D I 0 I F B y Z W x f U 2 h l Z X Q u e 0 N v b H V t b j I s M X 0 m c X V v d D s s J n F 1 b 3 Q 7 U 2 V j d G l v b j E v Q X N z d W 1 w d G l v b n M v U 3 R h d G U g V G F i b G U g R l k g M j Q g U H J l b F 9 T a G V l d C 5 7 Q 2 9 s d W 1 u N C w z f S Z x d W 9 0 O y w m c X V v d D t T Z W N 0 a W 9 u M S 9 B c 3 N 1 b X B 0 a W 9 u c y 9 T d G F 0 Z S B U Y W J s Z S B G W S A y N C B Q c m V s X 1 N o Z W V 0 L n t D b 2 x 1 b W 4 2 L D V 9 J n F 1 b 3 Q 7 L C Z x d W 9 0 O 1 N l Y 3 R p b 2 4 x L 0 F z c 3 V t c H R p b 2 5 z L 1 N 0 Y X R l I F R h Y m x l I E Z Z I D I 0 I F B y Z W x f U 2 h l Z X Q u e 0 N v b H V t b j g s N 3 0 m c X V v d D s s J n F 1 b 3 Q 7 U 2 V j d G l v b j E v Q X N z d W 1 w d G l v b n M v U 3 R h d G U g V G F i b G U g R l k g M j Q g U H J l b F 9 T a G V l d C 5 7 Q 2 9 s d W 1 u M T A s O X 0 m c X V v d D s s J n F 1 b 3 Q 7 U 2 V j d G l v b j E v V C 1 J I F N 0 Y X R l I E F k b S A g M T A w N C h i K S 9 D a G F u Z 2 V k I F R 5 c G U u e 1 R J V E x F I E k s I F B B U l Q g Q S B U T 1 R B T C B M R U E g R 1 J B T l R T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3 N 1 b X B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y 9 S Z W 1 v d m V k J T I w V G 9 w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2 I 4 M 2 Y z M G I 1 L T g 2 N 2 Y t N G J l Y S 1 h M D I 2 L T F m M W Z h Y 2 Q z Z D I 0 M i I g L z 4 8 R W 5 0 c n k g V H l w Z T 0 i U X V l c n l H c m 9 1 c E l E I i B W Y W x 1 Z T 0 i c 2 M z O W Z i M T h m L W E 1 N z c t N D A 4 N y 1 i Z m M 3 L W E x N W Z h Y T g 0 O T E y N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c m l v c i B Z Z W F y I E 5 l d C B 0 b y B k a X N 0 c m l j d C I g L z 4 8 R W 5 0 c n k g V H l w Z T 0 i R m l s b F R h c m d l d C I g V m F s d W U 9 I n N U Y W J s Z V 9 Q c m l v c l 9 Z Z W F y X 0 5 l d F 9 0 b 1 9 k a X N 0 c m l j d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C 0 y N l Q x N T o w M j o y O S 4 4 M T A y M j g w W i I g L z 4 8 R W 5 0 c n k g V H l w Z T 0 i R m l s b E N v b H V t b l R 5 c G V z I i B W Y W x 1 Z T 0 i c 0 J n W U Z C U V V G Q l F V R k J R V U Z B d 0 1 G I i A v P j x F b n R y e S B U e X B l P S J G a W x s Q 2 9 1 b n Q i I F Z h b H V l P S J s M z E 3 I i A v P j x F b n R y e S B U e X B l P S J G a W x s Q 2 9 s d W 1 u T m F t Z X M i I F Z h b H V l P S J z W y Z x d W 9 0 O 0 x F Q U l E J n F 1 b 3 Q 7 L C Z x d W 9 0 O 0 x F Q U 5 B T U U m c X V v d D s s J n F 1 b 3 Q 7 Q m F z a W M g Q m V m b 3 J l I F N 0 Y X R l I F J l c 2 V y d m F 0 a W 9 u c y Z x d W 9 0 O y w m c X V v d D t D b 2 5 j Z W 5 0 c m F 0 a W 9 u I E J l Z m 9 y Z S B T d G F 0 Z S B S Z X N l c n Z h d G l v b n M m c X V v d D s s J n F 1 b 3 Q 7 V G F y Z 2 V 0 Z W Q g Q m V m b 3 J l I F N 0 Y X R l I F J l c 2 V y d m F 0 a W 9 u c y Z x d W 9 0 O y w m c X V v d D t F R k l H I E J l Z m 9 y Z S B T d G F 0 Z S B S Z X N l c n Z h d G l v b n M m c X V v d D s s J n F 1 b 3 Q 7 V G 9 0 Y W w g Q m V m b 3 J l I F N 0 Y X R l I F J l c 2 V y d m F 0 a W 9 u c y Z x d W 9 0 O y w m c X V v d D t B b G x v Y 2 F 0 a W 9 u I G F m d G V y I F N j a G 9 v b C B J b X B y b 3 Z l b W 5 0 I E h I J n F 1 b 3 Q 7 L C Z x d W 9 0 O 0 5 l d C B T Y 2 h v b 2 w g S W 1 w c m 9 2 Z W 1 l b n Q g d G F r Z W 4 g b 3 V 0 J n F 1 b 3 Q 7 L C Z x d W 9 0 O 1 N 0 Y X R l I E F k b W l u J n F 1 b 3 Q 7 L C Z x d W 9 0 O 0 1 P R S B S Z W R 1 Y 3 R p b 2 4 m c X V v d D s s J n F 1 b 3 Q 7 T k V U I F R P I E R J U 1 R S S U N T J n F 1 b 3 Q 7 L C Z x d W 9 0 O 0 F k a i A t I D U t M T c g c G 9 w J n F 1 b 3 Q 7 L C Z x d W 9 0 O 0 F k a i B U b 3 R h b C B m b 3 J t d W x h I G N v d W 5 0 J n F 1 b 3 Q 7 L C Z x d W 9 0 O 0 F k a i B w b 3 Z l c n R 5 I H B l c m N l b n R h Z 2 U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v c i B Z Z W F y I E 5 l d C B 0 b y B k a X N 0 c m l j d C 9 D a G F u Z 2 V k I F R 5 c G U x L n t M R U F J R C w w f S Z x d W 9 0 O y w m c X V v d D t T Z W N 0 a W 9 u M S 9 Q c m l v c i B Z Z W F y I E 5 l d C B 0 b y B k a X N 0 c m l j d C 9 D a G F u Z 2 V k I F R 5 c G U u e 0 x F Q U 5 B T U U s M X 0 m c X V v d D s s J n F 1 b 3 Q 7 U 2 V j d G l v b j E v U H J p b 3 I g W W V h c i B O Z X Q g d G 8 g Z G l z d H J p Y 3 Q v Q 2 h h b m d l Z C B U e X B l L n t D d X J y Z W 5 0 I F l l Y X I g Q m F z a W M g Q m V m b 3 J l I F N 0 Y X R l I F J l c 2 V y d m F 0 a W 9 u c y w 0 f S Z x d W 9 0 O y w m c X V v d D t T Z W N 0 a W 9 u M S 9 Q c m l v c i B Z Z W F y I E 5 l d C B 0 b y B k a X N 0 c m l j d C 9 D a G F u Z 2 V k I F R 5 c G U u e 0 N 1 c n J l b n Q g W W V h c i B D b 2 5 j Z W 5 0 c m F 0 a W 9 u I E J l Z m 9 y Z S B T d G F 0 Z S B S Z X N l c n Z h d G l v b n M s N X 0 m c X V v d D s s J n F 1 b 3 Q 7 U 2 V j d G l v b j E v U H J p b 3 I g W W V h c i B O Z X Q g d G 8 g Z G l z d H J p Y 3 Q v Q 2 h h b m d l Z C B U e X B l L n t D d X J y Z W 5 0 I F l l Y X I g V G F y Z 2 V 0 Z W Q g Q m V m b 3 J l I F N 0 Y X R l I F J l c 2 V y d m F 0 a W 9 u c y w 2 f S Z x d W 9 0 O y w m c X V v d D t T Z W N 0 a W 9 u M S 9 Q c m l v c i B Z Z W F y I E 5 l d C B 0 b y B k a X N 0 c m l j d C 9 D a G F u Z 2 V k I F R 5 c G U u e 0 N 1 c n J l b n Q g W W V h c i B F R k l H I E J l Z m 9 y Z S B T d G F 0 Z S B S Z X N l c n Z h d G l v b n M s N 3 0 m c X V v d D s s J n F 1 b 3 Q 7 U 2 V j d G l v b j E v U H J p b 3 I g W W V h c i B O Z X Q g d G 8 g Z G l z d H J p Y 3 Q v Q 2 h h b m d l Z C B U e X B l L n t D d X J y Z W 5 0 I F l l Y X I g V G 9 0 Y W w g Q m V m b 3 J l I F N 0 Y X R l I F J l c 2 V y d m F 0 a W 9 u c y w 4 f S Z x d W 9 0 O y w m c X V v d D t T Z W N 0 a W 9 u M S 9 Q c m l v c i B Z Z W F y I E 5 l d C B 0 b y B k a X N 0 c m l j d C 9 D a G F u Z 2 V k I F R 5 c G U u e 0 F s b G 9 j Y X R p b 2 5 f M T A s M j J 9 J n F 1 b 3 Q 7 L C Z x d W 9 0 O 1 N l Y 3 R p b 2 4 x L 1 B y a W 9 y I F l l Y X I g T m V 0 I H R v I G R p c 3 R y a W N 0 L 0 N o Y W 5 n Z W Q g V H l w Z S 5 7 T m V 0 I F N j a G 9 v b C B J b X B y b 3 Z l b W V u d C B 0 Y W t l b i B v d X Q s M j N 9 J n F 1 b 3 Q 7 L C Z x d W 9 0 O 1 N l Y 3 R p b 2 4 x L 1 B y a W 9 y I F l l Y X I g T m V 0 I H R v I G R p c 3 R y a W N 0 L 0 N o Y W 5 n Z W Q g V H l w Z S 5 7 U 3 R h d G U g Q W R t a W 4 s M j R 9 J n F 1 b 3 Q 7 L C Z x d W 9 0 O 1 N l Y 3 R p b 2 4 x L 1 B y a W 9 y I F l l Y X I g T m V 0 I H R v I G R p c 3 R y a W N 0 L 0 N o Y W 5 n Z W Q g V H l w Z S 5 7 T U 9 F I F J l Z H V j d G l v b i w y O X 0 m c X V v d D s s J n F 1 b 3 Q 7 U 2 V j d G l v b j E v U H J p b 3 I g W W V h c i B O Z X Q g d G 8 g Z G l z d H J p Y 3 Q v Q 2 h h b m d l Z C B U e X B l L n t O R V Q g V E 8 g R E l T V F J J Q 1 M s M z B 9 J n F 1 b 3 Q 7 L C Z x d W 9 0 O 1 N l Y 3 R p b 2 4 x L 1 B y a W 9 y I F l l Y X I g Q W R q d X N 0 Z W Q g R m 9 y b X V s Y S B j b 3 V u d H M v Q 2 h h b m d l Z C B U e X B l L n t B Z G o g L S A 1 L T E 3 I H B v c C w 3 f S Z x d W 9 0 O y w m c X V v d D t T Z W N 0 a W 9 u M S 9 Q c m l v c i B Z Z W F y I E F k a n V z d G V k I E Z v c m 1 1 b G E g Y 2 9 1 b n R z L 0 N o Y W 5 n Z W Q g V H l w Z S 5 7 Q W R q I F R v d G F s I G Z v c m 1 1 b G E g Y 2 9 1 b n Q s O X 0 m c X V v d D s s J n F 1 b 3 Q 7 U 2 V j d G l v b j E v U H J p b 3 I g W W V h c i B B Z G p 1 c 3 R l Z C B G b 3 J t d W x h I G N v d W 5 0 c y 9 D a G F u Z 2 V k I F R 5 c G U u e 0 F k a i B w b 3 Z l c n R 5 I H B l c m N l b n R h Z 2 U s M T F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Q c m l v c i B Z Z W F y I E 5 l d C B 0 b y B k a X N 0 c m l j d C 9 D a G F u Z 2 V k I F R 5 c G U x L n t M R U F J R C w w f S Z x d W 9 0 O y w m c X V v d D t T Z W N 0 a W 9 u M S 9 Q c m l v c i B Z Z W F y I E 5 l d C B 0 b y B k a X N 0 c m l j d C 9 D a G F u Z 2 V k I F R 5 c G U u e 0 x F Q U 5 B T U U s M X 0 m c X V v d D s s J n F 1 b 3 Q 7 U 2 V j d G l v b j E v U H J p b 3 I g W W V h c i B O Z X Q g d G 8 g Z G l z d H J p Y 3 Q v Q 2 h h b m d l Z C B U e X B l L n t D d X J y Z W 5 0 I F l l Y X I g Q m F z a W M g Q m V m b 3 J l I F N 0 Y X R l I F J l c 2 V y d m F 0 a W 9 u c y w 0 f S Z x d W 9 0 O y w m c X V v d D t T Z W N 0 a W 9 u M S 9 Q c m l v c i B Z Z W F y I E 5 l d C B 0 b y B k a X N 0 c m l j d C 9 D a G F u Z 2 V k I F R 5 c G U u e 0 N 1 c n J l b n Q g W W V h c i B D b 2 5 j Z W 5 0 c m F 0 a W 9 u I E J l Z m 9 y Z S B T d G F 0 Z S B S Z X N l c n Z h d G l v b n M s N X 0 m c X V v d D s s J n F 1 b 3 Q 7 U 2 V j d G l v b j E v U H J p b 3 I g W W V h c i B O Z X Q g d G 8 g Z G l z d H J p Y 3 Q v Q 2 h h b m d l Z C B U e X B l L n t D d X J y Z W 5 0 I F l l Y X I g V G F y Z 2 V 0 Z W Q g Q m V m b 3 J l I F N 0 Y X R l I F J l c 2 V y d m F 0 a W 9 u c y w 2 f S Z x d W 9 0 O y w m c X V v d D t T Z W N 0 a W 9 u M S 9 Q c m l v c i B Z Z W F y I E 5 l d C B 0 b y B k a X N 0 c m l j d C 9 D a G F u Z 2 V k I F R 5 c G U u e 0 N 1 c n J l b n Q g W W V h c i B F R k l H I E J l Z m 9 y Z S B T d G F 0 Z S B S Z X N l c n Z h d G l v b n M s N 3 0 m c X V v d D s s J n F 1 b 3 Q 7 U 2 V j d G l v b j E v U H J p b 3 I g W W V h c i B O Z X Q g d G 8 g Z G l z d H J p Y 3 Q v Q 2 h h b m d l Z C B U e X B l L n t D d X J y Z W 5 0 I F l l Y X I g V G 9 0 Y W w g Q m V m b 3 J l I F N 0 Y X R l I F J l c 2 V y d m F 0 a W 9 u c y w 4 f S Z x d W 9 0 O y w m c X V v d D t T Z W N 0 a W 9 u M S 9 Q c m l v c i B Z Z W F y I E 5 l d C B 0 b y B k a X N 0 c m l j d C 9 D a G F u Z 2 V k I F R 5 c G U u e 0 F s b G 9 j Y X R p b 2 5 f M T A s M j J 9 J n F 1 b 3 Q 7 L C Z x d W 9 0 O 1 N l Y 3 R p b 2 4 x L 1 B y a W 9 y I F l l Y X I g T m V 0 I H R v I G R p c 3 R y a W N 0 L 0 N o Y W 5 n Z W Q g V H l w Z S 5 7 T m V 0 I F N j a G 9 v b C B J b X B y b 3 Z l b W V u d C B 0 Y W t l b i B v d X Q s M j N 9 J n F 1 b 3 Q 7 L C Z x d W 9 0 O 1 N l Y 3 R p b 2 4 x L 1 B y a W 9 y I F l l Y X I g T m V 0 I H R v I G R p c 3 R y a W N 0 L 0 N o Y W 5 n Z W Q g V H l w Z S 5 7 U 3 R h d G U g Q W R t a W 4 s M j R 9 J n F 1 b 3 Q 7 L C Z x d W 9 0 O 1 N l Y 3 R p b 2 4 x L 1 B y a W 9 y I F l l Y X I g T m V 0 I H R v I G R p c 3 R y a W N 0 L 0 N o Y W 5 n Z W Q g V H l w Z S 5 7 T U 9 F I F J l Z H V j d G l v b i w y O X 0 m c X V v d D s s J n F 1 b 3 Q 7 U 2 V j d G l v b j E v U H J p b 3 I g W W V h c i B O Z X Q g d G 8 g Z G l z d H J p Y 3 Q v Q 2 h h b m d l Z C B U e X B l L n t O R V Q g V E 8 g R E l T V F J J Q 1 M s M z B 9 J n F 1 b 3 Q 7 L C Z x d W 9 0 O 1 N l Y 3 R p b 2 4 x L 1 B y a W 9 y I F l l Y X I g Q W R q d X N 0 Z W Q g R m 9 y b X V s Y S B j b 3 V u d H M v Q 2 h h b m d l Z C B U e X B l L n t B Z G o g L S A 1 L T E 3 I H B v c C w 3 f S Z x d W 9 0 O y w m c X V v d D t T Z W N 0 a W 9 u M S 9 Q c m l v c i B Z Z W F y I E F k a n V z d G V k I E Z v c m 1 1 b G E g Y 2 9 1 b n R z L 0 N o Y W 5 n Z W Q g V H l w Z S 5 7 Q W R q I F R v d G F s I G Z v c m 1 1 b G E g Y 2 9 1 b n Q s O X 0 m c X V v d D s s J n F 1 b 3 Q 7 U 2 V j d G l v b j E v U H J p b 3 I g W W V h c i B B Z G p 1 c 3 R l Z C B G b 3 J t d W x h I G N v d W 5 0 c y 9 D a G F u Z 2 V k I F R 5 c G U u e 0 F k a i B w b 3 Z l c n R 5 I H B l c m N l b n R h Z 2 U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m l v c i U y M F l l Y X I l M j B O Z X Q l M j B 0 b y U y M G R p c 3 R y a W N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Q t S S U y M F N 0 Y X R l J T I w Q W R t J T I w J T I w M T A w N C h i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2 J l Z W I z M W Q w L W M 0 M z Y t N D d i O S 0 4 N D B m L W M 4 Y j l m M G Y 0 M D E 1 O C I g L z 4 8 R W 5 0 c n k g V H l w Z T 0 i U X V l c n l H c m 9 1 c E l E I i B W Y W x 1 Z T 0 i c 2 M z O W Z i M T h m L W E 1 N z c t N D A 4 N y 1 i Z m M 3 L W E x N W Z h Y T g 0 O T E y N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I 2 V D E 1 O j A y O j M x L j I 0 N z U z O D N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Y g R m l u I C B U L U k g U 3 R h d G U g Q W R t I C A x M D A 0 K G I p L 0 N o Y W 5 n Z W Q g V H l w Z T E u e 0 N v b H V t b j E s M H 0 m c X V v d D s s J n F 1 b 3 Q 7 U 2 V j d G l v b j E v U m V 2 I E Z p b i A g V C 1 J I F N 0 Y X R l I E F k b S A g M T A w N C h i K S 9 D a G F u Z 2 V k I F R 5 c G U x L n t U S V R M R S B J L C B Q Q V J U I E E g V E 9 U Q U w g T E V B I E d S Q U 5 U U y w x f S Z x d W 9 0 O y w m c X V v d D t T Z W N 0 a W 9 u M S 9 S Z X Y g R m l u I C B U L U k g U 3 R h d G U g Q W R t I C A x M D A 0 K G I p L 0 N o Y W 5 n Z W Q g V H l w Z T E u e 1 R J V E x F I E k s I F B B U l Q g Q y B N S U d S Q U 5 U I E V E V U N B V E l P T i A s M n 0 m c X V v d D s s J n F 1 b 3 Q 7 U 2 V j d G l v b j E v U m V 2 I E Z p b i A g V C 1 J I F N 0 Y X R l I E F k b S A g M T A w N C h i K S 9 D a G F u Z 2 V k I F R 5 c G U x L n t U S V R M R S B J L C B Q Q V J U I E Q s I F N V Q l B B U l Q g M S B T V E F U R S B O R U d M R U N U R U Q g X H U w M D I 2 I E R F T E l O U V V F T l Q g U F J P R 1 J B T S A s M 3 0 m c X V v d D s s J n F 1 b 3 Q 7 U 2 V j d G l v b j E v U m V 2 I E Z p b i A g V C 1 J I F N 0 Y X R l I E F k b S A g M T A w N C h i K S 9 D a G F u Z 2 V k I F R 5 c G U x L n t U T 1 R B T C B U S V R M R S B J L C B Q Q V J U U y B B L C B D L C B c d T A w M j Y g R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S Z X Y g R m l u I C B U L U k g U 3 R h d G U g Q W R t I C A x M D A 0 K G I p L 0 N o Y W 5 n Z W Q g V H l w Z T E u e 0 N v b H V t b j E s M H 0 m c X V v d D s s J n F 1 b 3 Q 7 U 2 V j d G l v b j E v U m V 2 I E Z p b i A g V C 1 J I F N 0 Y X R l I E F k b S A g M T A w N C h i K S 9 D a G F u Z 2 V k I F R 5 c G U x L n t U S V R M R S B J L C B Q Q V J U I E E g V E 9 U Q U w g T E V B I E d S Q U 5 U U y w x f S Z x d W 9 0 O y w m c X V v d D t T Z W N 0 a W 9 u M S 9 S Z X Y g R m l u I C B U L U k g U 3 R h d G U g Q W R t I C A x M D A 0 K G I p L 0 N o Y W 5 n Z W Q g V H l w Z T E u e 1 R J V E x F I E k s I F B B U l Q g Q y B N S U d S Q U 5 U I E V E V U N B V E l P T i A s M n 0 m c X V v d D s s J n F 1 b 3 Q 7 U 2 V j d G l v b j E v U m V 2 I E Z p b i A g V C 1 J I F N 0 Y X R l I E F k b S A g M T A w N C h i K S 9 D a G F u Z 2 V k I F R 5 c G U x L n t U S V R M R S B J L C B Q Q V J U I E Q s I F N V Q l B B U l Q g M S B T V E F U R S B O R U d M R U N U R U Q g X H U w M D I 2 I E R F T E l O U V V F T l Q g U F J P R 1 J B T S A s M 3 0 m c X V v d D s s J n F 1 b 3 Q 7 U 2 V j d G l v b j E v U m V 2 I E Z p b i A g V C 1 J I F N 0 Y X R l I E F k b S A g M T A w N C h i K S 9 D a G F u Z 2 V k I F R 5 c G U x L n t U T 1 R B T C B U S V R M R S B J L C B Q Q V J U U y B B L C B D L C B c d T A w M j Y g R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C 1 J J T I w U 3 R h d G U l M j B B Z G 0 l M j A l M j A x M D A 0 K G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Q t S S U y M F N 0 Y X R l J T I w Q W R t J T I w J T I w M T A w N C h i K S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Q t S S U y M F N 0 Y X R l J T I w Q W R t J T I w J T I w M T A w N C h i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L U k l M j B T d G F 0 Z S U y M E F k b S U y M C U y M D E w M D Q o Y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d W 1 w d G l v b n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d W 1 w d G l v b n M v R X h w Y W 5 k Z W Q l M j B S Z X Y l M j B G a W 4 l M j A l M j B U L U k l M j B T d G F 0 Z S U y M E F k b S U y M C U y M D E w M D Q o Y i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R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d y b 3 V w S U Q i I F Z h b H V l P S J z Y z M 5 Z m I x O G Y t Y T U 3 N y 0 0 M D g 3 L W J m Y z c t Y T E 1 Z m F h O D Q 5 M T I 0 I i A v P j x F b n R y e S B U e X B l P S J S Z W N v d m V y e V R h c m d l d F J v d y I g V m F s d W U 9 I m w x I i A v P j x F b n R y e S B U e X B l P S J S Z W N v d m V y e V R h c m d l d E N v b H V t b i I g V m F s d W U 9 I m w y I i A v P j x F b n R y e S B U e X B l P S J S Z W N v d m V y e V R h c m d l d F N o Z W V 0 I i B W Y W x 1 Z T 0 i c 0 F z c 3 V t c H R p b 2 5 z I C I g L z 4 8 R W 5 0 c n k g V H l w Z T 0 i T G 9 h Z G V k V G 9 B b m F s e X N p c 1 N l c n Z p Y 2 V z I i B W Y W x 1 Z T 0 i b D A i I C 8 + P E V u d H J 5 I F R 5 c G U 9 I k Z p b G x U Y X J n Z X Q i I F Z h b H V l P S J z V G l 0 b G U i I C 8 + P E V u d H J 5 I F R 5 c G U 9 I l F 1 Z X J 5 S U Q i I F Z h b H V l P S J z M z k 5 Z T Y 2 N W Y t O T Q 4 Z S 0 0 Z G U x L T g 0 Y 2 E t O D U x N T c 0 Y j Z l Y T R h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G a W x s T G F z d F V w Z G F 0 Z W Q i I F Z h b H V l P S J k M j A y N C 0 w N C 0 y N l Q x N T o w M j o y O S 4 4 M T g 2 N j E 4 W i I g L z 4 8 R W 5 0 c n k g V H l w Z T 0 i R m l s b E N v b H V t b l R 5 c G V z I i B W Y W x 1 Z T 0 i c 0 J n P T 0 i I C 8 + P E V u d H J 5 I F R 5 c G U 9 I k Z p b G x D b 2 x 1 b W 5 O Y W 1 l c y I g V m F s d W U 9 I n N b J n F 1 b 3 Q 7 Q 2 9 s d W 1 u M S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l 0 b G U v Q 2 h h b m d l Z C B U e X B l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1 R p d G x l L 0 N o Y W 5 n Z W Q g V H l w Z S 5 7 Q 2 9 s d W 1 u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l 0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0 b G U v S 2 V w d C U y M E Z p c n N 0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P b m x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Y y U y M G x v b 2 t i Y W N r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N j M z l m Y j E 4 Z i 1 h N T c 3 L T Q w O D c t Y m Z j N y 1 h M T V m Y W E 4 N D k x M j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Y j A x N D l i Z j I t M D U x M C 0 0 N j A 5 L W F j N z I t Y 2 Y y N T I 4 M W Q 4 N j I 0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T k i I C 8 + P E V u d H J 5 I F R 5 c G U 9 I k Z p b G x M Y X N 0 V X B k Y X R l Z C I g V m F s d W U 9 I m Q y M D I 0 L T A 0 L T I 2 V D E 1 O j A y O j I 5 L j g y M D g 3 N z F a I i A v P j x F b n R y e S B U e X B l P S J G a W x s Q 2 9 s d W 1 u V H l w Z X M i I F Z h b H V l P S J z Q m d Z R i I g L z 4 8 R W 5 0 c n k g V H l w Z T 0 i R m l s b E N v b H V t b k 5 h b W V z I i B W Y W x 1 Z T 0 i c 1 s m c X V v d D t M R U F J R C Z x d W 9 0 O y w m c X V v d D t N b 3 N 0 I H J l Y 2 V u d C B l b G l n a W J p b G l 0 e S B 5 Z W F y J n F 1 b 3 Q 7 L C Z x d W 9 0 O 0 N v b m M g Y W x s b 2 N h d G l v b i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Y y B s b 2 9 r Y m F j a y 9 D a G F u Z 2 V k I F R 5 c G U u e 0 x F Q U l E L D B 9 J n F 1 b 3 Q 7 L C Z x d W 9 0 O 1 N l Y 3 R p b 2 4 x L 0 N v b m M g b G 9 v a 2 J h Y 2 s v Q 2 h h b m d l Z C B U e X B l L n t N b 3 N 0 I H J l Y 2 V u d C B l b G l n a W J p b G l 0 e S B 5 Z W F y L D F 9 J n F 1 b 3 Q 7 L C Z x d W 9 0 O 1 N l Y 3 R p b 2 4 x L 0 N v b m M g b G 9 v a 2 J h Y 2 s v Q 2 h h b m d l Z C B U e X B l L n t D b 2 5 j I G F s b G 9 j Y X R p b 2 4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2 9 u Y y B s b 2 9 r Y m F j a y 9 D a G F u Z 2 V k I F R 5 c G U u e 0 x F Q U l E L D B 9 J n F 1 b 3 Q 7 L C Z x d W 9 0 O 1 N l Y 3 R p b 2 4 x L 0 N v b m M g b G 9 v a 2 J h Y 2 s v Q 2 h h b m d l Z C B U e X B l L n t N b 3 N 0 I H J l Y 2 V u d C B l b G l n a W J p b G l 0 e S B 5 Z W F y L D F 9 J n F 1 b 3 Q 7 L C Z x d W 9 0 O 1 N l Y 3 R p b 2 4 x L 0 N v b m M g b G 9 v a 2 J h Y 2 s v Q 2 h h b m d l Z C B U e X B l L n t D b 2 5 j I G F s b G 9 j Y X R p b 2 4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m M l M j B s b 2 9 r Y m F j a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8 L 0 l 0 Z W 1 Q Y X R o P j w v S X R l b U x v Y 2 F 0 a W 9 u P j x T d G F i b G V F b n R y a W V z P j x F b n R y e S B U e X B l P S J R d W V y e U d y b 3 V w S U Q i I F Z h b H V l P S J z N z k 0 O T d k Y T g t O W U y M C 0 0 N z k 3 L T k 5 M W I t M G V i N T Y 1 Z j I 5 N T k 0 I i A v P j x F b n R y e S B U e X B l P S J G a W x s R W 5 h Y m x l Z C I g V m F s d W U 9 I m w x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X V l c n l J R C I g V m F s d W U 9 I n M x N j I 2 M T F k O C 1 m M j c 0 L T Q 1 N T Q t O W N j N y 0 y Z T k 4 N m I 5 Z m I 3 Y j I i I C 8 + P E V u d H J 5 I F R 5 c G U 9 I k Z p b G x U b 0 R h d G F N b 2 R l b E V u Y W J s Z W Q i I F Z h b H V l P S J s M S I g L z 4 8 R W 5 0 c n k g V H l w Z T 0 i R m l s b F R h c m d l d C I g V m F s d W U 9 I n N J b m l 0 a W F s X 2 F k a n V z d G V k X 2 Z v c m 1 1 b G F f Y 2 9 1 b n Q i I C 8 + P E V u d H J 5 I F R 5 c G U 9 I k Z p b G x P Y m p l Y 3 R U e X B l I i B W Y W x 1 Z T 0 i c 1 R h Y m x l I i A v P j x F b n R y e S B U e X B l P S J G a W x s T G F z d F V w Z G F 0 Z W Q i I F Z h b H V l P S J k M j A y N C 0 w N C 0 y N l Q x N T o w M j o y O S 4 4 M j A 4 N z c x W i I g L z 4 8 R W 5 0 c n k g V H l w Z T 0 i R m l s b E N v b H V t b l R 5 c G V z I i B W Y W x 1 Z T 0 i c 0 F B Q U d C U V V G Q l F V R k J R V U V B Q U F B Q U E 9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E 3 I i A v P j x F b n R y e S B U e X B l P S J G a W x s Q 2 9 s d W 1 u T m F t Z X M i I F Z h b H V l P S J z W y Z x d W 9 0 O 0 x F Q U l E J n F 1 b 3 Q 7 L C Z x d W 9 0 O 0 x F Q U 5 B T U U m c X V v d D s s J n F 1 b 3 Q 7 U 2 V u Z G l u Z 0 x F Q W l k J n F 1 b 3 Q 7 L C Z x d W 9 0 O 0 5 F R y 4 g Y W R q J n F 1 b 3 Q 7 L C Z x d W 9 0 O 0 F k a i B E R U w u J n F 1 b 3 Q 7 L C Z x d W 9 0 O 0 F k a i B G b 3 N 0 Z X I m c X V v d D s s J n F 1 b 3 Q 7 Q W R q I F R B T k Y m c X V v d D s s J n F 1 b 3 Q 7 Q W R q I C 0 g N S 0 x N y B w b 3 A m c X V v d D s s J n F 1 b 3 Q 7 Q W R q I H B v d m V y d H k m c X V v d D s s J n F 1 b 3 Q 7 Q W R q I F R v d G F s I G Z v c m 1 1 b G E g Y 2 9 1 b n Q m c X V v d D s s J n F 1 b 3 Q 7 V G 9 0 Y W w g R m 9 y b X V s Y S B D b 3 V u d C B E T 0 U g J n F 1 b 3 Q 7 L C Z x d W 9 0 O 0 F k a i B w b 3 Z l c n R 5 I H B l c m N l b n R h Z 2 U m c X V v d D s s J n F 1 b 3 Q 7 Q k F T S U M g Z W x p Z 2 l i a W x p d H k m c X V v d D s s J n F 1 b 3 Q 7 Q 2 9 u Y y 4 g R W x p Z 2 l n a W J p b G l 0 e S Z x d W 9 0 O y w m c X V v d D t U Y X J n Z X R l Z C B F b G l n a W J p b G l 0 e S Z x d W 9 0 O y w m c X V v d D t F R k l H I G V s a W d p Y m l s a X R 5 J n F 1 b 3 Q 7 X S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d W x 0 a X B s a W V y c y 9 T b 3 V y Y 2 U u e 1 N l b m R p b m d M R U F p Z C w y f S Z x d W 9 0 O y w m c X V v d D t T Z W N 0 a W 9 u M S 9 J b m l 0 a W F s I G F k a n V z d G V k I G Z v c m 1 1 b G E g Y 2 9 1 b n Q v Q 2 h h b m d l Z C B U e X B l M S 5 7 T k V H L i B h Z G o s M 3 0 m c X V v d D s s J n F 1 b 3 Q 7 U 2 V j d G l v b j E v S W 5 p d G l h b C B h Z G p 1 c 3 R l Z C B m b 3 J t d W x h I G N v d W 5 0 L 0 N o Y W 5 n Z W Q g V H l w Z T E u e 0 F k a i B E R U w u L D R 9 J n F 1 b 3 Q 7 L C Z x d W 9 0 O 1 N l Y 3 R p b 2 4 x L 0 l u a X R p Y W w g Y W R q d X N 0 Z W Q g Z m 9 y b X V s Y S B j b 3 V u d C 9 D a G F u Z 2 V k I F R 5 c G U x L n t B Z G o g R m 9 z d G V y L D V 9 J n F 1 b 3 Q 7 L C Z x d W 9 0 O 1 N l Y 3 R p b 2 4 x L 0 l u a X R p Y W w g Y W R q d X N 0 Z W Q g Z m 9 y b X V s Y S B j b 3 V u d C 9 D a G F u Z 2 V k I F R 5 c G U x L n t B Z G o g V E F O R i w 2 f S Z x d W 9 0 O y w m c X V v d D t T Z W N 0 a W 9 u M S 9 J b m l 0 a W F s I G F k a n V z d G V k I G Z v c m 1 1 b G E g Y 2 9 1 b n Q v Q 2 h h b m d l Z C B U e X B l M S 5 7 Q W R q I C 0 g N S 0 x N y B w b 3 A s N 3 0 m c X V v d D s s J n F 1 b 3 Q 7 U 2 V j d G l v b j E v S W 5 p d G l h b C B h Z G p 1 c 3 R l Z C B m b 3 J t d W x h I G N v d W 5 0 L 0 N o Y W 5 n Z W Q g V H l w Z T E u e 0 F k a i B w b 3 Z l c n R 5 L D h 9 J n F 1 b 3 Q 7 L C Z x d W 9 0 O 1 N l Y 3 R p b 2 4 x L 0 l u a X R p Y W w g Y W R q d X N 0 Z W Q g Z m 9 y b X V s Y S B j b 3 V u d C 9 D a G F u Z 2 V k I F R 5 c G U x L n t B Z G o g V G 9 0 Y W w g Z m 9 y b X V s Y S B j b 3 V u d C w 5 f S Z x d W 9 0 O y w m c X V v d D t T Z W N 0 a W 9 u M S 9 J b m l 0 a W F s I G F k a n V z d G V k I G Z v c m 1 1 b G E g Y 2 9 1 b n Q v Q 2 h h b m d l Z C B U e X B l M S 5 7 V G 9 0 Y W w g R m 9 y b X V s Y S B D b 3 V u d C B E T 0 U g L D E w f S Z x d W 9 0 O y w m c X V v d D t T Z W N 0 a W 9 u M S 9 J b m l 0 a W F s I G F k a n V z d G V k I G Z v c m 1 1 b G E g Y 2 9 1 b n Q v Q 2 h h b m d l Z C B U e X B l L n t B Z G o g c G 9 2 Z X J 0 e S B w Z X J j Z W 5 0 Y W d l L D I 4 f S Z x d W 9 0 O y w m c X V v d D t T Z W N 0 a W 9 u M S 9 J b m l 0 a W F s I G F k a n V z d G V k I G Z v c m 1 1 b G E g Y 2 9 1 b n Q v Q m F z a W M g Z W x p Z 2 l i a W x p d H k u e 0 J B U 0 l D I G V s a W d p Y m l s a X R 5 L D I 5 f S Z x d W 9 0 O y w m c X V v d D t T Z W N 0 a W 9 u M S 9 J b m l 0 a W F s I G F k a n V z d G V k I G Z v c m 1 1 b G E g Y 2 9 1 b n Q v Q 2 9 u Y y 4 g R W x p Z 2 l i a W x p d H k u e 0 N v b m M u I E V s a W d p Z 2 l i a W x p d H k s M z B 9 J n F 1 b 3 Q 7 L C Z x d W 9 0 O 1 N l Y 3 R p b 2 4 x L 0 l u a X R p Y W w g Y W R q d X N 0 Z W Q g Z m 9 y b X V s Y S B j b 3 V u d C 9 U Y X J n Z X R l Z C B l b G l n a W J p b G l 0 e S 5 7 V G F y Z 2 V 0 Z W Q g R W x p Z 2 l i a W x p d H k s M z F 9 J n F 1 b 3 Q 7 L C Z x d W 9 0 O 1 N l Y 3 R p b 2 4 x L 0 l u a X R p Y W w g Y W R q d X N 0 Z W Q g Z m 9 y b X V s Y S B j b 3 V u d C 9 F R k l H I G V s a W d p Y m l s a X R 5 L n t F R k l H I G V s a W d p Y m l s a X R 5 L D M y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d W x 0 a X B s a W V y c y 9 T b 3 V y Y 2 U u e 1 N l b m R p b m d M R U F p Z C w y f S Z x d W 9 0 O y w m c X V v d D t T Z W N 0 a W 9 u M S 9 J b m l 0 a W F s I G F k a n V z d G V k I G Z v c m 1 1 b G E g Y 2 9 1 b n Q v Q 2 h h b m d l Z C B U e X B l M S 5 7 T k V H L i B h Z G o s M 3 0 m c X V v d D s s J n F 1 b 3 Q 7 U 2 V j d G l v b j E v S W 5 p d G l h b C B h Z G p 1 c 3 R l Z C B m b 3 J t d W x h I G N v d W 5 0 L 0 N o Y W 5 n Z W Q g V H l w Z T E u e 0 F k a i B E R U w u L D R 9 J n F 1 b 3 Q 7 L C Z x d W 9 0 O 1 N l Y 3 R p b 2 4 x L 0 l u a X R p Y W w g Y W R q d X N 0 Z W Q g Z m 9 y b X V s Y S B j b 3 V u d C 9 D a G F u Z 2 V k I F R 5 c G U x L n t B Z G o g R m 9 z d G V y L D V 9 J n F 1 b 3 Q 7 L C Z x d W 9 0 O 1 N l Y 3 R p b 2 4 x L 0 l u a X R p Y W w g Y W R q d X N 0 Z W Q g Z m 9 y b X V s Y S B j b 3 V u d C 9 D a G F u Z 2 V k I F R 5 c G U x L n t B Z G o g V E F O R i w 2 f S Z x d W 9 0 O y w m c X V v d D t T Z W N 0 a W 9 u M S 9 J b m l 0 a W F s I G F k a n V z d G V k I G Z v c m 1 1 b G E g Y 2 9 1 b n Q v Q 2 h h b m d l Z C B U e X B l M S 5 7 Q W R q I C 0 g N S 0 x N y B w b 3 A s N 3 0 m c X V v d D s s J n F 1 b 3 Q 7 U 2 V j d G l v b j E v S W 5 p d G l h b C B h Z G p 1 c 3 R l Z C B m b 3 J t d W x h I G N v d W 5 0 L 0 N o Y W 5 n Z W Q g V H l w Z T E u e 0 F k a i B w b 3 Z l c n R 5 L D h 9 J n F 1 b 3 Q 7 L C Z x d W 9 0 O 1 N l Y 3 R p b 2 4 x L 0 l u a X R p Y W w g Y W R q d X N 0 Z W Q g Z m 9 y b X V s Y S B j b 3 V u d C 9 D a G F u Z 2 V k I F R 5 c G U x L n t B Z G o g V G 9 0 Y W w g Z m 9 y b X V s Y S B j b 3 V u d C w 5 f S Z x d W 9 0 O y w m c X V v d D t T Z W N 0 a W 9 u M S 9 J b m l 0 a W F s I G F k a n V z d G V k I G Z v c m 1 1 b G E g Y 2 9 1 b n Q v Q 2 h h b m d l Z C B U e X B l M S 5 7 V G 9 0 Y W w g R m 9 y b X V s Y S B D b 3 V u d C B E T 0 U g L D E w f S Z x d W 9 0 O y w m c X V v d D t T Z W N 0 a W 9 u M S 9 J b m l 0 a W F s I G F k a n V z d G V k I G Z v c m 1 1 b G E g Y 2 9 1 b n Q v Q 2 h h b m d l Z C B U e X B l L n t B Z G o g c G 9 2 Z X J 0 e S B w Z X J j Z W 5 0 Y W d l L D I 4 f S Z x d W 9 0 O y w m c X V v d D t T Z W N 0 a W 9 u M S 9 J b m l 0 a W F s I G F k a n V z d G V k I G Z v c m 1 1 b G E g Y 2 9 1 b n Q v Q m F z a W M g Z W x p Z 2 l i a W x p d H k u e 0 J B U 0 l D I G V s a W d p Y m l s a X R 5 L D I 5 f S Z x d W 9 0 O y w m c X V v d D t T Z W N 0 a W 9 u M S 9 J b m l 0 a W F s I G F k a n V z d G V k I G Z v c m 1 1 b G E g Y 2 9 1 b n Q v Q 2 9 u Y y 4 g R W x p Z 2 l i a W x p d H k u e 0 N v b m M u I E V s a W d p Z 2 l i a W x p d H k s M z B 9 J n F 1 b 3 Q 7 L C Z x d W 9 0 O 1 N l Y 3 R p b 2 4 x L 0 l u a X R p Y W w g Y W R q d X N 0 Z W Q g Z m 9 y b X V s Y S B j b 3 V u d C 9 U Y X J n Z X R l Z C B l b G l n a W J p b G l 0 e S 5 7 V G F y Z 2 V 0 Z W Q g R W x p Z 2 l i a W x p d H k s M z F 9 J n F 1 b 3 Q 7 L C Z x d W 9 0 O 1 N l Y 3 R p b 2 4 x L 0 l u a X R p Y W w g Y W R q d X N 0 Z W Q g Z m 9 y b X V s Y S B j b 3 V u d C 9 F R k l H I G V s a W d p Y m l s a X R 5 L n t F R k l H I G V s a W d p Y m l s a X R 5 L D M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V 4 c G F u Z G V k J T I w Q X B w Z W 5 k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B Z G o l M j A 1 L T E 3 J T I w c G 9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F k a i U y M H B v d m V y d H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W R q J T I w V G 9 0 Y W w l M j B m b 3 J t d W x h J T I w Y 2 9 1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W R q J T I w c G 9 2 Z X J 0 e S U y M H B l Y 2 V u d G F n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C Y X N p Y y U y M G V s a W d p Y m l s a X R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N v b m M u J T I w R W x p Z 2 l i a W x p d H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V G F y Z 2 V 0 Z W Q l M j B l b G l n a W J p b G l 0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F R k l H J T I w Z W x p Z 2 l i a W x p d H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9 1 b n Q l M j B w Z X I l M j B G b 3 J t d W x h J T I w c 3 R 1 Z G V u d D w v S X R l b V B h d G g + P C 9 J d G V t T G 9 j Y X R p b 2 4 + P F N 0 Y W J s Z U V u d H J p Z X M + P E V u d H J 5 I F R 5 c G U 9 I l F 1 Z X J 5 R 3 J v d X B J R C I g V m F s d W U 9 I n M 3 O T Q 5 N 2 R h O C 0 5 Z T I w L T Q 3 O T c t O T k x Y i 0 w Z W I 1 N j V m M j k 1 O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R d W V y e U l E I i B W Y W x 1 Z T 0 i c z I 4 Z j I z Y T Y y L T B i Y j I t N D k w Z C 1 h O T R k L T M 4 Z G E 5 N D c z N m V m O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A x I i A v P j x F b n R y e S B U e X B l P S J G a W x s T G F z d F V w Z G F 0 Z W Q i I F Z h b H V l P S J k M j A y N C 0 w N C 0 y N l Q x N T o w M j o y O S 4 4 M z E y N D k 2 W i I g L z 4 8 R W 5 0 c n k g V H l w Z T 0 i R m l s b E N v b H V t b l R 5 c G V z I i B W Y W x 1 Z T 0 i c 0 J n W U F B Q U F B I i A v P j x F b n R y e S B U e X B l P S J G a W x s Q 2 9 s d W 1 u T m F t Z X M i I F Z h b H V l P S J z W y Z x d W 9 0 O 0 x F Q W l k J n F 1 b 3 Q 7 L C Z x d W 9 0 O 0 x F Q U 5 h b W U m c X V v d D s s J n F 1 b 3 Q 7 Q m F z a W M g Q W 1 v d W 5 0 I H B l c i B m b 3 J t d W x h I H N 0 d W R l b n Q m c X V v d D s s J n F 1 b 3 Q 7 Q 2 9 u Y y 4 g Q W 1 v d W 5 0 I H B l c i B G b 3 J t d W x h I F N 0 d W R l b n Q m c X V v d D s s J n F 1 b 3 Q 7 V G F y Z 2 V 0 Z W Q g Q W 1 v d W 5 0 I H B l c i B G b 3 J t d W x h I F N 0 d W R l b n Q m c X V v d D s s J n F 1 b 3 Q 7 R U Z J R y B B b W 9 1 b n Q g c G V y I E Z v c m 1 1 b G E g U 3 R 1 Z G V u d C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9 F I E F s b G 9 j Y X R p b 2 4 v Q 2 h h b m d l Z C B U e X B l L n t M R U F p Z C w w f S Z x d W 9 0 O y w m c X V v d D t T Z W N 0 a W 9 u M S 9 E T 0 U g Q W x s b 2 N h d G l v b i 9 D a G F u Z 2 V k I F R 5 c G U u e 0 x F Q U 5 h b W U s M X 0 m c X V v d D s s J n F 1 b 3 Q 7 U 2 V j d G l v b j E v Q W 1 v d W 5 0 I H B l c i B G b 3 J t d W x h I H N 0 d W R l b n Q v Q m F z a W M g Q W 1 v d W 5 0 I H B l c i B G b 3 J t d W x h I F N 0 d W R l b n Q u e 0 J h c 2 l j I E F t b 3 V u d C B w Z X I g Z m 9 y b X V s Y S B z d H V k Z W 5 0 L D E 1 f S Z x d W 9 0 O y w m c X V v d D t T Z W N 0 a W 9 u M S 9 B b W 9 1 b n Q g c G V y I E Z v c m 1 1 b G E g c 3 R 1 Z G V u d C 9 D b 2 5 j L i B B b W 9 1 b n Q g c G V y I E Z v c m 1 1 b G E g U 3 R 1 Z G V u d C 5 7 Q 2 9 u Y y 4 g Q W 1 v d W 5 0 I H B l c i B G b 3 J t d W x h I F N 0 d W R l b n Q s M T Z 9 J n F 1 b 3 Q 7 L C Z x d W 9 0 O 1 N l Y 3 R p b 2 4 x L 0 F t b 3 V u d C B w Z X I g R m 9 y b X V s Y S B z d H V k Z W 5 0 L 1 R h c m d l d G V k I E F t b 3 V u d C B w Z X I g R m 9 y b X V s Y S B T d H V k Z W 5 0 L n t U Y X J n Z X R l Z C B B b W 9 1 b n Q g c G V y I E Z v c m 1 1 b G E g U 3 R 1 Z G V u d C w x N 3 0 m c X V v d D s s J n F 1 b 3 Q 7 U 2 V j d G l v b j E v Q W 1 v d W 5 0 I H B l c i B G b 3 J t d W x h I H N 0 d W R l b n Q v R U Z J R y B B b W 9 1 b n Q g c G V y I E Z v c m 1 1 b G E g U 3 R 1 Z G V u d C 5 7 R U Z J R y B B b W 9 1 b n Q g c G V y I E Z v c m 1 1 b G E g U 3 R 1 Z G V u d C w x O H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E 9 F I E F s b G 9 j Y X R p b 2 4 v Q 2 h h b m d l Z C B U e X B l L n t M R U F p Z C w w f S Z x d W 9 0 O y w m c X V v d D t T Z W N 0 a W 9 u M S 9 E T 0 U g Q W x s b 2 N h d G l v b i 9 D a G F u Z 2 V k I F R 5 c G U u e 0 x F Q U 5 h b W U s M X 0 m c X V v d D s s J n F 1 b 3 Q 7 U 2 V j d G l v b j E v Q W 1 v d W 5 0 I H B l c i B G b 3 J t d W x h I H N 0 d W R l b n Q v Q m F z a W M g Q W 1 v d W 5 0 I H B l c i B G b 3 J t d W x h I F N 0 d W R l b n Q u e 0 J h c 2 l j I E F t b 3 V u d C B w Z X I g Z m 9 y b X V s Y S B z d H V k Z W 5 0 L D E 1 f S Z x d W 9 0 O y w m c X V v d D t T Z W N 0 a W 9 u M S 9 B b W 9 1 b n Q g c G V y I E Z v c m 1 1 b G E g c 3 R 1 Z G V u d C 9 D b 2 5 j L i B B b W 9 1 b n Q g c G V y I E Z v c m 1 1 b G E g U 3 R 1 Z G V u d C 5 7 Q 2 9 u Y y 4 g Q W 1 v d W 5 0 I H B l c i B G b 3 J t d W x h I F N 0 d W R l b n Q s M T Z 9 J n F 1 b 3 Q 7 L C Z x d W 9 0 O 1 N l Y 3 R p b 2 4 x L 0 F t b 3 V u d C B w Z X I g R m 9 y b X V s Y S B z d H V k Z W 5 0 L 1 R h c m d l d G V k I E F t b 3 V u d C B w Z X I g R m 9 y b X V s Y S B T d H V k Z W 5 0 L n t U Y X J n Z X R l Z C B B b W 9 1 b n Q g c G V y I E Z v c m 1 1 b G E g U 3 R 1 Z G V u d C w x N 3 0 m c X V v d D s s J n F 1 b 3 Q 7 U 2 V j d G l v b j E v Q W 1 v d W 5 0 I H B l c i B G b 3 J t d W x h I H N 0 d W R l b n Q v R U Z J R y B B b W 9 1 b n Q g c G V y I E Z v c m 1 1 b G E g U 3 R 1 Z G V u d C 5 7 R U Z J R y B B b W 9 1 b n Q g c G V y I E Z v c m 1 1 b G E g U 3 R 1 Z G V u d C w x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9 1 b n Q l M j B w Z X I l M j B G b 3 J t d W x h J T I w c 3 R 1 Z G V u d C 9 F e H B h b m R l Z C U y M E R P R S U y M E Z v c m 1 1 b G E l M j B j b 3 V u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W R k Z W Q l M j B D d X N 0 b 2 0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F k Z G V k J T I w Q 3 V z d G 9 t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D a G F u Z 2 V k J T I w V H l w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W R k Z W Q l M j B D d X N 0 b 2 0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N o Y W 5 n Z W Q l M j B U e X B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X V s d G l w b G l l c n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X V l c n l J R C I g V m F s d W U 9 I n M 4 N m Z m N 2 U 1 Z C 1 i N 2 I 5 L T Q 4 N D g t Y T M x N i 0 3 O D c x N 2 I z Y T U w N W Y i I C 8 + P E V u d H J 5 I F R 5 c G U 9 I l J l Y 2 9 2 Z X J 5 V G F y Z 2 V 0 U 2 h l Z X Q i I F Z h b H V l P S J z R G l z d H J p Y 3 R z I E 1 1 b H R p c G x p Z X I i I C 8 + P E V u d H J 5 I F R 5 c G U 9 I l F 1 Z X J 5 R 3 J v d X B J R C I g V m F s d W U 9 I n M x M T F j Y T g w O C 0 w N W V k L T Q 1 O T c t Y j U y M i 1 m M W Q 2 O T B k Z W U 1 O T A i I C 8 + P E V u d H J 5 I F R 5 c G U 9 I k Z p b G x U b 0 R h d G F N b 2 R l b E V u Y W J s Z W Q i I F Z h b H V l P S J s M S I g L z 4 8 R W 5 0 c n k g V H l w Z T 0 i R m l s b E 9 i a m V j d F R 5 c G U i I F Z h b H V l P S J z V G F i b G U i I C 8 + P E V u d H J 5 I F R 5 c G U 9 I k Z p b G x U Y X J n Z X Q i I F Z h b H V l P S J z T X V s d G l w b G l l c n M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y I i A v P j x F b n R y e S B U e X B l P S J G a W x s T G F z d F V w Z G F 0 Z W Q i I F Z h b H V l P S J k M j A y N C 0 w N C 0 y N l Q x N T o w M j o y O S 4 3 N j k x M z Q 4 W i I g L z 4 8 R W 5 0 c n k g V H l w Z T 0 i R m l s b E N v b H V t b l R 5 c G V z I i B W Y W x 1 Z T 0 i c 0 J n W U d B Q V l B Q U F R R S I g L z 4 8 R W 5 0 c n k g V H l w Z T 0 i R m l s b E N v b H V t b k 5 h b W V z I i B W Y W x 1 Z T 0 i c 1 s m c X V v d D t D Q 0 R E R C Z x d W 9 0 O y w m c X V v d D t E a X N 0 c m l j d E 5 h b W U m c X V v d D s s J n F 1 b 3 Q 7 U 2 V u Z G l u Z 0 x F Q W l k J n F 1 b 3 Q 7 L C Z x d W 9 0 O 0 R p c 3 R y a W N 0 V H l w Z S Z x d W 9 0 O y w m c X V v d D t M R U F p Z C Z x d W 9 0 O y w m c X V v d D t J c 0 5 l d y Z x d W 9 0 O y w m c X V v d D t J c 0 V 4 c G F u Z G V k J n F 1 b 3 Q 7 L C Z x d W 9 0 O 3 B v d m V y d H k g T X V s d G l w b G l l c i Z x d W 9 0 O y w m c X V v d D t F b n J v b G x t Z W 5 0 I G 1 1 b H R p c G x p Z X I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y Z x d W 9 0 O 0 N D R E R E J n F 1 b 3 Q 7 X S w m c X V v d D t x d W V y e V J l b G F 0 a W 9 u c 2 h p c H M m c X V v d D s 6 W 1 0 s J n F 1 b 3 Q 7 Y 2 9 s d W 1 u S W R l b n R p d G l l c y Z x d W 9 0 O z p b J n F 1 b 3 Q 7 U 2 V j d G l v b j E v T X V s d G l w b G l l c n M v Q 2 h h b m d l Z C B U e X B l L n t D Q 0 R E R C w w f S Z x d W 9 0 O y w m c X V v d D t T Z W N 0 a W 9 u M S 9 N d W x 0 a X B s a W V y c y 9 T b 3 V y Y 2 U u e 0 R p c 3 R y a W N 0 T m F t Z S w x f S Z x d W 9 0 O y w m c X V v d D t T Z W N 0 a W 9 u M S 9 N d W x 0 a X B s a W V y c y 9 T b 3 V y Y 2 U u e 1 N l b m R p b m d M R U F p Z C w y f S Z x d W 9 0 O y w m c X V v d D t T Z W N 0 a W 9 u M S 9 N d W x 0 a X B s a W V y c y 9 T b 3 V y Y 2 U u e 0 R p c 3 R y a W N 0 V H l w Z S w z f S Z x d W 9 0 O y w m c X V v d D t T Z W N 0 a W 9 u M S 9 N d W x 0 a X B s a W V y c y 9 D a G F u Z 2 V k I F R 5 c G U u e 0 x F Q W l k L D R 9 J n F 1 b 3 Q 7 L C Z x d W 9 0 O 1 N l Y 3 R p b 2 4 x L 0 1 1 b H R p c G x p Z X J z L 1 N v d X J j Z S 5 7 S X N O Z X c s N X 0 m c X V v d D s s J n F 1 b 3 Q 7 U 2 V j d G l v b j E v T X V s d G l w b G l l c n M v U 2 9 1 c m N l L n t J c 0 V 4 c G F u Z G V k L D Z 9 J n F 1 b 3 Q 7 L C Z x d W 9 0 O 1 N l Y 3 R p b 2 4 x L 0 1 1 b H R p c G x p Z X J z L 0 N o Y W 5 n Z W Q g V H l w Z T E u e 3 B v d m V y d H k g T X V s d G l w b G l l c i w x M X 0 m c X V v d D s s J n F 1 b 3 Q 7 U 2 V j d G l v b j E v T X V s d G l w b G l l c n M v Q 2 h h b m d l Z C B U e X B l M S 5 7 R W 5 y b 2 x s b W V u d C B t d W x 0 a X B s a W V y L D E y f S Z x d W 9 0 O 1 0 s J n F 1 b 3 Q 7 Q 2 9 s d W 1 u Q 2 9 1 b n Q m c X V v d D s 6 O S w m c X V v d D t L Z X l D b 2 x 1 b W 5 O Y W 1 l c y Z x d W 9 0 O z p b J n F 1 b 3 Q 7 Q 0 N E R E Q m c X V v d D t d L C Z x d W 9 0 O 0 N v b H V t b k l k Z W 5 0 a X R p Z X M m c X V v d D s 6 W y Z x d W 9 0 O 1 N l Y 3 R p b 2 4 x L 0 1 1 b H R p c G x p Z X J z L 0 N o Y W 5 n Z W Q g V H l w Z S 5 7 Q 0 N E R E Q s M H 0 m c X V v d D s s J n F 1 b 3 Q 7 U 2 V j d G l v b j E v T X V s d G l w b G l l c n M v U 2 9 1 c m N l L n t E a X N 0 c m l j d E 5 h b W U s M X 0 m c X V v d D s s J n F 1 b 3 Q 7 U 2 V j d G l v b j E v T X V s d G l w b G l l c n M v U 2 9 1 c m N l L n t T Z W 5 k a W 5 n T E V B a W Q s M n 0 m c X V v d D s s J n F 1 b 3 Q 7 U 2 V j d G l v b j E v T X V s d G l w b G l l c n M v U 2 9 1 c m N l L n t E a X N 0 c m l j d F R 5 c G U s M 3 0 m c X V v d D s s J n F 1 b 3 Q 7 U 2 V j d G l v b j E v T X V s d G l w b G l l c n M v Q 2 h h b m d l Z C B U e X B l L n t M R U F p Z C w 0 f S Z x d W 9 0 O y w m c X V v d D t T Z W N 0 a W 9 u M S 9 N d W x 0 a X B s a W V y c y 9 T b 3 V y Y 2 U u e 0 l z T m V 3 L D V 9 J n F 1 b 3 Q 7 L C Z x d W 9 0 O 1 N l Y 3 R p b 2 4 x L 0 1 1 b H R p c G x p Z X J z L 1 N v d X J j Z S 5 7 S X N F e H B h b m R l Z C w 2 f S Z x d W 9 0 O y w m c X V v d D t T Z W N 0 a W 9 u M S 9 N d W x 0 a X B s a W V y c y 9 D a G F u Z 2 V k I F R 5 c G U x L n t w b 3 Z l c n R 5 I E 1 1 b H R p c G x p Z X I s M T F 9 J n F 1 b 3 Q 7 L C Z x d W 9 0 O 1 N l Y 3 R p b 2 4 x L 0 1 1 b H R p c G x p Z X J z L 0 N o Y W 5 n Z W Q g V H l w Z T E u e 0 V u c m 9 s b G 1 l b n Q g b X V s d G l w b G l l c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1 b H R p c G x p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X V s d G l w b G l l c n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F e H B h b m R l Z C U y M F N w b G l 0 J T I w Q 2 F s Y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X V s d G l w b G l l c n M v R X h w Y W 5 k Z W Q l M j B T c G x p d C U y M E N h b G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D b 2 5 z b 2 x p Z G F 0 Z S U y M E x F Q U l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N v b n N v b G l k Y X R l J T I w T E V B T k F N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S Z W 5 h b W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F b n J v b G x t Z W 5 0 J T I w b X V s d G l w b G l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X V s d G l w b G l l c n M v U G 9 2 Z X J 0 e S U y M E 1 1 b H R p c G x p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9 1 b n Q l M j B w Z X I l M j B G b 3 J t d W x h J T I w c 3 R 1 Z G V u d C 9 C Y X N p Y y U y M E F t b 3 V u d C U y M H B l c i U y M E Z v c m 1 1 b G E l M j B T d H V k Z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v d W 5 0 J T I w c G V y J T I w R m 9 y b X V s Y S U y M H N 0 d W R l b n Q v Q 2 9 u Y y 4 l M j B B b W 9 1 b n Q l M j B w Z X I l M j B G b 3 J t d W x h J T I w U 3 R 1 Z G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1 R h c m d l d G V k J T I w Q W 1 v d W 5 0 J T I w c G V y J T I w R m 9 y b X V s Y S U y M F N 0 d W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9 1 b n Q l M j B w Z X I l M j B G b 3 J t d W x h J T I w c 3 R 1 Z G V u d C 9 F R k l H J T I w Q W 1 v d W 5 0 J T I w c G V y J T I w R m 9 y b X V s Y S U y M F N 0 d W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9 1 b n Q l M j B w Z X I l M j B G b 3 J t d W x h J T I w c 3 R 1 Z G V u d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U b 3 R h b C U y M E Z v c m 1 1 b G E l M j B D b 3 V u d C U y M E R P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P C 9 J d G V t U G F 0 a D 4 8 L 0 l 0 Z W 1 M b 2 N h d G l v b j 4 8 U 3 R h Y m x l R W 5 0 c m l l c z 4 8 R W 5 0 c n k g V H l w Z T 0 i U X V l c n l H c m 9 1 c E l E I i B W Y W x 1 Z T 0 i c z c 5 N D k 3 Z G E 4 L T l l M j A t N D c 5 N y 0 5 O T F i L T B l Y j U 2 N W Y y O T U 5 N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F 1 Z X J 5 S U Q i I F Z h b H V l P S J z Y T A 3 Y T M 1 Z j U t M j c 5 N S 0 0 N z A y L T l k N j k t Y 2 F m M D k 3 M 2 V i Y z A x I i A v P j x F b n R y e S B U e X B l P S J G a W x s V G F y Z 2 V 0 I i B W Y W x 1 Z T 0 i c 0 l u a X R p Y W x f Y W R q d X N 0 Z W R f Y W x s b 2 N h d G l v b n M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x N y I g L z 4 8 R W 5 0 c n k g V H l w Z T 0 i R m l s b E x h c 3 R V c G R h d G V k I i B W Y W x 1 Z T 0 i Z D I w M j Q t M D Q t M j Z U M T U 6 M D I 6 M j k u O D Q x N j c 3 M F o i I C 8 + P E V u d H J 5 I F R 5 c G U 9 I k Z p b G x D b 2 x 1 b W 5 U e X B l c y I g V m F s d W U 9 I n N B Q U F G Q l F V R k J R V U Z C U V V G I i A v P j x F b n R y e S B U e X B l P S J G a W x s Q 2 9 s d W 1 u T m F t Z X M i I F Z h b H V l P S J z W y Z x d W 9 0 O 0 x F Q U l E J n F 1 b 3 Q 7 L C Z x d W 9 0 O 0 x F Q U 5 B T U U m c X V v d D s s J n F 1 b 3 Q 7 Q k F T S U M g S G 9 s Z C B I Y X J t b G V z c y B i Y X N l I C h Q c m l v c i B 5 Z W F y I G F k a n V z d G V k I G F s b G 9 j K S Z x d W 9 0 O y w m c X V v d D t D b 2 5 j I E h v b G Q g S G F y b W x l c 3 M g Q m F z Z S A o I D Q g e W V h c i B s b 2 9 r Y m F j a y k m c X V v d D s s J n F 1 b 3 Q 7 V E F S R 0 V U R U Q g S G 9 s Z C B I Y X J t b G V z c y B C Y X N l I C h Q c m l v c i B Z Z W F y I G F k a n V z d G V k I G F s b G 9 j K S Z x d W 9 0 O y w m c X V v d D t F R k l H I E h v b G Q g S G F y b W x l c 3 M g Y m F z Z S A o U H J p b 3 I g W W V h c i B h Z G p 1 c 3 R l Z C B h b G x v Y y k m c X V v d D s s J n F 1 b 3 Q 7 V G 9 0 Y W w g S G 9 s Z C B I Y X J t b G V z c y B i Y X N l J n F 1 b 3 Q 7 L C Z x d W 9 0 O 0 F k a i B C Y X N p Y y B B b G x v Y 2 F 0 a W 9 u I C Z x d W 9 0 O y w m c X V v d D t B Z G o g Q 2 9 u Y y 4 g Q W x s b 2 N h d G l v b i A m c X V v d D s s J n F 1 b 3 Q 7 Q W R q I F R h c m d l d G V k I G F s b G 9 j Y X R p b 2 4 m c X V v d D s s J n F 1 b 3 Q 7 Q W R q I E V G S U c g Q W x s b 2 N h d G l v b i Z x d W 9 0 O y w m c X V v d D t B Z G o g V G 9 0 Y W w g V G l 0 b G U g S S B B b G x v Y 2 F 0 a W 9 u I C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u a X R p Y W w g Y W R q d X N 0 Z W Q g Z m 9 y b X V s Y S B j b 3 V u d C 9 D b 2 5 z b 2 x p Z G F 0 Z S B M R U F J R C 5 7 Y W R q I E x F Q U l E L D M z f S Z x d W 9 0 O y w m c X V v d D t T Z W N 0 a W 9 u M S 9 J b m l 0 a W F s I G F k a n V z d G V k I G Z v c m 1 1 b G E g Y 2 9 1 b n Q v Q 2 9 u c 2 9 s a W R h d G U g T E V B T k F N R S 5 7 T E V B T k F N R S w z N H 0 m c X V v d D s s J n F 1 b 3 Q 7 U 2 V j d G l v b j E v S W 5 p d G l h b C B h Z G p 1 c 3 R l Z C B h b G x v Y 2 F 0 a W 9 u c y 9 D a G F u Z 2 V k I F R 5 c G U u e 0 J B U 0 l D I E h v b G Q g S G F y b W x l c 3 M g Y m F z Z S A o U H J p b 3 I g e W V h c i B h Z G p 1 c 3 R l Z C B h b G x v Y y k s M n 0 m c X V v d D s s J n F 1 b 3 Q 7 U 2 V j d G l v b j E v S W 5 p d G l h b C B h Z G p 1 c 3 R l Z C B h b G x v Y 2 F 0 a W 9 u c y 9 D a G F u Z 2 V k I F R 5 c G U u e 0 N v b m M g S G 9 s Z C B I Y X J t b G V z c y B C Y X N l I C g g N C B 5 Z W F y I G x v b 2 t i Y W N r K S w z f S Z x d W 9 0 O y w m c X V v d D t T Z W N 0 a W 9 u M S 9 J b m l 0 a W F s I G F k a n V z d G V k I G F s b G 9 j Y X R p b 2 5 z L 0 N o Y W 5 n Z W Q g V H l w Z S 5 7 V E F S R 0 V U R U Q g S G 9 s Z C B I Y X J t b G V z c y B C Y X N l I C h Q c m l v c i B Z Z W F y I G F k a n V z d G V k I G F s b G 9 j K S w 0 f S Z x d W 9 0 O y w m c X V v d D t T Z W N 0 a W 9 u M S 9 J b m l 0 a W F s I G F k a n V z d G V k I G F s b G 9 j Y X R p b 2 5 z L 0 N o Y W 5 n Z W Q g V H l w Z S 5 7 R U Z J R y B I b 2 x k I E h h c m 1 s Z X N z I G J h c 2 U g K F B y a W 9 y I F l l Y X I g Y W R q d X N 0 Z W Q g Y W x s b 2 M p L D V 9 J n F 1 b 3 Q 7 L C Z x d W 9 0 O 1 N l Y 3 R p b 2 4 x L 0 l u a X R p Y W w g Y W R q d X N 0 Z W Q g Y W x s b 2 N h d G l v b n M v Q 2 h h b m d l Z C B U e X B l L n t U b 3 R h b C B I b 2 x k I E h h c m 1 s Z X N z I G J h c 2 U s N n 0 m c X V v d D s s J n F 1 b 3 Q 7 U 2 V j d G l v b j E v S W 5 p d G l h b C B h Z G p 1 c 3 R l Z C B h b G x v Y 2 F 0 a W 9 u c y 9 D a G F u Z 2 V k I F R 5 c G U u e 0 F k a i B C Y X N p Y y B B b G x v Y 2 F 0 a W 9 u I C w 3 f S Z x d W 9 0 O y w m c X V v d D t T Z W N 0 a W 9 u M S 9 J b m l 0 a W F s I G F k a n V z d G V k I G F s b G 9 j Y X R p b 2 5 z L 0 N o Y W 5 n Z W Q g V H l w Z S 5 7 Q W R q I E N v b m M u I E F s b G 9 j Y X R p b 2 4 g L D h 9 J n F 1 b 3 Q 7 L C Z x d W 9 0 O 1 N l Y 3 R p b 2 4 x L 0 l u a X R p Y W w g Y W R q d X N 0 Z W Q g Y W x s b 2 N h d G l v b n M v Q 2 h h b m d l Z C B U e X B l L n t B Z G o g V G F y Z 2 V 0 Z W Q g Y W x s b 2 N h d G l v b i w 5 f S Z x d W 9 0 O y w m c X V v d D t T Z W N 0 a W 9 u M S 9 J b m l 0 a W F s I G F k a n V z d G V k I G F s b G 9 j Y X R p b 2 5 z L 0 N o Y W 5 n Z W Q g V H l w Z S 5 7 Q W R q I E V G S U c g Q W x s b 2 N h d G l v b i w x M H 0 m c X V v d D s s J n F 1 b 3 Q 7 U 2 V j d G l v b j E v S W 5 p d G l h b C B h Z G p 1 c 3 R l Z C B h b G x v Y 2 F 0 a W 9 u c y 9 D a G F u Z 2 V k I F R 5 c G U u e 0 F k a i B U b 3 R h b C B U a X R s Z S B J I E F s b G 9 j Y X R p b 2 4 g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J b m l 0 a W F s I G F k a n V z d G V k I G F s b G 9 j Y X R p b 2 5 z L 0 N o Y W 5 n Z W Q g V H l w Z S 5 7 Q k F T S U M g S G 9 s Z C B I Y X J t b G V z c y B i Y X N l I C h Q c m l v c i B 5 Z W F y I G F k a n V z d G V k I G F s b G 9 j K S w y f S Z x d W 9 0 O y w m c X V v d D t T Z W N 0 a W 9 u M S 9 J b m l 0 a W F s I G F k a n V z d G V k I G F s b G 9 j Y X R p b 2 5 z L 0 N o Y W 5 n Z W Q g V H l w Z S 5 7 Q 2 9 u Y y B I b 2 x k I E h h c m 1 s Z X N z I E J h c 2 U g K C A 0 I H l l Y X I g b G 9 v a 2 J h Y 2 s p L D N 9 J n F 1 b 3 Q 7 L C Z x d W 9 0 O 1 N l Y 3 R p b 2 4 x L 0 l u a X R p Y W w g Y W R q d X N 0 Z W Q g Y W x s b 2 N h d G l v b n M v Q 2 h h b m d l Z C B U e X B l L n t U Q V J H R V R F R C B I b 2 x k I E h h c m 1 s Z X N z I E J h c 2 U g K F B y a W 9 y I F l l Y X I g Y W R q d X N 0 Z W Q g Y W x s b 2 M p L D R 9 J n F 1 b 3 Q 7 L C Z x d W 9 0 O 1 N l Y 3 R p b 2 4 x L 0 l u a X R p Y W w g Y W R q d X N 0 Z W Q g Y W x s b 2 N h d G l v b n M v Q 2 h h b m d l Z C B U e X B l L n t F R k l H I E h v b G Q g S G F y b W x l c 3 M g Y m F z Z S A o U H J p b 3 I g W W V h c i B h Z G p 1 c 3 R l Z C B h b G x v Y y k s N X 0 m c X V v d D s s J n F 1 b 3 Q 7 U 2 V j d G l v b j E v S W 5 p d G l h b C B h Z G p 1 c 3 R l Z C B h b G x v Y 2 F 0 a W 9 u c y 9 D a G F u Z 2 V k I F R 5 c G U u e 1 R v d G F s I E h v b G Q g S G F y b W x l c 3 M g Y m F z Z S w 2 f S Z x d W 9 0 O y w m c X V v d D t T Z W N 0 a W 9 u M S 9 J b m l 0 a W F s I G F k a n V z d G V k I G F s b G 9 j Y X R p b 2 5 z L 0 N o Y W 5 n Z W Q g V H l w Z S 5 7 Q W R q I E J h c 2 l j I E F s b G 9 j Y X R p b 2 4 g L D d 9 J n F 1 b 3 Q 7 L C Z x d W 9 0 O 1 N l Y 3 R p b 2 4 x L 0 l u a X R p Y W w g Y W R q d X N 0 Z W Q g Y W x s b 2 N h d G l v b n M v Q 2 h h b m d l Z C B U e X B l L n t B Z G o g Q 2 9 u Y y 4 g Q W x s b 2 N h d G l v b i A s O H 0 m c X V v d D s s J n F 1 b 3 Q 7 U 2 V j d G l v b j E v S W 5 p d G l h b C B h Z G p 1 c 3 R l Z C B h b G x v Y 2 F 0 a W 9 u c y 9 D a G F u Z 2 V k I F R 5 c G U u e 0 F k a i B U Y X J n Z X R l Z C B h b G x v Y 2 F 0 a W 9 u L D l 9 J n F 1 b 3 Q 7 L C Z x d W 9 0 O 1 N l Y 3 R p b 2 4 x L 0 l u a X R p Y W w g Y W R q d X N 0 Z W Q g Y W x s b 2 N h d G l v b n M v Q 2 h h b m d l Z C B U e X B l L n t B Z G o g R U Z J R y B B b G x v Y 2 F 0 a W 9 u L D E w f S Z x d W 9 0 O y w m c X V v d D t T Z W N 0 a W 9 u M S 9 J b m l 0 a W F s I G F k a n V z d G V k I G F s b G 9 j Y X R p b 2 5 z L 0 N o Y W 5 n Z W Q g V H l w Z S 5 7 Q W R q I F R v d G F s I F R p d G x l I E k g Q W x s b 2 N h d G l v b i A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G b 3 J t d W x h J T I w c 3 R 1 Z G V u d H M l M j B h Z G p 1 c 3 R t Z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M R W F p Z C U y M G Z v c i U y M G p v a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R X h w Y W 5 k Z W Q l M j B E T 0 U l M j B B b G x v Y 2 F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F e H B h b m R l Z C U y M E F t b 3 V u d C U y M H B l c i U y M E Z v c m 1 1 b G E l M j B z d H V k Z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Y W R q J T I w Q m F z a W M l M j B B b G x v Y 2 F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B Z G o l M j B O R U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W R q J T I w R E V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F k a i U y M E Z v c 3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B Z G o l M j B U Q U 5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Q W R q J T I w Q 2 9 u Y y 4 l M j B B b G x v Y 2 F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Q W R q J T I w R U Z J R y U y M E F s b G 9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B Z G o l M j B U b 3 R h b C U y M F R p d G x l J T I w S S U y M E F s b G 9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V 4 c G F u Z G V k J T I w U H J p b 3 I l M j B Z Z W F y J T I w Y W R q d X N 0 Z W Q l M j B h b G x v Y 2 F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V G 9 0 Y W w l M j B I b 2 x k J T I w S G F y b W x l c 3 M l M j B i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P C 9 J d G V t U G F 0 a D 4 8 L 0 l 0 Z W 1 M b 2 N h d G l v b j 4 8 U 3 R h Y m x l R W 5 0 c m l l c z 4 8 R W 5 0 c n k g V H l w Z T 0 i U X V l c n l H c m 9 1 c E l E I i B W Y W x 1 Z T 0 i c z c 5 N D k 3 Z G E 4 L T l l M j A t N D c 5 N y 0 5 O T F i L T B l Y j U 2 N W Y y O T U 5 N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G a W x s Z W R D b 2 1 w b G V 0 Z V J l c 3 V s d F R v V 2 9 y a 3 N o Z W V 0 I i B W Y W x 1 Z T 0 i b D E i I C 8 + P E V u d H J 5 I F R 5 c G U 9 I l F 1 Z X J 5 S U Q i I F Z h b H V l P S J z O W R k M z U w Y m Y t Z j A y M i 0 0 M 2 I 2 L W I y M j I t Z j k 3 Z m M y O W Q y Y j V i I i A v P j x F b n R y e S B U e X B l P S J G a W x s V G F y Z 2 V 0 I i B W Y W x 1 Z T 0 i c 1 R h Y m x l X 0 N v b m N f Z W x p Z 2 l i a W x p d H l f e W V h c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E 4 I i A v P j x F b n R y e S B U e X B l P S J G a W x s T G F z d F V w Z G F 0 Z W Q i I F Z h b H V l P S J k M j A y N C 0 w N C 0 y N l Q x N T o w M j o y O S 4 4 N T A w M z M 3 W i I g L z 4 8 R W 5 0 c n k g V H l w Z T 0 i R m l s b E N v b H V t b l R 5 c G V z I i B W Y W x 1 Z T 0 i c 0 F B Q U F B Q U E 9 I i A v P j x F b n R y e S B U e X B l P S J G a W x s Q 2 9 s d W 1 u T m F t Z X M i I F Z h b H V l P S J z W y Z x d W 9 0 O 0 x F Q U l E J n F 1 b 3 Q 7 L C Z x d W 9 0 O 0 x F Q U 5 B T U U m c X V v d D s s J n F 1 b 3 Q 7 Q 2 9 u Y y 4 g R W x p Z 2 l n a W J p b G l 0 e S Z x d W 9 0 O y w m c X V v d D t F b G l n a W J p b G l 0 e S B Z Z W F y J n F 1 b 3 Q 7 L C Z x d W 9 0 O 0 N v b m M g Y W x s b 2 N h d G l v b i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Y y B l b G l n a W J p b G l 0 e S B 5 Z W F y L 0 Z p b G x l Z C B V c C 5 7 T E V B S U Q s M H 0 m c X V v d D s s J n F 1 b 3 Q 7 U 2 V j d G l v b j E v Q 2 9 u Y y B l b G l n a W J p b G l 0 e S B 5 Z W F y L 0 Z p b G x l Z C B V c C 5 7 T E V B T k F N R S w x f S Z x d W 9 0 O y w m c X V v d D t T Z W N 0 a W 9 u M S 9 D b 2 5 j I G V s a W d p Y m l s a X R 5 I H l l Y X I v R m l s b G V k I F V w L n t D b 2 5 j L i B F b G l n a W d p Y m l s a X R 5 L D J 9 J n F 1 b 3 Q 7 L C Z x d W 9 0 O 1 N l Y 3 R p b 2 4 x L 0 N v b m M g Z W x p Z 2 l i a W x p d H k g e W V h c i 9 B Z G R l Z C B D d X N 0 b 2 0 u e 0 V s a W d p Y m l s a X R 5 I F l l Y X I s N H 0 m c X V v d D s s J n F 1 b 3 Q 7 U 2 V j d G l v b j E v Q 2 9 u Y y B l b G l n a W J p b G l 0 e S B 5 Z W F y L 0 N v b m M g R W x p Z 2 l i a W x p d H k g Q W 1 v d W 5 0 L n t D b 2 5 j I G F s b G 9 j Y X R p b 2 4 s N X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2 9 u Y y B l b G l n a W J p b G l 0 e S B 5 Z W F y L 0 Z p b G x l Z C B V c C 5 7 T E V B S U Q s M H 0 m c X V v d D s s J n F 1 b 3 Q 7 U 2 V j d G l v b j E v Q 2 9 u Y y B l b G l n a W J p b G l 0 e S B 5 Z W F y L 0 Z p b G x l Z C B V c C 5 7 T E V B T k F N R S w x f S Z x d W 9 0 O y w m c X V v d D t T Z W N 0 a W 9 u M S 9 D b 2 5 j I G V s a W d p Y m l s a X R 5 I H l l Y X I v R m l s b G V k I F V w L n t D b 2 5 j L i B F b G l n a W d p Y m l s a X R 5 L D J 9 J n F 1 b 3 Q 7 L C Z x d W 9 0 O 1 N l Y 3 R p b 2 4 x L 0 N v b m M g Z W x p Z 2 l i a W x p d H k g e W V h c i 9 B Z G R l Z C B D d X N 0 b 2 0 u e 0 V s a W d p Y m l s a X R 5 I F l l Y X I s N H 0 m c X V v d D s s J n F 1 b 3 Q 7 U 2 V j d G l v b j E v Q 2 9 u Y y B l b G l n a W J p b G l 0 e S B 5 Z W F y L 0 N v b m M g R W x p Z 2 l i a W x p d H k g Q W 1 v d W 5 0 L n t D b 2 5 j I G F s b G 9 j Y X R p b 2 4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m M l M j B l b G l n a W J p b G l 0 e S U y M H l l Y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Y y U y M G V s a W d p Y m l s a X R 5 J T I w e W V h c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v Q X B w Z W 5 k Z W Q l M j B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v R m l s b G V k J T I w V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Y y U y M G V s a W d p Y m l s a X R 5 J T I w e W V h c i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z w v S X R l b V B h d G g + P C 9 J d G V t T G 9 j Y X R p b 2 4 + P F N 0 Y W J s Z U V u d H J p Z X M + P E V u d H J 5 I F R 5 c G U 9 I l F 1 Z X J 5 R 3 J v d X B J R C I g V m F s d W U 9 I n M 3 O T Q 5 N 2 R h O C 0 5 Z T I w L T Q 3 O T c t O T k x Y i 0 w Z W I 1 N j V m M j k 1 O T Q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R d W V y e U l E I i B W Y W x 1 Z T 0 i c z E 4 M G Q x Z j k 0 L W V j Z m M t N G Q 5 Y i 1 h Z j l m L T N i N m R l M D Q x M D g y M C I g L z 4 8 R W 5 0 c n k g V H l w Z T 0 i R m l s b F R h c m d l d C I g V m F s d W U 9 I n N O Z X d f b 3 J f R X h w Y W 5 k Z W R f S E h f Y 2 h l Y 2 s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x I i A v P j x F b n R y e S B U e X B l P S J G a W x s T G F z d F V w Z G F 0 Z W Q i I F Z h b H V l P S J k M j A y N C 0 w N C 0 y N l Q x N T o w M j o y O S 4 4 N T I z N z Y 1 W i I g L z 4 8 R W 5 0 c n k g V H l w Z T 0 i R m l s b E N v b H V t b l R 5 c G V z I i B W Y W x 1 Z T 0 i c 0 J n W U d C Z 0 F B Q l F R R E F B V U Z C U V V G Q l F V R k J R V U Z C U V V G Q l E 9 P S I g L z 4 8 R W 5 0 c n k g V H l w Z T 0 i R m l s b E N v b H V t b k 5 h b W V z I i B W Y W x 1 Z T 0 i c 1 s m c X V v d D t D Q 0 R E R C Z x d W 9 0 O y w m c X V v d D t E a X N 0 c m l j d E 5 h b W U m c X V v d D s s J n F 1 b 3 Q 7 U 2 V u Z G l u Z 0 x F Q W l k J n F 1 b 3 Q 7 L C Z x d W 9 0 O 0 x F Q W l k J n F 1 b 3 Q 7 L C Z x d W 9 0 O 0 l z T m V 3 J n F 1 b 3 Q 7 L C Z x d W 9 0 O 0 l z R X h w Y W 5 k Z W Q m c X V v d D s s J n F 1 b 3 Q 7 S W 5 p d G l h b C B h Z G p 1 c 3 R l Z C B m b 3 J t d W x h I G N v d W 5 0 L k F k a i B U b 3 R h b C B m b 3 J t d W x h I G N v d W 5 0 J n F 1 b 3 Q 7 L C Z x d W 9 0 O 0 l u a X R p Y W w g Y W R q d X N 0 Z W Q g Z m 9 y b X V s Y S B j b 3 V u d C 5 B Z G o g c G 9 2 Z X J 0 e S B w Z X J j Z W 5 0 Y W d l J n F 1 b 3 Q 7 L C Z x d W 9 0 O 1 B y a W 9 y I F l l Y X I g Q W R q d X N 0 Z W Q g R m 9 y b X V s Y S B j b 3 V u d H M u Q W R q I F R v d G F s I G Z v c m 1 1 b G E g Y 2 9 1 b n Q m c X V v d D s s J n F 1 b 3 Q 7 V G 9 0 Y W w g R m 9 y b X V s Y S B D b 3 V u d C B p b m N y Z W F z Z S Z x d W 9 0 O y w m c X V v d D t J b m l 0 a W F s I G F k a n V z d G V k I G F s b G 9 j Y X R p b 2 5 z L k J B U 0 l D I E h v b G Q g S G F y b W x l c 3 M g Y m F z Z S A o U H J p b 3 I g e W V h c i B h Z G p 1 c 3 R l Z C B h b G x v Y y Z x d W 9 0 O y w m c X V v d D t J b m l 0 a W F s I G F k a n V z d G V k I G F s b G 9 j Y X R p b 2 5 z L l R B U k d F V E V E I E h v b G Q g S G F y b W x l c 3 M g Q m F z Z S A o U H J p b 3 I g W W V h c i B h Z G p 1 c 3 R l Z C B h b C Z x d W 9 0 O y w m c X V v d D t J b m l 0 a W F s I G F k a n V z d G V k I G F s b G 9 j Y X R p b 2 5 z L k N v b m M g S G 9 s Z C B I Y X J t b G V z c y B C Y X N l I C g g N C B 5 Z W F y I G x v b 2 t i Y W N r K S Z x d W 9 0 O y w m c X V v d D t J b m l 0 a W F s I G F k a n V z d G V k I G F s b G 9 j Y X R p b 2 5 z L k V G S U c g S G 9 s Z C B I Y X J t b G V z c y B i Y X N l I C h Q c m l v c i B Z Z W F y I G F k a n V z d G V k I G F s b G 9 j K S Z x d W 9 0 O y w m c X V v d D t J b m l 0 a W F s I G F k a n V z d G V k I G F s b G 9 j Y X R p b 2 5 z L l R v d G F s I E h v b G Q g S G F y b W x l c 3 M g Y m F z Z S Z x d W 9 0 O y w m c X V v d D t J b m l 0 a W F s I G F k a n V z d G V k I G F s b G 9 j Y X R p b 2 5 z L k F k a i B C Y X N p Y y B B b G x v Y 2 F 0 a W 9 u I C Z x d W 9 0 O y w m c X V v d D t J b m l 0 a W F s I G F k a n V z d G V k I G F s b G 9 j Y X R p b 2 5 z L k F k a i B D b 2 5 j L i B B b G x v Y 2 F 0 a W 9 u I C Z x d W 9 0 O y w m c X V v d D t J b m l 0 a W F s I G F k a n V z d G V k I G F s b G 9 j Y X R p b 2 5 z L k F k a i B U Y X J n Z X R l Z C B h b G x v Y 2 F 0 a W 9 u J n F 1 b 3 Q 7 L C Z x d W 9 0 O 0 l u a X R p Y W w g Y W R q d X N 0 Z W Q g Y W x s b 2 N h d G l v b n M u Q W R q I E V G S U c g Q W x s b 2 N h d G l v b i Z x d W 9 0 O y w m c X V v d D t J b m l 0 a W F s I G F k a n V z d G V k I G F s b G 9 j Y X R p b 2 5 z L k F k a i B U b 3 R h b C B U a X R s Z S B J I E F s b G 9 j Y X R p b 2 4 g J n F 1 b 3 Q 7 L C Z x d W 9 0 O 0 5 l d y 9 F e H B h b m R l Z C B C Y X N p Y y B I S C B i Y X N l J n F 1 b 3 Q 7 L C Z x d W 9 0 O 0 5 l d y 9 F e H B h b m R p b m c g Q 2 9 u Y y B I S C B i Y X N l J n F 1 b 3 Q 7 L C Z x d W 9 0 O 0 5 l d y 9 F e H B h b m R p b m c g V G F y Z 2 V 0 Z W Q g S E g g Q m F z Z S Z x d W 9 0 O y w m c X V v d D t O Z X c g R X h w Y W 5 k a W 5 n I E V G S U c g S E g g Q m F z Z S Z x d W 9 0 O y w m c X V v d D t O Z X c g R X h w Y W 5 k Z W Q g d G 9 0 Y W w g S E g g Y m F z Z S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1 b H R p c G x p Z X J z L 0 N o Y W 5 n Z W Q g V H l w Z S 5 7 Q 0 N E R E Q s M H 0 m c X V v d D s s J n F 1 b 3 Q 7 U 2 V j d G l v b j E v T X V s d G l w b G l l c n M v U 2 9 1 c m N l L n t E a X N 0 c m l j d E 5 h b W U s M X 0 m c X V v d D s s J n F 1 b 3 Q 7 U 2 V j d G l v b j E v T X V s d G l w b G l l c n M v U 2 9 1 c m N l L n t T Z W 5 k a W 5 n T E V B a W Q s M n 0 m c X V v d D s s J n F 1 b 3 Q 7 U 2 V j d G l v b j E v T X V s d G l w b G l l c n M v Q 2 h h b m d l Z C B U e X B l L n t M R U F p Z C w 0 f S Z x d W 9 0 O y w m c X V v d D t T Z W N 0 a W 9 u M S 9 N d W x 0 a X B s a W V y c y 9 T b 3 V y Y 2 U u e 0 l z T m V 3 L D V 9 J n F 1 b 3 Q 7 L C Z x d W 9 0 O 1 N l Y 3 R p b 2 4 x L 0 1 1 b H R p c G x p Z X J z L 1 N v d X J j Z S 5 7 S X N F e H B h b m R l Z C w 2 f S Z x d W 9 0 O y w m c X V v d D t T Z W N 0 a W 9 u M S 9 J b m l 0 a W F s I G F k a n V z d G V k I G Z v c m 1 1 b G E g Y 2 9 1 b n Q v Q 2 h h b m d l Z C B U e X B l M S 5 7 Q W R q I F R v d G F s I G Z v c m 1 1 b G E g Y 2 9 1 b n Q s O X 0 m c X V v d D s s J n F 1 b 3 Q 7 U 2 V j d G l v b j E v S W 5 p d G l h b C B h Z G p 1 c 3 R l Z C B m b 3 J t d W x h I G N v d W 5 0 L 0 N o Y W 5 n Z W Q g V H l w Z S 5 7 Q W R q I H B v d m V y d H k g c G V y Y 2 V u d G F n Z S w y O H 0 m c X V v d D s s J n F 1 b 3 Q 7 U 2 V j d G l v b j E v U H J p b 3 I g W W V h c i B B Z G p 1 c 3 R l Z C B G b 3 J t d W x h I G N v d W 5 0 c y 9 D a G F u Z 2 V k I F R 5 c G U u e 0 F k a i B U b 3 R h b C B m b 3 J t d W x h I G N v d W 5 0 L D l 9 J n F 1 b 3 Q 7 L C Z x d W 9 0 O 1 N l Y 3 R p b 2 4 x L 0 5 l d y B v c i B F e H B h b m R l Z C B I S C B j a G V j a y 9 U b 3 R h b C B G b 3 J t d W x h I E N v d W 5 0 I E l u Y 3 J l Y X N l L n t U b 3 R h b C B G b 3 J t d W x h I E N v d W 5 0 I G l u Y 3 J l Y X N l L D l 9 J n F 1 b 3 Q 7 L C Z x d W 9 0 O 1 N l Y 3 R p b 2 4 x L 0 l u a X R p Y W w g Y W R q d X N 0 Z W Q g Y W x s b 2 N h d G l v b n M v Q 2 h h b m d l Z C B U e X B l L n t C Q V N J Q y B I b 2 x k I E h h c m 1 s Z X N z I G J h c 2 U g K F B y a W 9 y I H l l Y X I g Y W R q d X N 0 Z W Q g Y W x s b 2 M p L D J 9 J n F 1 b 3 Q 7 L C Z x d W 9 0 O 1 N l Y 3 R p b 2 4 x L 0 l u a X R p Y W w g Y W R q d X N 0 Z W Q g Y W x s b 2 N h d G l v b n M v Q 2 h h b m d l Z C B U e X B l L n t U Q V J H R V R F R C B I b 2 x k I E h h c m 1 s Z X N z I E J h c 2 U g K F B y a W 9 y I F l l Y X I g Y W R q d X N 0 Z W Q g Y W x s b 2 M p L D R 9 J n F 1 b 3 Q 7 L C Z x d W 9 0 O 1 N l Y 3 R p b 2 4 x L 0 l u a X R p Y W w g Y W R q d X N 0 Z W Q g Y W x s b 2 N h d G l v b n M v Q 2 h h b m d l Z C B U e X B l L n t D b 2 5 j I E h v b G Q g S G F y b W x l c 3 M g Q m F z Z S A o I D Q g e W V h c i B s b 2 9 r Y m F j a y k s M 3 0 m c X V v d D s s J n F 1 b 3 Q 7 U 2 V j d G l v b j E v S W 5 p d G l h b C B h Z G p 1 c 3 R l Z C B h b G x v Y 2 F 0 a W 9 u c y 9 D a G F u Z 2 V k I F R 5 c G U u e 0 V G S U c g S G 9 s Z C B I Y X J t b G V z c y B i Y X N l I C h Q c m l v c i B Z Z W F y I G F k a n V z d G V k I G F s b G 9 j K S w 1 f S Z x d W 9 0 O y w m c X V v d D t T Z W N 0 a W 9 u M S 9 J b m l 0 a W F s I G F k a n V z d G V k I G F s b G 9 j Y X R p b 2 5 z L 0 N o Y W 5 n Z W Q g V H l w Z S 5 7 V G 9 0 Y W w g S G 9 s Z C B I Y X J t b G V z c y B i Y X N l L D Z 9 J n F 1 b 3 Q 7 L C Z x d W 9 0 O 1 N l Y 3 R p b 2 4 x L 0 l u a X R p Y W w g Y W R q d X N 0 Z W Q g Y W x s b 2 N h d G l v b n M v Q 2 h h b m d l Z C B U e X B l L n t B Z G o g Q m F z a W M g Q W x s b 2 N h d G l v b i A s N 3 0 m c X V v d D s s J n F 1 b 3 Q 7 U 2 V j d G l v b j E v S W 5 p d G l h b C B h Z G p 1 c 3 R l Z C B h b G x v Y 2 F 0 a W 9 u c y 9 D a G F u Z 2 V k I F R 5 c G U u e 0 F k a i B D b 2 5 j L i B B b G x v Y 2 F 0 a W 9 u I C w 4 f S Z x d W 9 0 O y w m c X V v d D t T Z W N 0 a W 9 u M S 9 J b m l 0 a W F s I G F k a n V z d G V k I G F s b G 9 j Y X R p b 2 5 z L 0 N o Y W 5 n Z W Q g V H l w Z S 5 7 Q W R q I F R h c m d l d G V k I G F s b G 9 j Y X R p b 2 4 s O X 0 m c X V v d D s s J n F 1 b 3 Q 7 U 2 V j d G l v b j E v S W 5 p d G l h b C B h Z G p 1 c 3 R l Z C B h b G x v Y 2 F 0 a W 9 u c y 9 D a G F u Z 2 V k I F R 5 c G U u e 0 F k a i B F R k l H I E F s b G 9 j Y X R p b 2 4 s M T B 9 J n F 1 b 3 Q 7 L C Z x d W 9 0 O 1 N l Y 3 R p b 2 4 x L 0 l u a X R p Y W w g Y W R q d X N 0 Z W Q g Y W x s b 2 N h d G l v b n M v Q 2 h h b m d l Z C B U e X B l L n t B Z G o g V G 9 0 Y W w g V G l 0 b G U g S S B B b G x v Y 2 F 0 a W 9 u I C w x M X 0 m c X V v d D s s J n F 1 b 3 Q 7 U 2 V j d G l v b j E v T m V 3 I G 9 y I E V 4 c G F u Z G V k I E h I I G N o Z W N r L 0 N o Y W 5 n Z W Q g V H l w Z S 5 7 T m V 3 L 0 V 4 c G F u Z G V k I E J h c 2 l j I E h I I G J h c 2 U s M j B 9 J n F 1 b 3 Q 7 L C Z x d W 9 0 O 1 N l Y 3 R p b 2 4 x L 0 5 l d y B v c i B F e H B h b m R l Z C B I S C B j a G V j a y 9 D a G F u Z 2 V k I F R 5 c G U u e 0 5 l d y 9 F e H B h b m R p b m c g Q 2 9 u Y y B I S C B i Y X N l L D I x f S Z x d W 9 0 O y w m c X V v d D t T Z W N 0 a W 9 u M S 9 O Z X c g b 3 I g R X h w Y W 5 k Z W Q g S E g g Y 2 h l Y 2 s v Q 2 h h b m d l Z C B U e X B l L n t O Z X c v R X h w Y W 5 k a W 5 n I F R h c m d l d G V k I E h I I E J h c 2 U s M j J 9 J n F 1 b 3 Q 7 L C Z x d W 9 0 O 1 N l Y 3 R p b 2 4 x L 0 5 l d y B v c i B F e H B h b m R l Z C B I S C B j a G V j a y 9 D a G F u Z 2 V k I F R 5 c G U u e 0 5 l d y B F e H B h b m R p b m c g R U Z J R y B I S C B C Y X N l L D I z f S Z x d W 9 0 O y w m c X V v d D t T Z W N 0 a W 9 u M S 9 O Z X c g b 3 I g R X h w Y W 5 k Z W Q g S E g g Y 2 h l Y 2 s v Q 2 h h b m d l Z C B U e X B l L n t O Z X c g R X h w Y W 5 k Z W Q g d G 9 0 Y W w g S E g g Y m F z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0 1 1 b H R p c G x p Z X J z L 0 N o Y W 5 n Z W Q g V H l w Z S 5 7 Q 0 N E R E Q s M H 0 m c X V v d D s s J n F 1 b 3 Q 7 U 2 V j d G l v b j E v T X V s d G l w b G l l c n M v U 2 9 1 c m N l L n t E a X N 0 c m l j d E 5 h b W U s M X 0 m c X V v d D s s J n F 1 b 3 Q 7 U 2 V j d G l v b j E v T X V s d G l w b G l l c n M v U 2 9 1 c m N l L n t T Z W 5 k a W 5 n T E V B a W Q s M n 0 m c X V v d D s s J n F 1 b 3 Q 7 U 2 V j d G l v b j E v T X V s d G l w b G l l c n M v Q 2 h h b m d l Z C B U e X B l L n t M R U F p Z C w 0 f S Z x d W 9 0 O y w m c X V v d D t T Z W N 0 a W 9 u M S 9 N d W x 0 a X B s a W V y c y 9 T b 3 V y Y 2 U u e 0 l z T m V 3 L D V 9 J n F 1 b 3 Q 7 L C Z x d W 9 0 O 1 N l Y 3 R p b 2 4 x L 0 1 1 b H R p c G x p Z X J z L 1 N v d X J j Z S 5 7 S X N F e H B h b m R l Z C w 2 f S Z x d W 9 0 O y w m c X V v d D t T Z W N 0 a W 9 u M S 9 J b m l 0 a W F s I G F k a n V z d G V k I G Z v c m 1 1 b G E g Y 2 9 1 b n Q v Q 2 h h b m d l Z C B U e X B l M S 5 7 Q W R q I F R v d G F s I G Z v c m 1 1 b G E g Y 2 9 1 b n Q s O X 0 m c X V v d D s s J n F 1 b 3 Q 7 U 2 V j d G l v b j E v S W 5 p d G l h b C B h Z G p 1 c 3 R l Z C B m b 3 J t d W x h I G N v d W 5 0 L 0 N o Y W 5 n Z W Q g V H l w Z S 5 7 Q W R q I H B v d m V y d H k g c G V y Y 2 V u d G F n Z S w y O H 0 m c X V v d D s s J n F 1 b 3 Q 7 U 2 V j d G l v b j E v U H J p b 3 I g W W V h c i B B Z G p 1 c 3 R l Z C B G b 3 J t d W x h I G N v d W 5 0 c y 9 D a G F u Z 2 V k I F R 5 c G U u e 0 F k a i B U b 3 R h b C B m b 3 J t d W x h I G N v d W 5 0 L D l 9 J n F 1 b 3 Q 7 L C Z x d W 9 0 O 1 N l Y 3 R p b 2 4 x L 0 5 l d y B v c i B F e H B h b m R l Z C B I S C B j a G V j a y 9 U b 3 R h b C B G b 3 J t d W x h I E N v d W 5 0 I E l u Y 3 J l Y X N l L n t U b 3 R h b C B G b 3 J t d W x h I E N v d W 5 0 I G l u Y 3 J l Y X N l L D l 9 J n F 1 b 3 Q 7 L C Z x d W 9 0 O 1 N l Y 3 R p b 2 4 x L 0 l u a X R p Y W w g Y W R q d X N 0 Z W Q g Y W x s b 2 N h d G l v b n M v Q 2 h h b m d l Z C B U e X B l L n t C Q V N J Q y B I b 2 x k I E h h c m 1 s Z X N z I G J h c 2 U g K F B y a W 9 y I H l l Y X I g Y W R q d X N 0 Z W Q g Y W x s b 2 M p L D J 9 J n F 1 b 3 Q 7 L C Z x d W 9 0 O 1 N l Y 3 R p b 2 4 x L 0 l u a X R p Y W w g Y W R q d X N 0 Z W Q g Y W x s b 2 N h d G l v b n M v Q 2 h h b m d l Z C B U e X B l L n t U Q V J H R V R F R C B I b 2 x k I E h h c m 1 s Z X N z I E J h c 2 U g K F B y a W 9 y I F l l Y X I g Y W R q d X N 0 Z W Q g Y W x s b 2 M p L D R 9 J n F 1 b 3 Q 7 L C Z x d W 9 0 O 1 N l Y 3 R p b 2 4 x L 0 l u a X R p Y W w g Y W R q d X N 0 Z W Q g Y W x s b 2 N h d G l v b n M v Q 2 h h b m d l Z C B U e X B l L n t D b 2 5 j I E h v b G Q g S G F y b W x l c 3 M g Q m F z Z S A o I D Q g e W V h c i B s b 2 9 r Y m F j a y k s M 3 0 m c X V v d D s s J n F 1 b 3 Q 7 U 2 V j d G l v b j E v S W 5 p d G l h b C B h Z G p 1 c 3 R l Z C B h b G x v Y 2 F 0 a W 9 u c y 9 D a G F u Z 2 V k I F R 5 c G U u e 0 V G S U c g S G 9 s Z C B I Y X J t b G V z c y B i Y X N l I C h Q c m l v c i B Z Z W F y I G F k a n V z d G V k I G F s b G 9 j K S w 1 f S Z x d W 9 0 O y w m c X V v d D t T Z W N 0 a W 9 u M S 9 J b m l 0 a W F s I G F k a n V z d G V k I G F s b G 9 j Y X R p b 2 5 z L 0 N o Y W 5 n Z W Q g V H l w Z S 5 7 V G 9 0 Y W w g S G 9 s Z C B I Y X J t b G V z c y B i Y X N l L D Z 9 J n F 1 b 3 Q 7 L C Z x d W 9 0 O 1 N l Y 3 R p b 2 4 x L 0 l u a X R p Y W w g Y W R q d X N 0 Z W Q g Y W x s b 2 N h d G l v b n M v Q 2 h h b m d l Z C B U e X B l L n t B Z G o g Q m F z a W M g Q W x s b 2 N h d G l v b i A s N 3 0 m c X V v d D s s J n F 1 b 3 Q 7 U 2 V j d G l v b j E v S W 5 p d G l h b C B h Z G p 1 c 3 R l Z C B h b G x v Y 2 F 0 a W 9 u c y 9 D a G F u Z 2 V k I F R 5 c G U u e 0 F k a i B D b 2 5 j L i B B b G x v Y 2 F 0 a W 9 u I C w 4 f S Z x d W 9 0 O y w m c X V v d D t T Z W N 0 a W 9 u M S 9 J b m l 0 a W F s I G F k a n V z d G V k I G F s b G 9 j Y X R p b 2 5 z L 0 N o Y W 5 n Z W Q g V H l w Z S 5 7 Q W R q I F R h c m d l d G V k I G F s b G 9 j Y X R p b 2 4 s O X 0 m c X V v d D s s J n F 1 b 3 Q 7 U 2 V j d G l v b j E v S W 5 p d G l h b C B h Z G p 1 c 3 R l Z C B h b G x v Y 2 F 0 a W 9 u c y 9 D a G F u Z 2 V k I F R 5 c G U u e 0 F k a i B F R k l H I E F s b G 9 j Y X R p b 2 4 s M T B 9 J n F 1 b 3 Q 7 L C Z x d W 9 0 O 1 N l Y 3 R p b 2 4 x L 0 l u a X R p Y W w g Y W R q d X N 0 Z W Q g Y W x s b 2 N h d G l v b n M v Q 2 h h b m d l Z C B U e X B l L n t B Z G o g V G 9 0 Y W w g V G l 0 b G U g S S B B b G x v Y 2 F 0 a W 9 u I C w x M X 0 m c X V v d D s s J n F 1 b 3 Q 7 U 2 V j d G l v b j E v T m V 3 I G 9 y I E V 4 c G F u Z G V k I E h I I G N o Z W N r L 0 N o Y W 5 n Z W Q g V H l w Z S 5 7 T m V 3 L 0 V 4 c G F u Z G V k I E J h c 2 l j I E h I I G J h c 2 U s M j B 9 J n F 1 b 3 Q 7 L C Z x d W 9 0 O 1 N l Y 3 R p b 2 4 x L 0 5 l d y B v c i B F e H B h b m R l Z C B I S C B j a G V j a y 9 D a G F u Z 2 V k I F R 5 c G U u e 0 5 l d y 9 F e H B h b m R p b m c g Q 2 9 u Y y B I S C B i Y X N l L D I x f S Z x d W 9 0 O y w m c X V v d D t T Z W N 0 a W 9 u M S 9 O Z X c g b 3 I g R X h w Y W 5 k Z W Q g S E g g Y 2 h l Y 2 s v Q 2 h h b m d l Z C B U e X B l L n t O Z X c v R X h w Y W 5 k a W 5 n I F R h c m d l d G V k I E h I I E J h c 2 U s M j J 9 J n F 1 b 3 Q 7 L C Z x d W 9 0 O 1 N l Y 3 R p b 2 4 x L 0 5 l d y B v c i B F e H B h b m R l Z C B I S C B j a G V j a y 9 D a G F u Z 2 V k I F R 5 c G U u e 0 5 l d y B F e H B h b m R p b m c g R U Z J R y B I S C B C Y X N l L D I z f S Z x d W 9 0 O y w m c X V v d D t T Z W N 0 a W 9 u M S 9 O Z X c g b 3 I g R X h w Y W 5 k Z W Q g S E g g Y 2 h l Y 2 s v Q 2 h h b m d l Z C B U e X B l L n t O Z X c g R X h w Y W 5 k Z W Q g d G 9 0 Y W w g S E g g Y m F z Z S w y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V 4 c G F u Z G V k J T I w S W 5 p d G l h b C U y M G F k a n V z d G V k J T I w Z m 9 y b X V s Y S U y M G N v d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F e H B h b m R l Z C U y M F B y a W 9 y J T I w W W V h c i U y M E F k a n V z d G V k J T I w R m 9 y b X V s Y S U y M G N v d W 5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1 R v d G F s J T I w R m 9 y b X V s Y S U y M E N v d W 5 0 J T I w S W 5 j c m V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5 l d y U y R k V 4 c G F u Z G l u Z y U y M E J h c 2 l j J T I w S E g l M j B C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m V 3 J T I w R X h w Y W 5 k a W 5 n J T I w Y 2 9 u Y y U y M E h I J T I w Y m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5 l d y U y M E V 4 c G F u Z G l u Z y U y M F R h d G d l d G V k J T I w S E g l M j B i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m V 3 J T I w R X h w Y W 5 k a W 5 n J T I w R U Z J R y U y M E h I J T I w Q m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5 l d y U y M E V 4 c G F u Z G l u Z y U y M H R v d G F s J T I w S E g l M j B i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z w v S X R l b V B h d G g + P C 9 J d G V t T G 9 j Y X R p b 2 4 + P F N 0 Y W J s Z U V u d H J p Z X M + P E V u d H J 5 I F R 5 c G U 9 I l F 1 Z X J 5 R 3 J v d X B J R C I g V m F s d W U 9 I n M 3 O T Q 5 N 2 R h O C 0 5 Z T I w L T Q 3 O T c t O T k x Y i 0 w Z W I 1 N j V m M j k 1 O T Q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R d W V y e U l E I i B W Y W x 1 Z T 0 i c z g 5 N m F h Z W Z m L T E y O G U t N G I 4 Z i 1 i O T g x L T F l Z j F i N m I w N W R m N y I g L z 4 8 R W 5 0 c n k g V H l w Z T 0 i R m l s b F R h c m d l d C I g V m F s d W U 9 I n N N b 2 R l b F 9 h b G x v Y 2 F 0 a W 9 u c y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E 3 I i A v P j x F b n R y e S B U e X B l P S J G a W x s T G F z d F V w Z G F 0 Z W Q i I F Z h b H V l P S J k M j A y N C 0 w N C 0 y N l Q x N T o w M j o y O S 4 4 N j A 0 O T E 5 W i I g L z 4 8 R W 5 0 c n k g V H l w Z T 0 i R m l s b E N v b H V t b l R 5 c G V z I i B W Y W x 1 Z T 0 i c 0 F B Q U Z C U V V G Q l F V R k J R V U Y i I C 8 + P E V u d H J 5 I F R 5 c G U 9 I k Z p b G x D b 2 x 1 b W 5 O Y W 1 l c y I g V m F s d W U 9 I n N b J n F 1 b 3 Q 7 T E V B S U Q m c X V v d D s s J n F 1 b 3 Q 7 T E V B T k F N R S Z x d W 9 0 O y w m c X V v d D t C Q V N J Q y B I b 2 x k I E h h c m 1 s Z X N z I E J h c 2 U m c X V v d D s s J n F 1 b 3 Q 7 Q 2 9 u Y y B I b 2 x k I E h h c m 1 s Z X N z I E J h c 2 U m c X V v d D s s J n F 1 b 3 Q 7 V G F y Z 2 V 0 Z W Q g S G 9 s Z C B I Y X J t b G V z c y B C Y X N l J n F 1 b 3 Q 7 L C Z x d W 9 0 O 0 V G S U c g S G 9 s Z C B I Y X J t b G V z c y B C Y X N l J n F 1 b 3 Q 7 L C Z x d W 9 0 O 1 R v d G F s I E h v b G Q g S G F y b W x l c 3 M g Q m F z Z S Z x d W 9 0 O y w m c X V v d D t C Y X N p Y y B B b G x v Y 2 F 0 a W 9 u J n F 1 b 3 Q 7 L C Z x d W 9 0 O 0 N v b m M u I E F s b G 9 j Y X R p b 2 4 m c X V v d D s s J n F 1 b 3 Q 7 V G F y Z 2 V 0 Z W Q g Q W x s b 2 N h d G l v b i Z x d W 9 0 O y w m c X V v d D t F R k l H I E F s b G 9 j Y X R p b 2 4 m c X V v d D s s J n F 1 b 3 Q 7 V G 9 0 Y W w g V G l 0 b G U g S S B B b G x v Y 2 F 0 a W 9 u J n F 1 b 3 Q 7 X S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b 2 R l b C B h b G x v Y 2 F 0 a W 9 u c y 9 D a G F u Z 2 V k I F R 5 c G U u e 0 J B U 0 l D I E h v b G Q g S G F y b W x l c 3 M g Q m F z Z S w y f S Z x d W 9 0 O y w m c X V v d D t T Z W N 0 a W 9 u M S 9 N b 2 R l b C B h b G x v Y 2 F 0 a W 9 u c y 9 D a G F u Z 2 V k I F R 5 c G U u e 0 N v b m M g S G 9 s Z C B I Y X J t b G V z c y B C Y X N l L D N 9 J n F 1 b 3 Q 7 L C Z x d W 9 0 O 1 N l Y 3 R p b 2 4 x L 0 1 v Z G V s I G F s b G 9 j Y X R p b 2 5 z L 0 N o Y W 5 n Z W Q g V H l w Z S 5 7 V G F y Z 2 V 0 Z W Q g S G 9 s Z C B I Y X J t b G V z c y B C Y X N l L D R 9 J n F 1 b 3 Q 7 L C Z x d W 9 0 O 1 N l Y 3 R p b 2 4 x L 0 1 v Z G V s I G F s b G 9 j Y X R p b 2 5 z L 0 N o Y W 5 n Z W Q g V H l w Z S 5 7 R U Z J R y B I b 2 x k I E h h c m 1 s Z X N z I E J h c 2 U s N X 0 m c X V v d D s s J n F 1 b 3 Q 7 U 2 V j d G l v b j E v T W 9 k Z W w g Y W x s b 2 N h d G l v b n M v Q 2 h h b m d l Z C B U e X B l L n t U b 3 R h b C B I b 2 x k I E h h c m 1 s Z X N z I E J h c 2 U s N n 0 m c X V v d D s s J n F 1 b 3 Q 7 U 2 V j d G l v b j E v T W 9 k Z W w g Y W x s b 2 N h d G l v b n M v Q 2 h h b m d l Z C B U e X B l L n t C Y X N p Y y B B b G x v Y 2 F 0 a W 9 u L D d 9 J n F 1 b 3 Q 7 L C Z x d W 9 0 O 1 N l Y 3 R p b 2 4 x L 0 1 v Z G V s I G F s b G 9 j Y X R p b 2 5 z L 0 N o Y W 5 n Z W Q g V H l w Z S 5 7 Q 2 9 u Y y 4 g Q W x s b 2 N h d G l v b i w 4 f S Z x d W 9 0 O y w m c X V v d D t T Z W N 0 a W 9 u M S 9 N b 2 R l b C B h b G x v Y 2 F 0 a W 9 u c y 9 D a G F u Z 2 V k I F R 5 c G U u e 1 R h c m d l d G V k I E F s b G 9 j Y X R p b 2 4 s O X 0 m c X V v d D s s J n F 1 b 3 Q 7 U 2 V j d G l v b j E v T W 9 k Z W w g Y W x s b 2 N h d G l v b n M v Q 2 h h b m d l Z C B U e X B l L n t F R k l H I E F s b G 9 j Y X R p b 2 4 s M T B 9 J n F 1 b 3 Q 7 L C Z x d W 9 0 O 1 N l Y 3 R p b 2 4 x L 0 1 v Z G V s I G F s b G 9 j Y X R p b 2 5 z L 0 N o Y W 5 n Z W Q g V H l w Z S 5 7 V G 9 0 Y W w g V G l 0 b G U g S S B B b G x v Y 2 F 0 a W 9 u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b 2 R l b C B h b G x v Y 2 F 0 a W 9 u c y 9 D a G F u Z 2 V k I F R 5 c G U u e 0 J B U 0 l D I E h v b G Q g S G F y b W x l c 3 M g Q m F z Z S w y f S Z x d W 9 0 O y w m c X V v d D t T Z W N 0 a W 9 u M S 9 N b 2 R l b C B h b G x v Y 2 F 0 a W 9 u c y 9 D a G F u Z 2 V k I F R 5 c G U u e 0 N v b m M g S G 9 s Z C B I Y X J t b G V z c y B C Y X N l L D N 9 J n F 1 b 3 Q 7 L C Z x d W 9 0 O 1 N l Y 3 R p b 2 4 x L 0 1 v Z G V s I G F s b G 9 j Y X R p b 2 5 z L 0 N o Y W 5 n Z W Q g V H l w Z S 5 7 V G F y Z 2 V 0 Z W Q g S G 9 s Z C B I Y X J t b G V z c y B C Y X N l L D R 9 J n F 1 b 3 Q 7 L C Z x d W 9 0 O 1 N l Y 3 R p b 2 4 x L 0 1 v Z G V s I G F s b G 9 j Y X R p b 2 5 z L 0 N o Y W 5 n Z W Q g V H l w Z S 5 7 R U Z J R y B I b 2 x k I E h h c m 1 s Z X N z I E J h c 2 U s N X 0 m c X V v d D s s J n F 1 b 3 Q 7 U 2 V j d G l v b j E v T W 9 k Z W w g Y W x s b 2 N h d G l v b n M v Q 2 h h b m d l Z C B U e X B l L n t U b 3 R h b C B I b 2 x k I E h h c m 1 s Z X N z I E J h c 2 U s N n 0 m c X V v d D s s J n F 1 b 3 Q 7 U 2 V j d G l v b j E v T W 9 k Z W w g Y W x s b 2 N h d G l v b n M v Q 2 h h b m d l Z C B U e X B l L n t C Y X N p Y y B B b G x v Y 2 F 0 a W 9 u L D d 9 J n F 1 b 3 Q 7 L C Z x d W 9 0 O 1 N l Y 3 R p b 2 4 x L 0 1 v Z G V s I G F s b G 9 j Y X R p b 2 5 z L 0 N o Y W 5 n Z W Q g V H l w Z S 5 7 Q 2 9 u Y y 4 g Q W x s b 2 N h d G l v b i w 4 f S Z x d W 9 0 O y w m c X V v d D t T Z W N 0 a W 9 u M S 9 N b 2 R l b C B h b G x v Y 2 F 0 a W 9 u c y 9 D a G F u Z 2 V k I F R 5 c G U u e 1 R h c m d l d G V k I E F s b G 9 j Y X R p b 2 4 s O X 0 m c X V v d D s s J n F 1 b 3 Q 7 U 2 V j d G l v b j E v T W 9 k Z W w g Y W x s b 2 N h d G l v b n M v Q 2 h h b m d l Z C B U e X B l L n t F R k l H I E F s b G 9 j Y X R p b 2 4 s M T B 9 J n F 1 b 3 Q 7 L C Z x d W 9 0 O 1 N l Y 3 R p b 2 4 x L 0 1 v Z G V s I G F s b G 9 j Y X R p b 2 5 z L 0 N o Y W 5 n Z W Q g V H l w Z S 5 7 V G 9 0 Y W w g V G l 0 b G U g S S B B b G x v Y 2 F 0 a W 9 u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9 k Z W w l M j B h b G x v Y 2 F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0 V 4 c G F u Z G V k J T I w T m V 3 J T I w b 3 I l M j B F e H B h b m R l Z C U y M E h I J T I w Y 2 h l Y 2 s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0 N v b m M l M j B I b 2 x k J T I w S G F y b W x l c 3 M l M j B C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y 9 U Y X J n Z X R l Z C U y M E h v b G Q l M j B I Y X J t b G V z c y U y M E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0 V G S U c l M j B I b 2 x k J T I w S G F y b W x l c 3 M l M j B C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y 9 C Y X N p Y y U y M E h v b G Q l M j B I Y X J t b G V z c y U y M E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0 V 4 c G F u Z G V k J T I w T W 9 k Z W w l M j B h b G x v Y 2 F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0 N v b m M l M j B F b G l n a W J p b G l 0 e S U y M E F t b 3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T W V y Z 2 V k J T I w U X V l c m l l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F e H B h b m R l Z C U y M E N v b m M l M j B s b 2 9 r Y m F j a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V 4 c G F u Z G V k J T I w S W 5 p d G l h b C U y M G F k a n V z d G V k J T I w Y W x s b 2 N h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F s b G 9 j Y X R p b 2 4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B b G x v Y 2 F 0 a W 9 u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Q W x s b 2 N h d G l v b i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f V H J p Y m F s U 2 V u Z G l u Z y U y M E R p c 3 R y a W N 0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f V H J p Y m F s U 2 V u Z G l u Z y U y M E R p c 3 R y a W N 0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G F k a n V z d G V k J T I w Y W x s b 2 N h d G l v b n M v S W 5 p d G l h b C U y M G F k a n V z d G V k J T I w Y W x s b 2 N h d G l v b n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h Z G p 1 c 3 R l Z C U y M G F s b G 9 j Y X R p b 2 5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G F k a n V z d G V k J T I w Y W x s b 2 N h d G l v b n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B Z G p 1 c 3 R l Z C U y M E Z v c m 1 1 b G E l M j B j b 3 V u d H M v S W 5 p d G l h b F 9 h Z G p 1 c 3 R l Z F 9 m b 3 J t d W x h X 2 N v d W 5 0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Q W R q d X N 0 Z W Q l M j B G b 3 J t d W x h J T I w Y 2 9 1 b n R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Q W x s b 2 N h d G l v b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Z v c m 1 1 b G E l M j B j b 3 V u d H M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X 1 R y a W J h b F N l b m R p b m c l M j B E a X N 0 c m l j d H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Q W x s b 2 N h d G l v b i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R s Z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s b 2 9 r Y m F j a y 9 U Y W J s Z V 8 0 X 3 l l Y X J f b G 9 v a 2 J h Y 2 t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b G 9 v a 2 J h Y 2 s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N v b m M l M j B I S C U y M G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U l B M L 0 1 l c m d l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U E w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L U k l M j B T d G F 0 Z S U y M E F k b S U y M C U y M D E w M D Q o Y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O Z X Q l M j B 0 b y U y M G R p c 3 R y a W N 0 L 1 N 0 Y X R l J T I w U m V z Z X J 2 Y X R p b 2 5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F k a i U y M F R h c m d l d G V k J T I w Q W x s b 2 N h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d G x l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N E R E Q l M k Z M R U F p Z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L U k l M j B T d G F 0 Z S U y M E F k b S U y M C U y M D E w M D Q o Y i k v U H J l b C 4 l M j B U L U k l M j B T d G F 0 Z S U y M E F k b S U y M D E w M D Q o Y i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y 9 T d G F 0 Z S U y M F R h Y m x l J T I w R l k l M j A y N C U y M F B y Z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O Z X Q l M j B 0 b y U y M G R p c 3 R y a W N 0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0 b G U v U 3 R h d G U l M j B U Y W J s Z S U y M E Z Z J T I w M j Q l M j B Q c m V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F e H B h b m R l Z C U y M F B y a W 9 y J T I w W W V h c i U y M E F k a n V z d G V k J T I w R m 9 y b X V s Y S U y M G N v d W 5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2 h h b m d l Z C U y M F R 5 c G U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M 2 4 0 4 7 c f c Z E r i 4 o V p p P N F g A A A A A A g A A A A A A A 2 Y A A M A A A A A Q A A A A 7 W o p O 0 z e m V k I b 8 f U e U 6 O c w A A A A A E g A A A o A A A A B A A A A A 1 B 4 U Y S C c D r o 7 / B d 3 8 K v I b U A A A A H s / Z 5 W i D s A b G V w I 9 W n V d l z k i K y P K o c r 5 i N q y 5 0 q C R g v 8 0 8 F M I x T V H G D F u s 1 Y g y a 1 x X a A C w f B V 1 o 0 3 6 W 1 f j n 8 C Y Q u o e H 8 h T I H f t n o Q q I A v 5 V F A A A A F e k a 9 j n H E 5 5 k 9 F E 4 i J 7 w y k M s B o S < / D a t a M a s h u p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 F R P L _ 6 d 9 4 2 e 1 6 - 2 2 d b - 4 f f a - b 3 c 4 - 7 8 e 5 f 7 7 f 3 d 9 7 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 s u m i f _ c 9 c 1 6 b e 1 - 9 4 6 9 - 4 6 2 3 - 9 b 4 e - b c b 3 2 3 c c e 1 4 4 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 F R P L 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 F R P L 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 C o l u m n s \ C C D D D 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 C o l u m n s \ T o t a l S t u d e n t s 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 C o l u m n s \ T o t a l S t u d e n t s I n P o v e r t y 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 C o l u m n s \ T o t a l P e r c e n t I n P o v e r t y 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 s u m i f 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 s u m i f 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 C o l u m n s \ S e n d i n g   D i s t r i c t   C C D D D 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 C o l u m n s \ S u m T o t a l S t u d e n t s   i n   p o v e r t y 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 T a g s \ T a b l e s \ & l t ; T a b l e s \ F R P L & g t ; < / K e y > < / D i a g r a m O b j e c t K e y > < D i a g r a m O b j e c t K e y > < K e y > D y n a m i c   T a g s \ T a b l e s \ & l t ; T a b l e s \ C h a r t e r _ T r i b a l S e n d i n g   D i s t r i c t s & g t ; < / K e y > < / D i a g r a m O b j e c t K e y > < D i a g r a m O b j e c t K e y > < K e y > D y n a m i c   T a g s \ T a b l e s \ & l t ; T a b l e s \ C h a r t e r O n l y & g t ; < / K e y > < / D i a g r a m O b j e c t K e y > < D i a g r a m O b j e c t K e y > < K e y > D y n a m i c   T a g s \ T a b l e s \ & l t ; T a b l e s \ S e n d i n g O n l y & g t ; < / K e y > < / D i a g r a m O b j e c t K e y > < D i a g r a m O b j e c t K e y > < K e y > D y n a m i c   T a g s \ T a b l e s \ & l t ; T a b l e s \ A p p e n d 1 & g t ; < / K e y > < / D i a g r a m O b j e c t K e y > < D i a g r a m O b j e c t K e y > < K e y > D y n a m i c   T a g s \ T a b l e s \ & l t ; T a b l e s \ S p l i t   C a l c & g t ; < / K e y > < / D i a g r a m O b j e c t K e y > < D i a g r a m O b j e c t K e y > < K e y > D y n a m i c   T a g s \ T a b l e s \ & l t ; T a b l e s \ C C D D D   L E A i d & g t ; < / K e y > < / D i a g r a m O b j e c t K e y > < D i a g r a m O b j e c t K e y > < K e y > D y n a m i c   T a g s \ T a b l e s \ & l t ; T a b l e s \ A l l o c a t i o n   A d j u s t m e n t s & g t ; < / K e y > < / D i a g r a m O b j e c t K e y > < D i a g r a m O b j e c t K e y > < K e y > D y n a m i c   T a g s \ T a b l e s \ & l t ; T a b l e s \ A l l o c a t i o n   A d j u s t m e n t s   1 & g t ; < / K e y > < / D i a g r a m O b j e c t K e y > < D i a g r a m O b j e c t K e y > < K e y > D y n a m i c   T a g s \ T a b l e s \ & l t ; T a b l e s \ F o r m u l a   C o u n t s   A d j u s t m e n t s & g t ; < / K e y > < / D i a g r a m O b j e c t K e y > < D i a g r a m O b j e c t K e y > < K e y > D y n a m i c   T a g s \ T a b l e s \ & l t ; T a b l e s \ D O E   F o r m u l a   c o u n t s & g t ; < / K e y > < / D i a g r a m O b j e c t K e y > < D i a g r a m O b j e c t K e y > < K e y > D y n a m i c   T a g s \ T a b l e s \ & l t ; T a b l e s \ P r i o r   Y e a r   a d j u s t e d   a l l o c a t i o n s & g t ; < / K e y > < / D i a g r a m O b j e c t K e y > < D i a g r a m O b j e c t K e y > < K e y > D y n a m i c   T a g s \ T a b l e s \ & l t ; T a b l e s \ P r i o r   Y e a r   A d j u s t e d   F o r m u l a   c o u n t s & g t ; < / K e y > < / D i a g r a m O b j e c t K e y > < D i a g r a m O b j e c t K e y > < K e y > D y n a m i c   T a g s \ T a b l e s \ & l t ; T a b l e s \ D O E   A l l o c a t i o n & g t ; < / K e y > < / D i a g r a m O b j e c t K e y > < D i a g r a m O b j e c t K e y > < K e y > D y n a m i c   T a g s \ T a b l e s \ & l t ; T a b l e s \ N e w   O r   E x p n a d e d   H H   c a l c & g t ; < / K e y > < / D i a g r a m O b j e c t K e y > < D i a g r a m O b j e c t K e y > < K e y > D y n a m i c   T a g s \ T a b l e s \ & l t ; T a b l e s \ I n i t i a l   A d j u s t e d   F o r m u l a   C o u n t s & g t ; < / K e y > < / D i a g r a m O b j e c t K e y > < D i a g r a m O b j e c t K e y > < K e y > T a b l e s \ F R P L < / K e y > < / D i a g r a m O b j e c t K e y > < D i a g r a m O b j e c t K e y > < K e y > T a b l e s \ F R P L \ C o l u m n s \ s c h o o l Y e a r < / K e y > < / D i a g r a m O b j e c t K e y > < D i a g r a m O b j e c t K e y > < K e y > T a b l e s \ F R P L \ C o l u m n s \ C C D D D < / K e y > < / D i a g r a m O b j e c t K e y > < D i a g r a m O b j e c t K e y > < K e y > T a b l e s \ F R P L \ C o l u m n s \ D i s t r i c t N a m e < / K e y > < / D i a g r a m O b j e c t K e y > < D i a g r a m O b j e c t K e y > < K e y > T a b l e s \ F R P L \ C o l u m n s \ T o t a l S t u d e n t s < / K e y > < / D i a g r a m O b j e c t K e y > < D i a g r a m O b j e c t K e y > < K e y > T a b l e s \ F R P L \ C o l u m n s \ T o t a l S t u d e n t s I n P o v e r t y < / K e y > < / D i a g r a m O b j e c t K e y > < D i a g r a m O b j e c t K e y > < K e y > T a b l e s \ F R P L \ C o l u m n s \ T o t a l P e r c e n t I n P o v e r t y < / K e y > < / D i a g r a m O b j e c t K e y > < D i a g r a m O b j e c t K e y > < K e y > T a b l e s \ C h a r t e r _ T r i b a l S e n d i n g   D i s t r i c t s < / K e y > < / D i a g r a m O b j e c t K e y > < D i a g r a m O b j e c t K e y > < K e y > T a b l e s \ C h a r t e r _ T r i b a l S e n d i n g   D i s t r i c t s \ C o l u m n s \ C C D D D < / K e y > < / D i a g r a m O b j e c t K e y > < D i a g r a m O b j e c t K e y > < K e y > T a b l e s \ C h a r t e r _ T r i b a l S e n d i n g   D i s t r i c t s \ C o l u m n s \ C h a r t e r / T r i b a l < / K e y > < / D i a g r a m O b j e c t K e y > < D i a g r a m O b j e c t K e y > < K e y > T a b l e s \ C h a r t e r _ T r i b a l S e n d i n g   D i s t r i c t s \ C o l u m n s \ S e n d i n g   D i s t r i c t < / K e y > < / D i a g r a m O b j e c t K e y > < D i a g r a m O b j e c t K e y > < K e y > T a b l e s \ C h a r t e r _ T r i b a l S e n d i n g   D i s t r i c t s \ C o l u m n s \ S e n d i n g   D i s t r i c t   C C D D D < / K e y > < / D i a g r a m O b j e c t K e y > < D i a g r a m O b j e c t K e y > < K e y > T a b l e s \ C h a r t e r _ T r i b a l S e n d i n g   D i s t r i c t s \ C o l u m n s \ L E A I D < / K e y > < / D i a g r a m O b j e c t K e y > < D i a g r a m O b j e c t K e y > < K e y > T a b l e s \ C h a r t e r _ T r i b a l S e n d i n g   D i s t r i c t s \ C o l u m n s \ I s N e w < / K e y > < / D i a g r a m O b j e c t K e y > < D i a g r a m O b j e c t K e y > < K e y > T a b l e s \ C h a r t e r O n l y < / K e y > < / D i a g r a m O b j e c t K e y > < D i a g r a m O b j e c t K e y > < K e y > T a b l e s \ C h a r t e r O n l y \ C o l u m n s \ C C D D D < / K e y > < / D i a g r a m O b j e c t K e y > < D i a g r a m O b j e c t K e y > < K e y > T a b l e s \ C h a r t e r O n l y \ C o l u m n s \ D i s t r i c t N a m e < / K e y > < / D i a g r a m O b j e c t K e y > < D i a g r a m O b j e c t K e y > < K e y > T a b l e s \ C h a r t e r O n l y \ C o l u m n s \ L E A i d < / K e y > < / D i a g r a m O b j e c t K e y > < D i a g r a m O b j e c t K e y > < K e y > T a b l e s \ C h a r t e r O n l y \ C o l u m n s \ I s N e w < / K e y > < / D i a g r a m O b j e c t K e y > < D i a g r a m O b j e c t K e y > < K e y > T a b l e s \ C h a r t e r O n l y \ C o l u m n s \ S e n d i n g L E A i d < / K e y > < / D i a g r a m O b j e c t K e y > < D i a g r a m O b j e c t K e y > < K e y > T a b l e s \ C h a r t e r O n l y \ C o l u m n s \ D i s t r i c t T y p e < / K e y > < / D i a g r a m O b j e c t K e y > < D i a g r a m O b j e c t K e y > < K e y > T a b l e s \ S e n d i n g O n l y < / K e y > < / D i a g r a m O b j e c t K e y > < D i a g r a m O b j e c t K e y > < K e y > T a b l e s \ S e n d i n g O n l y \ C o l u m n s \ C C D D D < / K e y > < / D i a g r a m O b j e c t K e y > < D i a g r a m O b j e c t K e y > < K e y > T a b l e s \ S e n d i n g O n l y \ C o l u m n s \ D i s t r i c t N a m e < / K e y > < / D i a g r a m O b j e c t K e y > < D i a g r a m O b j e c t K e y > < K e y > T a b l e s \ S e n d i n g O n l y \ C o l u m n s \ S e n d i n g L E A i d < / K e y > < / D i a g r a m O b j e c t K e y > < D i a g r a m O b j e c t K e y > < K e y > T a b l e s \ S e n d i n g O n l y \ C o l u m n s \ D i s t r i c t T y p e < / K e y > < / D i a g r a m O b j e c t K e y > < D i a g r a m O b j e c t K e y > < K e y > T a b l e s \ S e n d i n g O n l y \ C o l u m n s \ L E A i d < / K e y > < / D i a g r a m O b j e c t K e y > < D i a g r a m O b j e c t K e y > < K e y > T a b l e s \ A p p e n d 1 < / K e y > < / D i a g r a m O b j e c t K e y > < D i a g r a m O b j e c t K e y > < K e y > T a b l e s \ A p p e n d 1 \ C o l u m n s \ C C D D D < / K e y > < / D i a g r a m O b j e c t K e y > < D i a g r a m O b j e c t K e y > < K e y > T a b l e s \ A p p e n d 1 \ C o l u m n s \ D i s t r i c t N a m e < / K e y > < / D i a g r a m O b j e c t K e y > < D i a g r a m O b j e c t K e y > < K e y > T a b l e s \ A p p e n d 1 \ C o l u m n s \ S e n d i n g L E A i d < / K e y > < / D i a g r a m O b j e c t K e y > < D i a g r a m O b j e c t K e y > < K e y > T a b l e s \ A p p e n d 1 \ C o l u m n s \ D i s t r i c t T y p e < / K e y > < / D i a g r a m O b j e c t K e y > < D i a g r a m O b j e c t K e y > < K e y > T a b l e s \ A p p e n d 1 \ C o l u m n s \ L E A i d < / K e y > < / D i a g r a m O b j e c t K e y > < D i a g r a m O b j e c t K e y > < K e y > T a b l e s \ A p p e n d 1 \ C o l u m n s \ I s N e w < / K e y > < / D i a g r a m O b j e c t K e y > < D i a g r a m O b j e c t K e y > < K e y > T a b l e s \ S p l i t   C a l c < / K e y > < / D i a g r a m O b j e c t K e y > < D i a g r a m O b j e c t K e y > < K e y > T a b l e s \ S p l i t   C a l c \ C o l u m n s \ C C D D D < / K e y > < / D i a g r a m O b j e c t K e y > < D i a g r a m O b j e c t K e y > < K e y > T a b l e s \ S p l i t   C a l c \ C o l u m n s \ C h a r t e r / T r i b a l < / K e y > < / D i a g r a m O b j e c t K e y > < D i a g r a m O b j e c t K e y > < K e y > T a b l e s \ S p l i t   C a l c \ C o l u m n s \ S e n d i n g   D i s t r i c t < / K e y > < / D i a g r a m O b j e c t K e y > < D i a g r a m O b j e c t K e y > < K e y > T a b l e s \ S p l i t   C a l c \ C o l u m n s \ S e n d i n g   D i s t r i c t   C C D D D < / K e y > < / D i a g r a m O b j e c t K e y > < D i a g r a m O b j e c t K e y > < K e y > T a b l e s \ S p l i t   C a l c \ C o l u m n s \ L E A I D < / K e y > < / D i a g r a m O b j e c t K e y > < D i a g r a m O b j e c t K e y > < K e y > T a b l e s \ S p l i t   C a l c \ C o l u m n s \ I s N e w < / K e y > < / D i a g r a m O b j e c t K e y > < D i a g r a m O b j e c t K e y > < K e y > T a b l e s \ S p l i t   C a l c \ C o l u m n s \ T o t a l S t u d e n t s I n P o v e r t y < / K e y > < / D i a g r a m O b j e c t K e y > < D i a g r a m O b j e c t K e y > < K e y > T a b l e s \ S p l i t   C a l c \ C o l u m n s \ S e n d i n g T o t a l S t u d e n t s I n P o v e r t y < / K e y > < / D i a g r a m O b j e c t K e y > < D i a g r a m O b j e c t K e y > < K e y > T a b l e s \ S p l i t   C a l c \ C o l u m n s \ S e n d i n g L E A I d < / K e y > < / D i a g r a m O b j e c t K e y > < D i a g r a m O b j e c t K e y > < K e y > T a b l e s \ C C D D D   L E A i d < / K e y > < / D i a g r a m O b j e c t K e y > < D i a g r a m O b j e c t K e y > < K e y > T a b l e s \ C C D D D   L E A i d \ C o l u m n s \ D i s t r i c t C o d e < / K e y > < / D i a g r a m O b j e c t K e y > < D i a g r a m O b j e c t K e y > < K e y > T a b l e s \ C C D D D   L E A i d \ C o l u m n s \ O r g a n i z a t i o n I d < / K e y > < / D i a g r a m O b j e c t K e y > < D i a g r a m O b j e c t K e y > < K e y > T a b l e s \ C C D D D   L E A i d \ C o l u m n s \ D i s t r i c t N a m e < / K e y > < / D i a g r a m O b j e c t K e y > < D i a g r a m O b j e c t K e y > < K e y > T a b l e s \ C C D D D   L E A i d \ C o l u m n s \ N C E S L E A N u m b e r < / K e y > < / D i a g r a m O b j e c t K e y > < D i a g r a m O b j e c t K e y > < K e y > T a b l e s \ C C D D D   L E A i d \ C o l u m n s \ N C E S L E A N a m e < / K e y > < / D i a g r a m O b j e c t K e y > < D i a g r a m O b j e c t K e y > < K e y > T a b l e s \ C C D D D   L E A i d \ C o l u m n s \ S c h o o l Y e a r I d < / K e y > < / D i a g r a m O b j e c t K e y > < D i a g r a m O b j e c t K e y > < K e y > T a b l e s \ A l l o c a t i o n   A d j u s t m e n t s < / K e y > < / D i a g r a m O b j e c t K e y > < D i a g r a m O b j e c t K e y > < K e y > T a b l e s \ A l l o c a t i o n   A d j u s t m e n t s \ C o l u m n s \ C C D D D < / K e y > < / D i a g r a m O b j e c t K e y > < D i a g r a m O b j e c t K e y > < K e y > T a b l e s \ A l l o c a t i o n   A d j u s t m e n t s \ C o l u m n s \ D i s t r i c t N a m e < / K e y > < / D i a g r a m O b j e c t K e y > < D i a g r a m O b j e c t K e y > < K e y > T a b l e s \ A l l o c a t i o n   A d j u s t m e n t s \ C o l u m n s \ S e n d i n g L E A i d < / K e y > < / D i a g r a m O b j e c t K e y > < D i a g r a m O b j e c t K e y > < K e y > T a b l e s \ A l l o c a t i o n   A d j u s t m e n t s \ C o l u m n s \ D i s t r i c t T y p e < / K e y > < / D i a g r a m O b j e c t K e y > < D i a g r a m O b j e c t K e y > < K e y > T a b l e s \ A l l o c a t i o n   A d j u s t m e n t s \ C o l u m n s \ L E A i d < / K e y > < / D i a g r a m O b j e c t K e y > < D i a g r a m O b j e c t K e y > < K e y > T a b l e s \ A l l o c a t i o n   A d j u s t m e n t s \ C o l u m n s \ I s N e w < / K e y > < / D i a g r a m O b j e c t K e y > < D i a g r a m O b j e c t K e y > < K e y > T a b l e s \ A l l o c a t i o n   A d j u s t m e n t s \ C o l u m n s \ M u l t i p l i e r < / K e y > < / D i a g r a m O b j e c t K e y > < D i a g r a m O b j e c t K e y > < K e y > T a b l e s \ A l l o c a t i o n   A d j u s t m e n t s \ C o l u m n s \ B a s i c   H o l d   H a r m l e s s   B a s e < / K e y > < / D i a g r a m O b j e c t K e y > < D i a g r a m O b j e c t K e y > < K e y > T a b l e s \ A l l o c a t i o n   A d j u s t m e n t s \ C o l u m n s \ C O N C .   H O L D   H a r m l e s s   B a s e < / K e y > < / D i a g r a m O b j e c t K e y > < D i a g r a m O b j e c t K e y > < K e y > T a b l e s \ A l l o c a t i o n   A d j u s t m e n t s \ C o l u m n s \ T A R G E T E D   H O L D   H a r m l e s s   B a s e < / K e y > < / D i a g r a m O b j e c t K e y > < D i a g r a m O b j e c t K e y > < K e y > T a b l e s \ A l l o c a t i o n   A d j u s t m e n t s \ C o l u m n s \ E F I G   H O L D   H a r m l e s s   B a s e < / K e y > < / D i a g r a m O b j e c t K e y > < D i a g r a m O b j e c t K e y > < K e y > T a b l e s \ A l l o c a t i o n   A d j u s t m e n t s \ C o l u m n s \ T O T A L   H O L D   H a r m l e s s   B a s e < / K e y > < / D i a g r a m O b j e c t K e y > < D i a g r a m O b j e c t K e y > < K e y > T a b l e s \ A l l o c a t i o n   A d j u s t m e n t s \ C o l u m n s \ B a s i c   A l l o c a t i o n < / K e y > < / D i a g r a m O b j e c t K e y > < D i a g r a m O b j e c t K e y > < K e y > T a b l e s \ A l l o c a t i o n   A d j u s t m e n t s \ C o l u m n s \ C o n c .   A l l o c a t i o n < / K e y > < / D i a g r a m O b j e c t K e y > < D i a g r a m O b j e c t K e y > < K e y > T a b l e s \ A l l o c a t i o n   A d j u s t m e n t s \ C o l u m n s \ T a r g e t e d   A l l o c a t i o n < / K e y > < / D i a g r a m O b j e c t K e y > < D i a g r a m O b j e c t K e y > < K e y > T a b l e s \ A l l o c a t i o n   A d j u s t m e n t s \ C o l u m n s \ E F I G   A l l o c a t i o n < / K e y > < / D i a g r a m O b j e c t K e y > < D i a g r a m O b j e c t K e y > < K e y > T a b l e s \ A l l o c a t i o n   A d j u s t m e n t s \ C o l u m n s \ T i t l e   I   A l l o c a t i o n < / K e y > < / D i a g r a m O b j e c t K e y > < D i a g r a m O b j e c t K e y > < K e y > T a b l e s \ A l l o c a t i o n   A d j u s t m e n t s \ C o l u m n s \ P e r c e n t a g e   o f   H o l d   H a r m l e s s   B a s e < / K e y > < / D i a g r a m O b j e c t K e y > < D i a g r a m O b j e c t K e y > < K e y > T a b l e s \ A l l o c a t i o n   A d j u s t m e n t s \ C o l u m n s \ R e s i d e n t   P o p < / K e y > < / D i a g r a m O b j e c t K e y > < D i a g r a m O b j e c t K e y > < K e y > T a b l e s \ A l l o c a t i o n   A d j u s t m e n t s   1 < / K e y > < / D i a g r a m O b j e c t K e y > < D i a g r a m O b j e c t K e y > < K e y > T a b l e s \ A l l o c a t i o n   A d j u s t m e n t s   1 \ C o l u m n s \ C C D D D < / K e y > < / D i a g r a m O b j e c t K e y > < D i a g r a m O b j e c t K e y > < K e y > T a b l e s \ A l l o c a t i o n   A d j u s t m e n t s   1 \ C o l u m n s \ D i s t r i c t N a m e < / K e y > < / D i a g r a m O b j e c t K e y > < D i a g r a m O b j e c t K e y > < K e y > T a b l e s \ A l l o c a t i o n   A d j u s t m e n t s   1 \ C o l u m n s \ S e n d i n g L E A i d < / K e y > < / D i a g r a m O b j e c t K e y > < D i a g r a m O b j e c t K e y > < K e y > T a b l e s \ A l l o c a t i o n   A d j u s t m e n t s   1 \ C o l u m n s \ D i s t r i c t T y p e < / K e y > < / D i a g r a m O b j e c t K e y > < D i a g r a m O b j e c t K e y > < K e y > T a b l e s \ A l l o c a t i o n   A d j u s t m e n t s   1 \ C o l u m n s \ L E A i d < / K e y > < / D i a g r a m O b j e c t K e y > < D i a g r a m O b j e c t K e y > < K e y > T a b l e s \ A l l o c a t i o n   A d j u s t m e n t s   1 \ C o l u m n s \ I s N e w < / K e y > < / D i a g r a m O b j e c t K e y > < D i a g r a m O b j e c t K e y > < K e y > T a b l e s \ A l l o c a t i o n   A d j u s t m e n t s   1 \ C o l u m n s \ M u l t i p l i e r < / K e y > < / D i a g r a m O b j e c t K e y > < D i a g r a m O b j e c t K e y > < K e y > T a b l e s \ A l l o c a t i o n   A d j u s t m e n t s   1 \ C o l u m n s \ B a s i c   H o l d   H a r m l e s s   B a s e < / K e y > < / D i a g r a m O b j e c t K e y > < D i a g r a m O b j e c t K e y > < K e y > T a b l e s \ A l l o c a t i o n   A d j u s t m e n t s   1 \ C o l u m n s \ C O N C .   H O L D   H a r m l e s s   B a s e < / K e y > < / D i a g r a m O b j e c t K e y > < D i a g r a m O b j e c t K e y > < K e y > T a b l e s \ A l l o c a t i o n   A d j u s t m e n t s   1 \ C o l u m n s \ T A R G E T E D   H O L D   H a r m l e s s   B a s e < / K e y > < / D i a g r a m O b j e c t K e y > < D i a g r a m O b j e c t K e y > < K e y > T a b l e s \ A l l o c a t i o n   A d j u s t m e n t s   1 \ C o l u m n s \ E F I G   H O L D   H a r m l e s s   B a s e < / K e y > < / D i a g r a m O b j e c t K e y > < D i a g r a m O b j e c t K e y > < K e y > T a b l e s \ A l l o c a t i o n   A d j u s t m e n t s   1 \ C o l u m n s \ T O T A L   H O L D   H a r m l e s s   B a s e < / K e y > < / D i a g r a m O b j e c t K e y > < D i a g r a m O b j e c t K e y > < K e y > T a b l e s \ A l l o c a t i o n   A d j u s t m e n t s   1 \ C o l u m n s \ B a s i c   A l l o c a t i o n < / K e y > < / D i a g r a m O b j e c t K e y > < D i a g r a m O b j e c t K e y > < K e y > T a b l e s \ A l l o c a t i o n   A d j u s t m e n t s   1 \ C o l u m n s \ C o n c .   A l l o c a t i o n < / K e y > < / D i a g r a m O b j e c t K e y > < D i a g r a m O b j e c t K e y > < K e y > T a b l e s \ A l l o c a t i o n   A d j u s t m e n t s   1 \ C o l u m n s \ T a r g e t e d   A l l o c a t i o n < / K e y > < / D i a g r a m O b j e c t K e y > < D i a g r a m O b j e c t K e y > < K e y > T a b l e s \ A l l o c a t i o n   A d j u s t m e n t s   1 \ C o l u m n s \ E F I G   A l l o c a t i o n < / K e y > < / D i a g r a m O b j e c t K e y > < D i a g r a m O b j e c t K e y > < K e y > T a b l e s \ A l l o c a t i o n   A d j u s t m e n t s   1 \ C o l u m n s \ T i t l e   I   A l l o c a t i o n < / K e y > < / D i a g r a m O b j e c t K e y > < D i a g r a m O b j e c t K e y > < K e y > T a b l e s \ A l l o c a t i o n   A d j u s t m e n t s   1 \ C o l u m n s \ P e r c e n t a g e   o f   H o l d   H a r m l e s s   B a s e < / K e y > < / D i a g r a m O b j e c t K e y > < D i a g r a m O b j e c t K e y > < K e y > T a b l e s \ A l l o c a t i o n   A d j u s t m e n t s   1 \ C o l u m n s \ R e s i d e n t   P o p < / K e y > < / D i a g r a m O b j e c t K e y > < D i a g r a m O b j e c t K e y > < K e y > T a b l e s \ F o r m u l a   C o u n t s   A d j u s t m e n t s < / K e y > < / D i a g r a m O b j e c t K e y > < D i a g r a m O b j e c t K e y > < K e y > T a b l e s \ F o r m u l a   C o u n t s   A d j u s t m e n t s \ C o l u m n s \ C C D D D < / K e y > < / D i a g r a m O b j e c t K e y > < D i a g r a m O b j e c t K e y > < K e y > T a b l e s \ F o r m u l a   C o u n t s   A d j u s t m e n t s \ C o l u m n s \ D i s t r i c t N a m e < / K e y > < / D i a g r a m O b j e c t K e y > < D i a g r a m O b j e c t K e y > < K e y > T a b l e s \ F o r m u l a   C o u n t s   A d j u s t m e n t s \ C o l u m n s \ S e n d i n g L E A i d < / K e y > < / D i a g r a m O b j e c t K e y > < D i a g r a m O b j e c t K e y > < K e y > T a b l e s \ F o r m u l a   C o u n t s   A d j u s t m e n t s \ C o l u m n s \ D i s t r i c t T y p e < / K e y > < / D i a g r a m O b j e c t K e y > < D i a g r a m O b j e c t K e y > < K e y > T a b l e s \ F o r m u l a   C o u n t s   A d j u s t m e n t s \ C o l u m n s \ L E A i d < / K e y > < / D i a g r a m O b j e c t K e y > < D i a g r a m O b j e c t K e y > < K e y > T a b l e s \ F o r m u l a   C o u n t s   A d j u s t m e n t s \ C o l u m n s \ I s N e w < / K e y > < / D i a g r a m O b j e c t K e y > < D i a g r a m O b j e c t K e y > < K e y > T a b l e s \ F o r m u l a   C o u n t s   A d j u s t m e n t s \ C o l u m n s \ M u l t i p l i e r < / K e y > < / D i a g r a m O b j e c t K e y > < D i a g r a m O b j e c t K e y > < K e y > T a b l e s \ F o r m u l a   C o u n t s   A d j u s t m e n t s \ C o l u m n s \ 2 0 2 0   P O V R T Y < / K e y > < / D i a g r a m O b j e c t K e y > < D i a g r a m O b j e c t K e y > < K e y > T a b l e s \ F o r m u l a   C o u n t s   A d j u s t m e n t s \ C o l u m n s \ 2 0 2 1   N E G < / K e y > < / D i a g r a m O b j e c t K e y > < D i a g r a m O b j e c t K e y > < K e y > T a b l e s \ F o r m u l a   C o u n t s   A d j u s t m e n t s \ C o l u m n s \ 2 0 2 1 _ 1   D E L . < / K e y > < / D i a g r a m O b j e c t K e y > < D i a g r a m O b j e c t K e y > < K e y > T a b l e s \ F o r m u l a   C o u n t s   A d j u s t m e n t s \ C o l u m n s \ 2 0 2 1 _ 2   F O R S T E R < / K e y > < / D i a g r a m O b j e c t K e y > < D i a g r a m O b j e c t K e y > < K e y > T a b l e s \ F o r m u l a   C o u n t s   A d j u s t m e n t s \ C o l u m n s \ 2 0 2 1 _ 3   T A N F < / K e y > < / D i a g r a m O b j e c t K e y > < D i a g r a m O b j e c t K e y > < K e y > T a b l e s \ F o r m u l a   C o u n t s   A d j u s t m e n t s \ C o l u m n s \ F O R M U L A   C O U N T < / K e y > < / D i a g r a m O b j e c t K e y > < D i a g r a m O b j e c t K e y > < K e y > T a b l e s \ F o r m u l a   C o u n t s   A d j u s t m e n t s \ C o l u m n s \ 5 - 1 7   P O P . < / K e y > < / D i a g r a m O b j e c t K e y > < D i a g r a m O b j e c t K e y > < K e y > T a b l e s \ F o r m u l a   C o u n t s   A d j u s t m e n t s \ C o l u m n s \ P E R C E N T   F O R M U L A < / K e y > < / D i a g r a m O b j e c t K e y > < D i a g r a m O b j e c t K e y > < K e y > T a b l e s \ F o r m u l a   C o u n t s   A d j u s t m e n t s \ C o l u m n s \ B A S I C   E l i g i b l e s < / K e y > < / D i a g r a m O b j e c t K e y > < D i a g r a m O b j e c t K e y > < K e y > T a b l e s \ F o r m u l a   C o u n t s   A d j u s t m e n t s \ C o l u m n s \ C O N C .   E l i g i b l e s < / K e y > < / D i a g r a m O b j e c t K e y > < D i a g r a m O b j e c t K e y > < K e y > T a b l e s \ F o r m u l a   C o u n t s   A d j u s t m e n t s \ C o l u m n s \ E F I G   E l i g i b l e s < / K e y > < / D i a g r a m O b j e c t K e y > < D i a g r a m O b j e c t K e y > < K e y > T a b l e s \ F o r m u l a   C o u n t s   A d j u s t m e n t s \ C o l u m n s \ C O U N T S   T a r g e t e d < / K e y > < / D i a g r a m O b j e c t K e y > < D i a g r a m O b j e c t K e y > < K e y > T a b l e s \ F o r m u l a   C o u n t s   A d j u s t m e n t s \ C o l u m n s \ C O U N T S   E F I G < / K e y > < / D i a g r a m O b j e c t K e y > < D i a g r a m O b j e c t K e y > < K e y > T a b l e s \ D O E   F o r m u l a   c o u n t s < / K e y > < / D i a g r a m O b j e c t K e y > < D i a g r a m O b j e c t K e y > < K e y > T a b l e s \ D O E   F o r m u l a   c o u n t s \ C o l u m n s \ L E A i d < / K e y > < / D i a g r a m O b j e c t K e y > < D i a g r a m O b j e c t K e y > < K e y > T a b l e s \ D O E   F o r m u l a   c o u n t s \ C o l u m n s \ L O C A L   E D U C A T I O N A L   A G E N C Y < / K e y > < / D i a g r a m O b j e c t K e y > < D i a g r a m O b j e c t K e y > < K e y > T a b l e s \ D O E   F o r m u l a   c o u n t s \ C o l u m n s \ 2 0 2 0   P O V R T Y < / K e y > < / D i a g r a m O b j e c t K e y > < D i a g r a m O b j e c t K e y > < K e y > T a b l e s \ D O E   F o r m u l a   c o u n t s \ C o l u m n s \ 2 0 2 1   N E G < / K e y > < / D i a g r a m O b j e c t K e y > < D i a g r a m O b j e c t K e y > < K e y > T a b l e s \ D O E   F o r m u l a   c o u n t s \ C o l u m n s \ 2 0 2 1 _ 1   D E L . < / K e y > < / D i a g r a m O b j e c t K e y > < D i a g r a m O b j e c t K e y > < K e y > T a b l e s \ D O E   F o r m u l a   c o u n t s \ C o l u m n s \ 2 0 2 1 _ 2   F O R S T E R < / K e y > < / D i a g r a m O b j e c t K e y > < D i a g r a m O b j e c t K e y > < K e y > T a b l e s \ D O E   F o r m u l a   c o u n t s \ C o l u m n s \ 2 0 2 1 _ 3   T A N F < / K e y > < / D i a g r a m O b j e c t K e y > < D i a g r a m O b j e c t K e y > < K e y > T a b l e s \ D O E   F o r m u l a   c o u n t s \ C o l u m n s \ F O R M U L A   C O U N T < / K e y > < / D i a g r a m O b j e c t K e y > < D i a g r a m O b j e c t K e y > < K e y > T a b l e s \ D O E   F o r m u l a   c o u n t s \ C o l u m n s \ 5 - 1 7   P O P . < / K e y > < / D i a g r a m O b j e c t K e y > < D i a g r a m O b j e c t K e y > < K e y > T a b l e s \ D O E   F o r m u l a   c o u n t s \ C o l u m n s \ P E R C E N T   F O R M U L A < / K e y > < / D i a g r a m O b j e c t K e y > < D i a g r a m O b j e c t K e y > < K e y > T a b l e s \ D O E   F o r m u l a   c o u n t s \ C o l u m n s \ B A S I C   E l i g i b l e s < / K e y > < / D i a g r a m O b j e c t K e y > < D i a g r a m O b j e c t K e y > < K e y > T a b l e s \ D O E   F o r m u l a   c o u n t s \ C o l u m n s \ C O N C .   E l i g i b l e s < / K e y > < / D i a g r a m O b j e c t K e y > < D i a g r a m O b j e c t K e y > < K e y > T a b l e s \ D O E   F o r m u l a   c o u n t s \ C o l u m n s \ & a m p ;   E F I G   E l i g i b l e s < / K e y > < / D i a g r a m O b j e c t K e y > < D i a g r a m O b j e c t K e y > < K e y > T a b l e s \ D O E   F o r m u l a   c o u n t s \ C o l u m n s \ C O U N T S   T a r g e t e d < / K e y > < / D i a g r a m O b j e c t K e y > < D i a g r a m O b j e c t K e y > < K e y > T a b l e s \ D O E   F o r m u l a   c o u n t s \ C o l u m n s \ C O U N T S   E F I G < / K e y > < / D i a g r a m O b j e c t K e y > < D i a g r a m O b j e c t K e y > < K e y > T a b l e s \ P r i o r   Y e a r   a d j u s t e d   a l l o c a t i o n s < / K e y > < / D i a g r a m O b j e c t K e y > < D i a g r a m O b j e c t K e y > < K e y > T a b l e s \ P r i o r   Y e a r   a d j u s t e d   a l l o c a t i o n s \ C o l u m n s \ L E A i d < / K e y > < / D i a g r a m O b j e c t K e y > < D i a g r a m O b j e c t K e y > < K e y > T a b l e s \ P r i o r   Y e a r   a d j u s t e d   a l l o c a t i o n s \ C o l u m n s \ W A S H I N G T O N < / K e y > < / D i a g r a m O b j e c t K e y > < D i a g r a m O b j e c t K e y > < K e y > T a b l e s \ P r i o r   Y e a r   a d j u s t e d   a l l o c a t i o n s \ C o l u m n s \ B A S I C   H O L D   H A R M L E S S   B A S E < / K e y > < / D i a g r a m O b j e c t K e y > < D i a g r a m O b j e c t K e y > < K e y > T a b l e s \ P r i o r   Y e a r   a d j u s t e d   a l l o c a t i o n s \ C o l u m n s \ C O N C .   H O L D     H A R M L E S S   B A S E < / K e y > < / D i a g r a m O b j e c t K e y > < D i a g r a m O b j e c t K e y > < K e y > T a b l e s \ P r i o r   Y e a r   a d j u s t e d   a l l o c a t i o n s \ C o l u m n s \ T A R G E T E D   H O L D   H A R M L E S S   B A S E < / K e y > < / D i a g r a m O b j e c t K e y > < D i a g r a m O b j e c t K e y > < K e y > T a b l e s \ P r i o r   Y e a r   a d j u s t e d   a l l o c a t i o n s \ C o l u m n s \ E F I G   H O L D   H A R M L E S S   B A S E < / K e y > < / D i a g r a m O b j e c t K e y > < D i a g r a m O b j e c t K e y > < K e y > T a b l e s \ P r i o r   Y e a r   a d j u s t e d   a l l o c a t i o n s \ C o l u m n s \ T O T A L   H O L D   H A R M L E S S   B A S E < / K e y > < / D i a g r a m O b j e c t K e y > < D i a g r a m O b j e c t K e y > < K e y > T a b l e s \ P r i o r   Y e a r   a d j u s t e d   a l l o c a t i o n s \ C o l u m n s \ B A S I C   A L L O C A T I O N < / K e y > < / D i a g r a m O b j e c t K e y > < D i a g r a m O b j e c t K e y > < K e y > T a b l e s \ P r i o r   Y e a r   a d j u s t e d   a l l o c a t i o n s \ C o l u m n s \ C O N C .   A L L O C A T I O N < / K e y > < / D i a g r a m O b j e c t K e y > < D i a g r a m O b j e c t K e y > < K e y > T a b l e s \ P r i o r   Y e a r   a d j u s t e d   a l l o c a t i o n s \ C o l u m n s \ T A R G E T E D   A L L O C A T I O N < / K e y > < / D i a g r a m O b j e c t K e y > < D i a g r a m O b j e c t K e y > < K e y > T a b l e s \ P r i o r   Y e a r   a d j u s t e d   a l l o c a t i o n s \ C o l u m n s \ E F I G   A l L O C A T I O N < / K e y > < / D i a g r a m O b j e c t K e y > < D i a g r a m O b j e c t K e y > < K e y > T a b l e s \ P r i o r   Y e a r   a d j u s t e d   a l l o c a t i o n s \ C o l u m n s \ T O T A L   T I T L e   I   A L L O C A T I O N < / K e y > < / D i a g r a m O b j e c t K e y > < D i a g r a m O b j e c t K e y > < K e y > T a b l e s \ P r i o r   Y e a r   a d j u s t e d   a l l o c a t i o n s \ C o l u m n s \ P E R C E N T A G E   O F   T O T A L   H O L D   H A R M L E S S   B A S E < / K e y > < / D i a g r a m O b j e c t K e y > < D i a g r a m O b j e c t K e y > < K e y > T a b l e s \ P r i o r   Y e a r   a d j u s t e d   a l l o c a t i o n s \ C o l u m n s \ R E S I D E N T   P O P . < / K e y > < / D i a g r a m O b j e c t K e y > < D i a g r a m O b j e c t K e y > < K e y > T a b l e s \ P r i o r   Y e a r   A d j u s t e d   F o r m u l a   c o u n t s < / K e y > < / D i a g r a m O b j e c t K e y > < D i a g r a m O b j e c t K e y > < K e y > T a b l e s \ P r i o r   Y e a r   A d j u s t e d   F o r m u l a   c o u n t s \ C o l u m n s \ L E A i d < / K e y > < / D i a g r a m O b j e c t K e y > < D i a g r a m O b j e c t K e y > < K e y > T a b l e s \ P r i o r   Y e a r   A d j u s t e d   F o r m u l a   c o u n t s \ C o l u m n s \ L E A N a m e < / K e y > < / D i a g r a m O b j e c t K e y > < D i a g r a m O b j e c t K e y > < K e y > T a b l e s \ P r i o r   Y e a r   A d j u s t e d   F o r m u l a   c o u n t s \ C o l u m n s \ C E N S U S   P o v e r t y < / K e y > < / D i a g r a m O b j e c t K e y > < D i a g r a m O b j e c t K e y > < K e y > T a b l e s \ P r i o r   Y e a r   A d j u s t e d   F o r m u l a   c o u n t s \ C o l u m n s \ N E G . < / K e y > < / D i a g r a m O b j e c t K e y > < D i a g r a m O b j e c t K e y > < K e y > T a b l e s \ P r i o r   Y e a r   A d j u s t e d   F o r m u l a   c o u n t s \ C o l u m n s \ D E L . < / K e y > < / D i a g r a m O b j e c t K e y > < D i a g r a m O b j e c t K e y > < K e y > T a b l e s \ P r i o r   Y e a r   A d j u s t e d   F o r m u l a   c o u n t s \ C o l u m n s \ F O S T E R < / K e y > < / D i a g r a m O b j e c t K e y > < D i a g r a m O b j e c t K e y > < K e y > T a b l e s \ P r i o r   Y e a r   A d j u s t e d   F o r m u l a   c o u n t s \ C o l u m n s \ T A N F < / K e y > < / D i a g r a m O b j e c t K e y > < D i a g r a m O b j e c t K e y > < K e y > T a b l e s \ P r i o r   Y e a r   A d j u s t e d   F o r m u l a   c o u n t s \ C o l u m n s \ T O T A L   F O R M U L A   C O U N T < / K e y > < / D i a g r a m O b j e c t K e y > < D i a g r a m O b j e c t K e y > < K e y > T a b l e s \ P r i o r   Y e a r   A d j u s t e d   F o r m u l a   c o u n t s \ C o l u m n s \ 5 - 1 7   P O P . < / K e y > < / D i a g r a m O b j e c t K e y > < D i a g r a m O b j e c t K e y > < K e y > T a b l e s \ P r i o r   Y e a r   A d j u s t e d   F o r m u l a   c o u n t s \ C o l u m n s \ P E R C E N T   F O R M U L A < / K e y > < / D i a g r a m O b j e c t K e y > < D i a g r a m O b j e c t K e y > < K e y > T a b l e s \ P r i o r   Y e a r   A d j u s t e d   F o r m u l a   c o u n t s \ C o l u m n s \ B A S I C   E L I G I B L E S < / K e y > < / D i a g r a m O b j e c t K e y > < D i a g r a m O b j e c t K e y > < K e y > T a b l e s \ P r i o r   Y e a r   A d j u s t e d   F o r m u l a   c o u n t s \ C o l u m n s \ C O N C .   E L I G I B L E S < / K e y > < / D i a g r a m O b j e c t K e y > < D i a g r a m O b j e c t K e y > < K e y > T a b l e s \ P r i o r   Y e a r   A d j u s t e d   F o r m u l a   c o u n t s \ C o l u m n s \ U N W E I G H T E D   T A R G E T E D   & a m p ;   E F I G   E L I G I B L E S < / K e y > < / D i a g r a m O b j e c t K e y > < D i a g r a m O b j e c t K e y > < K e y > T a b l e s \ P r i o r   Y e a r   A d j u s t e d   F o r m u l a   c o u n t s \ C o l u m n s \ W E I G H T E D   C O U N T S   T A R G E T E D < / K e y > < / D i a g r a m O b j e c t K e y > < D i a g r a m O b j e c t K e y > < K e y > T a b l e s \ P r i o r   Y e a r   A d j u s t e d   F o r m u l a   c o u n t s \ C o l u m n s \ W E I G H T E D   C O U N T S   E F I G < / K e y > < / D i a g r a m O b j e c t K e y > < D i a g r a m O b j e c t K e y > < K e y > T a b l e s \ D O E   A l l o c a t i o n < / K e y > < / D i a g r a m O b j e c t K e y > < D i a g r a m O b j e c t K e y > < K e y > T a b l e s \ D O E   A l l o c a t i o n \ C o l u m n s \ L E A i d < / K e y > < / D i a g r a m O b j e c t K e y > < D i a g r a m O b j e c t K e y > < K e y > T a b l e s \ D O E   A l l o c a t i o n \ C o l u m n s \ L E A N a n m e < / K e y > < / D i a g r a m O b j e c t K e y > < D i a g r a m O b j e c t K e y > < K e y > T a b l e s \ D O E   A l l o c a t i o n \ C o l u m n s \ B A S I C   H O L D   H s r m l e s s   B a s e < / K e y > < / D i a g r a m O b j e c t K e y > < D i a g r a m O b j e c t K e y > < K e y > T a b l e s \ D O E   A l l o c a t i o n \ C o l u m n s \ C O N C .   H O L D   H a r m l e s s   B a s e < / K e y > < / D i a g r a m O b j e c t K e y > < D i a g r a m O b j e c t K e y > < K e y > T a b l e s \ D O E   A l l o c a t i o n \ C o l u m n s \ T A R G E T E D   H O L D   H a r m l e s s   B a s e < / K e y > < / D i a g r a m O b j e c t K e y > < D i a g r a m O b j e c t K e y > < K e y > T a b l e s \ D O E   A l l o c a t i o n \ C o l u m n s \ E F I G   H O L D   H a r m l e s s   B a s e < / K e y > < / D i a g r a m O b j e c t K e y > < D i a g r a m O b j e c t K e y > < K e y > T a b l e s \ D O E   A l l o c a t i o n \ C o l u m n s \ T O T A L   H O L D   H a r m l e s s   B a s e < / K e y > < / D i a g r a m O b j e c t K e y > < D i a g r a m O b j e c t K e y > < K e y > T a b l e s \ D O E   A l l o c a t i o n \ C o l u m n s \ B a s i c   A l l o c a t i o n < / K e y > < / D i a g r a m O b j e c t K e y > < D i a g r a m O b j e c t K e y > < K e y > T a b l e s \ D O E   A l l o c a t i o n \ C o l u m n s \ C o n c .   A l l o c a t i o n < / K e y > < / D i a g r a m O b j e c t K e y > < D i a g r a m O b j e c t K e y > < K e y > T a b l e s \ D O E   A l l o c a t i o n \ C o l u m n s \ T a r g e t e d   A l l o c a t i o n < / K e y > < / D i a g r a m O b j e c t K e y > < D i a g r a m O b j e c t K e y > < K e y > T a b l e s \ D O E   A l l o c a t i o n \ C o l u m n s \ E F I G   A l l o c a t i o n < / K e y > < / D i a g r a m O b j e c t K e y > < D i a g r a m O b j e c t K e y > < K e y > T a b l e s \ D O E   A l l o c a t i o n \ C o l u m n s \ T i t l e   I   A l l o c a t i o n < / K e y > < / D i a g r a m O b j e c t K e y > < D i a g r a m O b j e c t K e y > < K e y > T a b l e s \ D O E   A l l o c a t i o n \ C o l u m n s \ P e r c e n t a g e   o f   H o l d   H a r m l e s s   B a s e < / K e y > < / D i a g r a m O b j e c t K e y > < D i a g r a m O b j e c t K e y > < K e y > T a b l e s \ D O E   A l l o c a t i o n \ C o l u m n s \ R e s i d e n t   P o p . < / K e y > < / D i a g r a m O b j e c t K e y > < D i a g r a m O b j e c t K e y > < K e y > T a b l e s \ N e w   O r   E x p n a d e d   H H   c a l c < / K e y > < / D i a g r a m O b j e c t K e y > < D i a g r a m O b j e c t K e y > < K e y > T a b l e s \ N e w   O r   E x p n a d e d   H H   c a l c \ C o l u m n s \ C C D D D < / K e y > < / D i a g r a m O b j e c t K e y > < D i a g r a m O b j e c t K e y > < K e y > T a b l e s \ N e w   O r   E x p n a d e d   H H   c a l c \ C o l u m n s \ D i s t r i c t N a m e < / K e y > < / D i a g r a m O b j e c t K e y > < D i a g r a m O b j e c t K e y > < K e y > T a b l e s \ N e w   O r   E x p n a d e d   H H   c a l c \ C o l u m n s \ L E A i d < / K e y > < / D i a g r a m O b j e c t K e y > < D i a g r a m O b j e c t K e y > < K e y > T a b l e s \ N e w   O r   E x p n a d e d   H H   c a l c \ C o l u m n s \ I s N e w < / K e y > < / D i a g r a m O b j e c t K e y > < D i a g r a m O b j e c t K e y > < K e y > T a b l e s \ N e w   O r   E x p n a d e d   H H   c a l c \ C o l u m n s \ F O R M U L A   C O U N T < / K e y > < / D i a g r a m O b j e c t K e y > < D i a g r a m O b j e c t K e y > < K e y > T a b l e s \ N e w   O r   E x p n a d e d   H H   c a l c \ C o l u m n s \ 5 - 1 7   P O P . < / K e y > < / D i a g r a m O b j e c t K e y > < D i a g r a m O b j e c t K e y > < K e y > T a b l e s \ N e w   O r   E x p n a d e d   H H   c a l c \ C o l u m n s \ P r i o r   Y e a r . T O T A L   F O R M U L A   C O U N T < / K e y > < / D i a g r a m O b j e c t K e y > < D i a g r a m O b j e c t K e y > < K e y > T a b l e s \ N e w   O r   E x p n a d e d   H H   c a l c \ C o l u m n s \ P r i o r   Y e a r . 5 - 1 7   P O P . < / K e y > < / D i a g r a m O b j e c t K e y > < D i a g r a m O b j e c t K e y > < K e y > T a b l e s \ N e w   O r   E x p n a d e d   H H   c a l c \ C o l u m n s \ F o r m u l a   C o u n t   I n c r e a s e < / K e y > < / D i a g r a m O b j e c t K e y > < D i a g r a m O b j e c t K e y > < K e y > T a b l e s \ N e w   O r   E x p n a d e d   H H   c a l c \ C o l u m n s \ P E R C E N T   F O R M U L A < / K e y > < / D i a g r a m O b j e c t K e y > < D i a g r a m O b j e c t K e y > < K e y > T a b l e s \ N e w   O r   E x p n a d e d   H H   c a l c \ C o l u m n s \ H o l d   H a r m l e s s   P e r c e n t a g e < / K e y > < / D i a g r a m O b j e c t K e y > < D i a g r a m O b j e c t K e y > < K e y > T a b l e s \ N e w   O r   E x p n a d e d   H H   c a l c \ C o l u m n s \ A d j u s t e d   A l l o c a t i o n . T O T A L   H O L D   H a r m l e s s   B a s e < / K e y > < / D i a g r a m O b j e c t K e y > < D i a g r a m O b j e c t K e y > < K e y > T a b l e s \ N e w   O r   E x p n a d e d   H H   c a l c \ C o l u m n s \ A d j u s t e d   A l l o c a t i o n . T i t l e   I   A l l o c a t i o n < / K e y > < / D i a g r a m O b j e c t K e y > < D i a g r a m O b j e c t K e y > < K e y > T a b l e s \ N e w   O r   E x p n a d e d   H H   c a l c \ C o l u m n s \ A b o v e   H H < / K e y > < / D i a g r a m O b j e c t K e y > < D i a g r a m O b j e c t K e y > < K e y > T a b l e s \ I n i t i a l   A d j u s t e d   F o r m u l a   C o u n t s < / K e y > < / D i a g r a m O b j e c t K e y > < D i a g r a m O b j e c t K e y > < K e y > T a b l e s \ I n i t i a l   A d j u s t e d   F o r m u l a   C o u n t s \ C o l u m n s \ L E A i d < / K e y > < / D i a g r a m O b j e c t K e y > < D i a g r a m O b j e c t K e y > < K e y > T a b l e s \ I n i t i a l   A d j u s t e d   F o r m u l a   C o u n t s \ C o l u m n s \ L E A N a m e < / K e y > < / D i a g r a m O b j e c t K e y > < D i a g r a m O b j e c t K e y > < K e y > T a b l e s \ I n i t i a l   A d j u s t e d   F o r m u l a   C o u n t s \ C o l u m n s \ 2 0 2 0   P O V R T Y < / K e y > < / D i a g r a m O b j e c t K e y > < D i a g r a m O b j e c t K e y > < K e y > T a b l e s \ I n i t i a l   A d j u s t e d   F o r m u l a   C o u n t s \ C o l u m n s \ 2 0 2 1   N E G < / K e y > < / D i a g r a m O b j e c t K e y > < D i a g r a m O b j e c t K e y > < K e y > T a b l e s \ I n i t i a l   A d j u s t e d   F o r m u l a   C o u n t s \ C o l u m n s \ 2 0 2 1 _ 1   D E L . . 1 < / K e y > < / D i a g r a m O b j e c t K e y > < D i a g r a m O b j e c t K e y > < K e y > T a b l e s \ I n i t i a l   A d j u s t e d   F o r m u l a   C o u n t s \ C o l u m n s \ 2 0 2 1 _ 2   F O R S T E R < / K e y > < / D i a g r a m O b j e c t K e y > < D i a g r a m O b j e c t K e y > < K e y > T a b l e s \ I n i t i a l   A d j u s t e d   F o r m u l a   C o u n t s \ C o l u m n s \ 2 0 2 1 _ 3   T A N F < / K e y > < / D i a g r a m O b j e c t K e y > < D i a g r a m O b j e c t K e y > < K e y > T a b l e s \ I n i t i a l   A d j u s t e d   F o r m u l a   C o u n t s \ C o l u m n s \ F O R M U L A   C O U N T < / K e y > < / D i a g r a m O b j e c t K e y > < D i a g r a m O b j e c t K e y > < K e y > T a b l e s \ I n i t i a l   A d j u s t e d   F o r m u l a   C o u n t s \ C o l u m n s \ 5 - 1 7   P O P . < / K e y > < / D i a g r a m O b j e c t K e y > < D i a g r a m O b j e c t K e y > < K e y > T a b l e s \ I n i t i a l   A d j u s t e d   F o r m u l a   C o u n t s \ C o l u m n s \ P E R C E N T   F O R M U L A < / K e y > < / D i a g r a m O b j e c t K e y > < D i a g r a m O b j e c t K e y > < K e y > T a b l e s \ I n i t i a l   A d j u s t e d   F o r m u l a   C o u n t s \ C o l u m n s \ B A S I C   E l i g i b l e s < / K e y > < / D i a g r a m O b j e c t K e y > < D i a g r a m O b j e c t K e y > < K e y > T a b l e s \ I n i t i a l   A d j u s t e d   F o r m u l a   C o u n t s \ C o l u m n s \ C O N C .   E l i g i b l e s < / K e y > < / D i a g r a m O b j e c t K e y > < D i a g r a m O b j e c t K e y > < K e y > T a b l e s \ I n i t i a l   A d j u s t e d   F o r m u l a   C o u n t s \ C o l u m n s \ E F I G   E l i g i b l e s < / K e y > < / D i a g r a m O b j e c t K e y > < D i a g r a m O b j e c t K e y > < K e y > T a b l e s \ I n i t i a l   A d j u s t e d   F o r m u l a   C o u n t s \ C o l u m n s \ C O U N T S   T a r g e t e d < / K e y > < / D i a g r a m O b j e c t K e y > < D i a g r a m O b j e c t K e y > < K e y > T a b l e s \ I n i t i a l   A d j u s t e d   F o r m u l a   C o u n t s \ C o l u m n s \ C O U N T S   E F I G < / K e y > < / D i a g r a m O b j e c t K e y > < / A l l K e y s > < S e l e c t e d K e y s /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 T a g s \ T a b l e s \ & l t ; T a b l e s \ F R P L & g t ; 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 T a g s \ T a b l e s \ & l t ; T a b l e s \ C h a r t e r _ T r i b a l S e n d i n g   D i s t r i c t s & g t ; 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 T a g s \ T a b l e s \ & l t ; T a b l e s \ C h a r t e r O n l y & g t ; 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 T a g s \ T a b l e s \ & l t ; T a b l e s \ S e n d i n g O n l y & g t ; 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 T a g s \ T a b l e s \ & l t ; T a b l e s \ A p p e n d 1 & g t ; 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 T a g s \ T a b l e s \ & l t ; T a b l e s \ S p l i t   C a l c & g t ; 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 T a g s \ T a b l e s \ & l t ; T a b l e s \ C C D D D   L E A i d & g t ; 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 T a g s \ T a b l e s \ & l t ; T a b l e s \ A l l o c a t i o n   A d j u s t m e n t s & g t ; 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 T a g s \ T a b l e s \ & l t ; T a b l e s \ A l l o c a t i o n   A d j u s t m e n t s 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 T a g s \ T a b l e s \ & l t ; T a b l e s \ F o r m u l a   C o u n t s   A d j u s t m e n t s & g t ; 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 T a g s \ T a b l e s \ & l t ; T a b l e s \ D O E   F o r m u l a  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 T a g s \ T a b l e s \ & l t ; T a b l e s \ P r i o r   Y e a r   a d j u s t e d   a l l o c a t i o n s & g t ; 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 T a g s \ T a b l e s \ & l t ; T a b l e s \ P r i o r   Y e a r   A d j u s t e d   F o r m u l a  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 T a g s \ T a b l e s \ & l t ; T a b l e s \ D O E   A l l o c a t i o n & g t ; 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 T a g s \ T a b l e s \ & l t ; T a b l e s \ N e w   O r   E x p n a d e d   H H   c a l c & g t ; 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 T a g s \ T a b l e s \ & l t ; T a b l e s \ I n i t i a l   A d j u s t e d   F o r m u l a  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 T a b l e s \ F R P L 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 T a b l e s \ F R P L \ C o l u m n s \ s c h o o l Y e a r 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 T a b l e s \ F R P L \ C o l u m n s \ T o t a l S t u d e n t s 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 T a b l e s \ F R P L \ C o l u m n s \ T o t a l S t u d e n t s I n P o v e r t y 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 T a b l e s \ F R P L \ C o l u m n s \ T o t a l P e r c e n t I n P o v e r t y 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 D i s t r i c t s \ C o l u m n s \ C h a r t e r / T r i b a l 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 D i s t r i c t s \ C o l u m n s \ S e n d i n g  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 D i s t r i c t s \ C o l u m n s \ S e n d i n g   D i s t r i c t  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 9 8 9 . 7 1 1 4 3 1 7 0 2 9 9 7 2 9 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 1 3 1 9 . 6 1 5 2 4 2 2 7 0 6 6 3 2 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 1 6 4 9 . 5 1 9 0 5 2 8 3 8 3 2 9 1 < / L e f t > < T a b I n d e x >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 C a l c \ C o l u m n s \ C h a r t e r / T r i b a l 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 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  D i s t r i c t  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 C a l c \ C o l u m n s \ T o t a l S t u d e n t s I n P o v e r t y 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 C a l c \ C o l u m n s \ S e n d i n g T o t a l S t u d e n t s I n P o v e r t y 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 1 9 7 9 . 4 2 2 8 6 3 4 0 5 9 9 5 < / L e f t > < T a b I n d e x >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 L E A i d \ C o l u m n s \ D i s t r i c t C o d e 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 L E A i d \ C o l u m n s \ O r g a n i z a t i o n I d 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 L E A i d \ C o l u m n s \ N C E S L E A N u m b e r 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 L E A i d \ C o l u m n s \ N C E S L E A N a m e 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 L E A i d \ C o l u m n s \ S c h o o l Y e a r I d 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 2 3 0 9 . 3 2 6 6 7 3 9 7 3 6 6 0 9 < / L e f t > < T a b I n d e x >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 A d j u s t m e n t s \ C o l u m n s \ M u l t i p l i e r 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 A d j u s t m e n t s \ C o l u m n s \ B a s i c 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 A d j u s t m e n t s \ C o l u m n s \ C O N C . 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 A d j u s t m e n t s \ C o l u m n s \ P e r c e n t a g e   o f 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 A d j u s t m e n t s \ C o l u m n s \ R e s i d e n t   P o p 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 2 6 3 9 . 2 3 0 4 8 4 5 4 1 3 2 6 9 < / L e f t > < T a b I n d e x >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 1 \ C o l u m n s \ M u l t i p l i e r 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 1 \ C o l u m n s \ B a s i c 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 1 \ C o l u m n s \ C O N C . 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 1 \ C o l u m n s \ P e r c e n t a g e   o f 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 1 \ C o l u m n s \ R e s i d e n t   P o p 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 2 9 6 9 . 1 3 4 2 9 5 1 0 8 9 9 2 8 < / L e f t > < T a b I n d e x >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 A d j u s t m e n t s \ C o l u m n s \ M u l t i p l i e r 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 A d j u s t m e n t s \ C o l u m n s \ 2 0 2 0   P O V R T Y 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  N E G 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 A d j u s t m e n t s \ C o l u m n s \ 2 0 2 1 _ 1   D E L . 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 A d j u s t m e n t s \ C o l u m n s \ 2 0 2 1 _ 2   F O R S T E R 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 A d j u s t m e n t s \ C o l u m n s \ 2 0 2 1 _ 3  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 3 2 9 9 . 0 3 8 1 0 5 6 7 6 6 5 8 7 < / L e f t > < T a b I n d e x > 1 0 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 c o u n t s \ C o l u m n s \ L O C A L   E D U C A T I O N A L   A G E N C Y 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 c o u n t s \ C o l u m n s \ 2 0 2 0   P O V R T Y 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  N E G 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 c o u n t s \ C o l u m n s \ 2 0 2 1 _ 1   D E L . 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 c o u n t s \ C o l u m n s \ 2 0 2 1 _ 2   F O R S T E R 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 c o u n t s \ C o l u m n s \ 2 0 2 1 _ 3  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 c o u n t s \ C o l u m n s \ & a m p ;  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 3 6 2 8 . 9 4 1 9 1 6 2 4 4 3 2 4 6 < / L e f t > < T a b I n d e x > 1 1 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 a l l o c a t i o n s \ C o l u m n s \ W A S H I N G T O N 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 a l l o c a t i o n s \ C o l u m n s \ B A S I C 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 a l l o c a t i o n s \ C o l u m n s \ C O N C .   H O L D  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 a l l o c a t i o n s \ C o l u m n s \ T O T A L  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 a l l o c a t i o n s \ C o l u m n s \ P E R C E N T A G E   O F  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 a l l o c a t i o n s \ C o l u m n s \ R E S I D E N T 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 3 9 5 8 . 8 4 5 7 2 6 8 1 1 9 9 1 < / L e f t > < T a b I n d e x > 1 2 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 c o u n t s \ C o l u m n s \ L E A N a m e 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 c o u n t s \ C o l u m n s \ C E N S U S  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 c o u n t s \ C o l u m n s \ N E G . 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 c o u n t s \ C o l u m n s \ D E L . 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 c o u n t s \ C o l u m n s \ F O S T E R 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 c o u n t s \ C o l u m n s \ T O T A L  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 c o u n t s \ C o l u m n s \ U N W E I G H T E D   T A R G E T E D   & a m p ;  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 c o u n t s \ C o l u m n s \ W E I G H T E D  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 c o u n t s \ C o l u m n s \ W E I G H T E D  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 4 2 8 8 . 7 4 9 5 3 7 3 7 9 6 5 6 4 < / L e f t > < T a b I n d e x > 1 3 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 A l l o c a t i o n \ C o l u m n s \ L E A N a n m e 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 A l l o c a t i o n \ C o l u m n s \ B A S I C   H O L D   H s r m l e s s 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 A l l o c a t i o n \ C o l u m n s \ C O N C . 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 A l l o c a t i o n \ C o l u m n s \ P e r c e n t a g e   o f 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 A l l o c a t i o n \ C o l u m n s \ R e s i d e n t 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 4 6 1 8 . 6 5 3 3 4 7 9 4 7 3 2 1 9 < / L e f t > < T a b I n d e x > 1 4 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 c a l c \ C o l u m n s \ P r i o r   Y e a r . T O T A L  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 c a l c \ C o l u m n s \ P r i o r   Y e a r . 5 - 1 7 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 c a l c \ C o l u m n s \ F o r m u l a   C o u n t   I n c r e a s e 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 c a l c \ C o l u m n s \ H o l d   H a r m l e s s   P e r c e n t a g e 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 c a l c \ C o l u m n s \ A d j u s t e d   A l l o c a t i o n . T O T A L 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 c a l c \ C o l u m n s \ A d j u s t e d   A l l o c a t i o n . T i t l e 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 c a l c \ C o l u m n s \ A b o v e   H H 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 5 2 7 8 . 4 6 0 9 6 9 0 8 2 6 5 2 8 < / L e f t > < T a b I n d e x > 1 6 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 C o u n t s \ C o l u m n s \ L E A N a m e 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 C o u n t s \ C o l u m n s \ 2 0 2 0   P O V R T Y 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  N E G 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 C o u n t s \ C o l u m n s \ 2 0 2 1 _ 1   D E L . . 1 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 C o u n t s \ C o l u m n s \ 2 0 2 1 _ 2   F O R S T E R 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 C o u n t s \ C o l u m n s \ 2 0 2 1 _ 3  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 F R P L 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 F R P L 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 C o l u m n s \ s c h o o l Y e a r < / K e y > < / D i a g r a m O b j e c t K e y > < D i a g r a m O b j e c t K e y > < K e y > C o l u m n s \ C C D D D < / K e y > < / D i a g r a m O b j e c t K e y > < D i a g r a m O b j e c t K e y > < K e y > C o l u m n s \ D i s t r i c t N a m e < / K e y > < / D i a g r a m O b j e c t K e y > < D i a g r a m O b j e c t K e y > < K e y > C o l u m n s \ T o t a l S t u d e n t s < / K e y > < / D i a g r a m O b j e c t K e y > < D i a g r a m O b j e c t K e y > < K e y > C o l u m n s \ T o t a l S t u d e n t s I n P o v e r t y < / K e y > < / D i a g r a m O b j e c t K e y > < D i a g r a m O b j e c t K e y > < K e y > C o l u m n s \ T o t a l P e r c e n t I n P o v e r t y 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 C o l u m n s \ C C D D D 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 C o l u m n s \ T o t a l S t u d e n t s 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 C o l u m n s \ T o t a l S t u d e n t s I n P o v e r t y 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 C o l u m n s \ T o t a l P e r c e n t I n P o v e r t y 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 s u m i f 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 s u m i f 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 C o l u m n s \ S e n d i n g   D i s t r i c t   C C D D D < / K e y > < / D i a g r a m O b j e c t K e y > < D i a g r a m O b j e c t K e y > < K e y > C o l u m n s \ S u m T o t a l S t u d e n t s   i n   p o v e r t y 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 C o l u m n s \ S e n d i n g   D i s t r i c t   C C D D D 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 C o l u m n s \ S u m T o t a l S t u d e n t s   i n   p o v e r t y 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F R P L _ 6 d 9 4 2 e 1 6 - 2 2 d b - 4 f f a - b 3 c 4 - 7 8 e 5 f 7 7 f 3 d 9 7 , C h a r t e r _ T r i b a l S e n d i n g   D i s t r i c t s _ a d c 0 a f 9 0 - 1 c f 7 - 4 a f d - a 1 f 7 - 5 0 5 f 4 e 6 c d 8 3 a , C h a r t e r O n l y _ d 4 b 2 8 d b 4 - 5 9 5 5 - 4 8 2 1 - 8 a 9 1 - 0 8 5 6 5 0 4 1 f b b 0 , S e n d i n g O n l y _ 5 2 8 9 9 1 c 0 - 2 2 c f - 4 f 9 a - 9 1 0 7 - 2 1 e 3 0 a 0 d 6 3 5 9 , A p p e n d 1 _ b 3 4 8 9 1 a c - 6 a 3 8 - 4 0 e d - b 3 3 5 - 0 b b b 1 a 4 8 9 8 8 3 , S p l i t   C a l c _ 2 4 7 9 5 7 c 6 - f 8 0 a - 4 c f 9 - b f 6 2 - 8 3 0 d e e 1 7 a d a e , C C D D D   L E A i d _ 5 8 4 1 9 7 1 3 - e a 0 3 - 4 4 5 5 - 9 8 b b - 3 7 2 1 9 4 3 4 a 6 9 b , A l l o c a t i o n   A d j u s t m e n t s _ 8 f e 4 f 7 e 9 - e 0 a e - 4 d d d - b 7 3 4 - 2 4 6 7 4 4 8 3 0 3 6 3 , A l l o c a t i o n   A d j u s t m e n t s   1 _ 3 1 5 c 8 9 5 3 - 2 b 8 a - 4 0 3 4 - 8 9 4 8 - 0 3 a 4 2 e 1 3 f 8 6 f , F o r m u l a   C o u n t s   A d j u s t m e n t s _ 2 2 b 3 9 b f 5 - 5 f 1 a - 4 2 f b - b e f 1 - f 2 1 4 1 3 0 e 6 6 e 8 , D O E   F o r m u l a   c o u n t s _ 3 f 1 0 5 a e 7 - f e 3 7 - 4 b 9 a - a a 6 3 - 6 9 b 7 6 8 c b 6 c d c , P r i o r   Y e a r   a d j u s t e d   a l l o c a t i o n s _ 8 1 3 0 c 1 8 f - 6 f 1 7 - 4 e d 2 - b d 1 4 - 5 9 7 e 9 d 2 f c 0 d d , P r i o r   Y e a r   A d j u s t e d   F o r m u l a   c o u n t s _ 2 a 5 7 8 e 4 d - 5 3 4 5 - 4 c a 2 - b 6 b 0 - 1 2 d 6 c d b 6 e 7 9 b , D O E   A l l o c a t i o n _ e 2 0 0 d c 5 5 - e 8 3 5 - 4 8 5 f - b 9 a c - 8 6 4 e 5 e 0 8 6 a 2 b , N e w   O r   E x p n a d e d   H H   c a l c _ 7 9 e 3 5 7 e f - a b 8 d - 4 d c b - 9 a 9 b - e d a 3 0 6 b 3 d 2 7 3 , s u m i f _ c 9 c 1 6 b e 1 - 9 4 6 9 - 4 6 2 3 - 9 b 4 e - b c b 3 2 3 c c e 1 4 4 , A d j u s t e d   A l l o c a t i o n _ 1 6 a d 7 0 0 4 - c 0 8 7 - 4 f 8 e - b 5 d d - 1 9 7 2 1 d f e 9 2 b 0 , A d j u s t e d   F o r m u l a   C o u n t s _ f 8 e e 0 e d 7 - 5 4 d 0 - 4 1 3 4 - 9 2 8 b - 8 d 2 5 2 c 8 f 9 7 b 8 , A s s u m p t i o n s - 3 5 6 1 3 9 1 d - e 1 4 b - 4 8 7 5 - a c a 7 - 0 b 3 d b c 1 c 3 8 d 4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 2 0 2 3 - 0 1 - 0 4 T 1 3 : 2 4 : 4 3 . 3 7 8 4 6 1 3 - 0 8 : 0 0 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s u m i f _ c 9 c 1 6 b e 1 - 9 4 6 9 - 4 6 2 3 - 9 b 4 e - b c b 3 2 3 c c e 1 4 4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 S e n d i n g   D i s t r i c t   C C D D D < / s t r i n g > < / k e y > < v a l u e > < i n t > 1 7 9 < / i n t > < / v a l u e > < / i t e m > < i t e m > < k e y > < s t r i n g > S u m T o t a l S t u d e n t s   i n   p o v e r t y < / s t r i n g > < / k e y > < v a l u e > < i n t > 2 1 4 < / i n t > < / v a l u e > < / i t e m > < / C o l u m n W i d t h s > < C o l u m n D i s p l a y I n d e x > < i t e m > < k e y > < s t r i n g > S e n d i n g   D i s t r i c t   C C D D D < / s t r i n g > < / k e y > < v a l u e > < i n t > 0 < / i n t > < / v a l u e > < / i t e m > < i t e m > < k e y > < s t r i n g > S u m T o t a l S t u d e n t s   i n   p o v e r t y 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F R P L _ 6 d 9 4 2 e 1 6 - 2 2 d b - 4 f f a - b 3 c 4 - 7 8 e 5 f 7 7 f 3 d 9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 s c h o o l Y e a r < / s t r i n g > < / k e y > < v a l u e > < i n t > 1 0 2 < / i n t > < / v a l u e > < / i t e m > < i t e m > < k e y > < s t r i n g > C C D D D < / s t r i n g > < / k e y > < v a l u e > < i n t > 7 9 < / i n t > < / v a l u e > < / i t e m > < i t e m > < k e y > < s t r i n g > D i s t r i c t N a m e < / s t r i n g > < / k e y > < v a l u e > < i n t > 1 1 7 < / i n t > < / v a l u e > < / i t e m > < i t e m > < k e y > < s t r i n g > T o t a l S t u d e n t s < / s t r i n g > < / k e y > < v a l u e > < i n t > 1 2 1 < / i n t > < / v a l u e > < / i t e m > < i t e m > < k e y > < s t r i n g > T o t a l S t u d e n t s I n P o v e r t y < / s t r i n g > < / k e y > < v a l u e > < i n t > 1 8 1 < / i n t > < / v a l u e > < / i t e m > < i t e m > < k e y > < s t r i n g > T o t a l P e r c e n t I n P o v e r t y < / s t r i n g > < / k e y > < v a l u e > < i n t > 1 7 4 < / i n t > < / v a l u e > < / i t e m > < / C o l u m n W i d t h s > < C o l u m n D i s p l a y I n d e x > < i t e m > < k e y > < s t r i n g > s c h o o l Y e a r < / s t r i n g > < / k e y > < v a l u e > < i n t > 0 < / i n t > < / v a l u e > < / i t e m > < i t e m > < k e y > < s t r i n g > C C D D D < / s t r i n g > < / k e y > < v a l u e > < i n t > 1 < / i n t > < / v a l u e > < / i t e m > < i t e m > < k e y > < s t r i n g > D i s t r i c t N a m e < / s t r i n g > < / k e y > < v a l u e > < i n t > 2 < / i n t > < / v a l u e > < / i t e m > < i t e m > < k e y > < s t r i n g > T o t a l S t u d e n t s < / s t r i n g > < / k e y > < v a l u e > < i n t > 3 < / i n t > < / v a l u e > < / i t e m > < i t e m > < k e y > < s t r i n g > T o t a l S t u d e n t s I n P o v e r t y < / s t r i n g > < / k e y > < v a l u e > < i n t > 4 < / i n t > < / v a l u e > < / i t e m > < i t e m > < k e y > < s t r i n g > T o t a l P e r c e n t I n P o v e r t y 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A236602B-1867-4F0C-907E-370B7BB50726}">
  <ds:schemaRefs/>
</ds:datastoreItem>
</file>

<file path=customXml/itemProps10.xml><?xml version="1.0" encoding="utf-8"?>
<ds:datastoreItem xmlns:ds="http://schemas.openxmlformats.org/officeDocument/2006/customXml" ds:itemID="{656B9EA6-AE52-4FCC-B10D-9012246E37FC}">
  <ds:schemaRefs/>
</ds:datastoreItem>
</file>

<file path=customXml/itemProps11.xml><?xml version="1.0" encoding="utf-8"?>
<ds:datastoreItem xmlns:ds="http://schemas.openxmlformats.org/officeDocument/2006/customXml" ds:itemID="{8957A5DB-7417-415B-B1A1-47C4546CB9F3}">
  <ds:schemaRefs/>
</ds:datastoreItem>
</file>

<file path=customXml/itemProps12.xml><?xml version="1.0" encoding="utf-8"?>
<ds:datastoreItem xmlns:ds="http://schemas.openxmlformats.org/officeDocument/2006/customXml" ds:itemID="{89384747-53B4-4C40-A5DA-2CDB93F62D84}">
  <ds:schemaRefs>
    <ds:schemaRef ds:uri="http://schemas.microsoft.com/DataMashup"/>
  </ds:schemaRefs>
</ds:datastoreItem>
</file>

<file path=customXml/itemProps13.xml><?xml version="1.0" encoding="utf-8"?>
<ds:datastoreItem xmlns:ds="http://schemas.openxmlformats.org/officeDocument/2006/customXml" ds:itemID="{D8920CEB-1354-47AC-BCEF-2E0FAABFA802}">
  <ds:schemaRefs/>
</ds:datastoreItem>
</file>

<file path=customXml/itemProps14.xml><?xml version="1.0" encoding="utf-8"?>
<ds:datastoreItem xmlns:ds="http://schemas.openxmlformats.org/officeDocument/2006/customXml" ds:itemID="{9A96D58D-B731-4143-AA84-8A4559BB47C0}">
  <ds:schemaRefs/>
</ds:datastoreItem>
</file>

<file path=customXml/itemProps15.xml><?xml version="1.0" encoding="utf-8"?>
<ds:datastoreItem xmlns:ds="http://schemas.openxmlformats.org/officeDocument/2006/customXml" ds:itemID="{377BC769-17B2-419D-8521-A8DA9171A817}">
  <ds:schemaRefs/>
</ds:datastoreItem>
</file>

<file path=customXml/itemProps16.xml><?xml version="1.0" encoding="utf-8"?>
<ds:datastoreItem xmlns:ds="http://schemas.openxmlformats.org/officeDocument/2006/customXml" ds:itemID="{80AD095B-9596-4ABB-909D-4433931B1D7B}">
  <ds:schemaRefs/>
</ds:datastoreItem>
</file>

<file path=customXml/itemProps17.xml><?xml version="1.0" encoding="utf-8"?>
<ds:datastoreItem xmlns:ds="http://schemas.openxmlformats.org/officeDocument/2006/customXml" ds:itemID="{0C45F400-3380-4BBF-9C9A-A434BD245E81}">
  <ds:schemaRefs/>
</ds:datastoreItem>
</file>

<file path=customXml/itemProps18.xml><?xml version="1.0" encoding="utf-8"?>
<ds:datastoreItem xmlns:ds="http://schemas.openxmlformats.org/officeDocument/2006/customXml" ds:itemID="{CFC62887-F348-4B5E-A54B-A06474FEF0C9}">
  <ds:schemaRefs/>
</ds:datastoreItem>
</file>

<file path=customXml/itemProps2.xml><?xml version="1.0" encoding="utf-8"?>
<ds:datastoreItem xmlns:ds="http://schemas.openxmlformats.org/officeDocument/2006/customXml" ds:itemID="{D6AD569A-BACD-49BC-9E08-481DAD7734B7}">
  <ds:schemaRefs/>
</ds:datastoreItem>
</file>

<file path=customXml/itemProps3.xml><?xml version="1.0" encoding="utf-8"?>
<ds:datastoreItem xmlns:ds="http://schemas.openxmlformats.org/officeDocument/2006/customXml" ds:itemID="{65E85F9D-28AC-4885-B140-75127D764CB7}">
  <ds:schemaRefs/>
</ds:datastoreItem>
</file>

<file path=customXml/itemProps4.xml><?xml version="1.0" encoding="utf-8"?>
<ds:datastoreItem xmlns:ds="http://schemas.openxmlformats.org/officeDocument/2006/customXml" ds:itemID="{BFB5D4B2-EE2B-4D5B-B284-E010D95DC454}">
  <ds:schemaRefs/>
</ds:datastoreItem>
</file>

<file path=customXml/itemProps5.xml><?xml version="1.0" encoding="utf-8"?>
<ds:datastoreItem xmlns:ds="http://schemas.openxmlformats.org/officeDocument/2006/customXml" ds:itemID="{C557732F-3E27-4B73-890A-6B7F37F9A3AD}">
  <ds:schemaRefs/>
</ds:datastoreItem>
</file>

<file path=customXml/itemProps6.xml><?xml version="1.0" encoding="utf-8"?>
<ds:datastoreItem xmlns:ds="http://schemas.openxmlformats.org/officeDocument/2006/customXml" ds:itemID="{AE81D1FB-7859-4A17-9925-956C4F45F006}">
  <ds:schemaRefs/>
</ds:datastoreItem>
</file>

<file path=customXml/itemProps7.xml><?xml version="1.0" encoding="utf-8"?>
<ds:datastoreItem xmlns:ds="http://schemas.openxmlformats.org/officeDocument/2006/customXml" ds:itemID="{2BEB6B10-8085-405D-8D4E-D444EE1E3756}">
  <ds:schemaRefs/>
</ds:datastoreItem>
</file>

<file path=customXml/itemProps8.xml><?xml version="1.0" encoding="utf-8"?>
<ds:datastoreItem xmlns:ds="http://schemas.openxmlformats.org/officeDocument/2006/customXml" ds:itemID="{AA84F6FF-B3DA-4CE3-9D95-51C5FF1E7D1E}">
  <ds:schemaRefs/>
</ds:datastoreItem>
</file>

<file path=customXml/itemProps9.xml><?xml version="1.0" encoding="utf-8"?>
<ds:datastoreItem xmlns:ds="http://schemas.openxmlformats.org/officeDocument/2006/customXml" ds:itemID="{A5F61F43-2B1B-4E03-991C-25823BACC69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District</vt:lpstr>
      <vt:lpstr>Assumptions </vt:lpstr>
      <vt:lpstr>State Reservations</vt:lpstr>
      <vt:lpstr>Basic HH</vt:lpstr>
      <vt:lpstr>Conc. HH</vt:lpstr>
      <vt:lpstr>Targeted HH</vt:lpstr>
      <vt:lpstr>EFIG HH</vt:lpstr>
      <vt:lpstr>Model allocations</vt:lpstr>
      <vt:lpstr>Initial adjusted allocations</vt:lpstr>
      <vt:lpstr>Initial adjusted formula count</vt:lpstr>
      <vt:lpstr>New or Expanded HH check</vt:lpstr>
      <vt:lpstr>Multipliers</vt:lpstr>
      <vt:lpstr>LEA Split Calc</vt:lpstr>
      <vt:lpstr>Prior Year data</vt:lpstr>
      <vt:lpstr>Conc eligibility year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Gideon Belmaker</dc:creator>
  <cp:lastModifiedBy>Carrie Hert</cp:lastModifiedBy>
  <dcterms:created xsi:type="dcterms:W3CDTF">2022-11-08T17:36:19Z</dcterms:created>
  <dcterms:modified xsi:type="dcterms:W3CDTF">2024-05-08T19:04:30Z</dcterms:modified>
</cp:coreProperties>
</file>